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omments1.xml" ContentType="application/vnd.openxmlformats-officedocument.spreadsheetml.comments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omments2.xml" ContentType="application/vnd.openxmlformats-officedocument.spreadsheetml.comments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omments3.xml" ContentType="application/vnd.openxmlformats-officedocument.spreadsheetml.comments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omments4.xml" ContentType="application/vnd.openxmlformats-officedocument.spreadsheetml.comments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omments5.xml" ContentType="application/vnd.openxmlformats-officedocument.spreadsheetml.comments+xml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1.xml" ContentType="application/vnd.openxmlformats-officedocument.drawing+xml"/>
  <Override PartName="/xl/comments6.xml" ContentType="application/vnd.openxmlformats-officedocument.spreadsheetml.comments+xml"/>
  <Override PartName="/xl/customProperty16.bin" ContentType="application/vnd.openxmlformats-officedocument.spreadsheetml.customProperty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ustomProperty17.bin" ContentType="application/vnd.openxmlformats-officedocument.spreadsheetml.customProperty"/>
  <Override PartName="/xl/drawings/drawing3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ndtn\OneDrive\바탕 화면\FCB금융학회\"/>
    </mc:Choice>
  </mc:AlternateContent>
  <xr:revisionPtr revIDLastSave="0" documentId="13_ncr:1_{67C64B38-13C8-4C19-B33E-4B3DCE27449B}" xr6:coauthVersionLast="47" xr6:coauthVersionMax="47" xr10:uidLastSave="{00000000-0000-0000-0000-000000000000}"/>
  <bookViews>
    <workbookView xWindow="-110" yWindow="-110" windowWidth="25820" windowHeight="15500" tabRatio="817" xr2:uid="{00000000-000D-0000-FFFF-FFFF00000000}"/>
  </bookViews>
  <sheets>
    <sheet name="Cover Page" sheetId="44" r:id="rId1"/>
    <sheet name="Segments" sheetId="11" r:id="rId2"/>
    <sheet name="Quarterly" sheetId="14" r:id="rId3"/>
    <sheet name="Driver" sheetId="9" r:id="rId4"/>
    <sheet name="maruchan inc" sheetId="8" r:id="rId5"/>
    <sheet name="Model" sheetId="7" r:id="rId6"/>
    <sheet name="Raw Data" sheetId="13" r:id="rId7"/>
    <sheet name="Chart" sheetId="56" r:id="rId8"/>
    <sheet name="waterfall" sheetId="59" r:id="rId9"/>
  </sheets>
  <externalReferences>
    <externalReference r:id="rId10"/>
    <externalReference r:id="rId11"/>
    <externalReference r:id="rId12"/>
    <externalReference r:id="rId13"/>
  </externalReferences>
  <definedNames>
    <definedName name="__FDS_HYPERLINK_TOGGLE_STATE__" hidden="1">"ON"</definedName>
    <definedName name="_Scenario_new_change" localSheetId="2" hidden="1">#REF!</definedName>
    <definedName name="_Scenario_new_change" hidden="1">#REF!</definedName>
    <definedName name="_scenchg_count" hidden="1">1</definedName>
    <definedName name="_scenchg1" localSheetId="2" hidden="1">#REF!</definedName>
    <definedName name="_scenchg1" hidden="1">#REF!</definedName>
    <definedName name="_xlchart.v1.0" hidden="1">waterfall!$C$5:$C$16</definedName>
    <definedName name="_xlchart.v1.1" hidden="1">waterfall!$D$5:$D$16</definedName>
    <definedName name="_xlchart.v1.2" hidden="1">waterfall!$C$30:$C$41</definedName>
    <definedName name="_xlchart.v1.3" hidden="1">waterfall!$D$30:$D$41</definedName>
    <definedName name="a" localSheetId="2">OFFSET(Quarterly!DataLabels,0,2)</definedName>
    <definedName name="a">OFFSET([0]!DataLabels,0,2)</definedName>
    <definedName name="A_ALL_2875.T">#REF!</definedName>
    <definedName name="A_ALL_KEYWORDS_TYPE_ScalarContributed_EQTY_200007008">#REF!,#REF!,#REF!</definedName>
    <definedName name="A_ALL_KEYWORDS_TYPE_Vector_ISSR_208002504">#REF!,#REF!,#REF!,#REF!,#REF!,#REF!,#REF!,#REF!,#REF!,#REF!,#REF!,#REF!,#REF!,#REF!,#REF!,#REF!,#REF!</definedName>
    <definedName name="A_ALL_SECTION_KEYWORDS_EQTY_200007008_13A">#REF!</definedName>
    <definedName name="A_ALL_SECTION_KEYWORDS_ISSR_208002504_136J">#REF!,#REF!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CO">"Colgate-Palmolive Company"</definedName>
    <definedName name="DataLabels" localSheetId="2">OFFSET([0]!DataLabel,1,0,COUNTA(OFFSET([0]!DataLabel,1,0,100,1)))</definedName>
    <definedName name="DataLabels">OFFSET([0]!DataLabel,1,0,COUNTA(OFFSET([0]!DataLabel,1,0,100,1)))</definedName>
    <definedName name="E_ALL_2801.T">'[1]2801.T_Exchange_Sheet'!$A$1:$DI$397</definedName>
    <definedName name="E_ALL_2875.T">#REF!</definedName>
    <definedName name="E_ALL_2897.T">'[2]2897.T_Exchange_Sheet'!$A$1:$DG$397</definedName>
    <definedName name="E_ALL_8113.T">'[3]8113.T_Exchange_Sheet'!$A$1:$BI$358</definedName>
    <definedName name="FINCopyDirection">1</definedName>
    <definedName name="FINCriteriaType">1</definedName>
    <definedName name="FINOptions">"0,0,1,1,1,0,1,-1,0,0,2,0,"</definedName>
    <definedName name="Half" localSheetId="2">OFFSET([0]!DataLabel,1,0,COUNTA(OFFSET([0]!DataLabel,1,0,100,1)))</definedName>
    <definedName name="Half">OFFSET([0]!DataLabel,1,0,COUNTA(OFFSET([0]!DataLabel,1,0,100,1)))</definedName>
    <definedName name="hanki" localSheetId="3" hidden="1">{"Income (All hidden)",#N/A,FALSE,"Income";"EPS (All Hidden)",#N/A,FALSE,"EPS";"EPS (All Hidden)",#N/A,FALSE,"CashFlow";"Quarterly (Last, Current and Next)",#N/A,FALSE,"Quarterly"}</definedName>
    <definedName name="hanki" localSheetId="4" hidden="1">{"Income (All hidden)",#N/A,FALSE,"Income";"EPS (All Hidden)",#N/A,FALSE,"EPS";"EPS (All Hidden)",#N/A,FALSE,"CashFlow";"Quarterly (Last, Current and Next)",#N/A,FALSE,"Quarterly"}</definedName>
    <definedName name="hanki" localSheetId="5" hidden="1">{"Income (All hidden)",#N/A,FALSE,"Income";"EPS (All Hidden)",#N/A,FALSE,"EPS";"EPS (All Hidden)",#N/A,FALSE,"CashFlow";"Quarterly (Last, Current and Next)",#N/A,FALSE,"Quarterly"}</definedName>
    <definedName name="hanki" localSheetId="2" hidden="1">{"Income (All hidden)",#N/A,FALSE,"Income";"EPS (All Hidden)",#N/A,FALSE,"EPS";"EPS (All Hidden)",#N/A,FALSE,"CashFlow";"Quarterly (Last, Current and Next)",#N/A,FALSE,"Quarterly"}</definedName>
    <definedName name="hanki" localSheetId="6" hidden="1">{"Income (All hidden)",#N/A,FALSE,"Income";"EPS (All Hidden)",#N/A,FALSE,"EPS";"EPS (All Hidden)",#N/A,FALSE,"CashFlow";"Quarterly (Last, Current and Next)",#N/A,FALSE,"Quarterly"}</definedName>
    <definedName name="hanki" localSheetId="1" hidden="1">{"Income (All hidden)",#N/A,FALSE,"Income";"EPS (All Hidden)",#N/A,FALSE,"EPS";"EPS (All Hidden)",#N/A,FALSE,"CashFlow";"Quarterly (Last, Current and Next)",#N/A,FALSE,"Quarterly"}</definedName>
    <definedName name="hanki" hidden="1">{"Income (All hidden)",#N/A,FALSE,"Income";"EPS (All Hidden)",#N/A,FALSE,"EPS";"EPS (All Hidden)",#N/A,FALSE,"CashFlow";"Quarterly (Last, Current and Next)",#N/A,FALSE,"Quarterly"}</definedName>
    <definedName name="JS">"Jack Salzman - Tel: (212) 902-6751"</definedName>
    <definedName name="L_ALL_2801.T">'[1]2801.T_Live_Sheet'!$A$1:$DI$397</definedName>
    <definedName name="L_ALL_2875.T">#REF!</definedName>
    <definedName name="L_ALL_2897.T">'[2]2897.T_Live_Sheet'!$A$1:$DG$397</definedName>
    <definedName name="L_ALL_8113.T">'[3]8113.T_Live_Sheet'!$A$1:$BI$358</definedName>
    <definedName name="L_ALL_KEYWORDS_TYPE_ScalarContributed_EQTY_200007008">#REF!,#REF!,#REF!</definedName>
    <definedName name="L_ALL_KEYWORDS_TYPE_Vector_ISSR_208002504">#REF!,#REF!,#REF!,#REF!,#REF!,#REF!,#REF!,#REF!,#REF!,#REF!,#REF!,#REF!,#REF!,#REF!,#REF!,#REF!,#REF!</definedName>
    <definedName name="L_ALL_SECTION_KEYWORDS_EQTY_200007008_13A">#REF!</definedName>
    <definedName name="L_ALL_SECTION_KEYWORDS_ISSR_208002504_136J">#REF!,#REF!</definedName>
    <definedName name="_xlnm.Print_Area" localSheetId="4">'maruchan inc'!$A$1:$AL$111</definedName>
    <definedName name="_xlnm.Print_Area" localSheetId="2">Quarterly!$C$1:$LG$164</definedName>
    <definedName name="_xlnm.Print_Area" localSheetId="1">Segments!$B$8:$AI$51</definedName>
    <definedName name="roae">'[4]Financials &amp; Ratios'!$U$22:$AO$22:'[4]Financials &amp; Ratios'!$AI$22</definedName>
    <definedName name="scen_change" localSheetId="2" hidden="1">#REF!</definedName>
    <definedName name="scen_change" hidden="1">#REF!</definedName>
    <definedName name="scen_date1" hidden="1">34337.506400463</definedName>
    <definedName name="scen_name1" hidden="1">"/tar"</definedName>
    <definedName name="scen_num" hidden="1">1</definedName>
    <definedName name="scen_user1" hidden="1">"Williams Eileen"</definedName>
    <definedName name="scen_value1" hidden="1">"NM"</definedName>
    <definedName name="sencount" hidden="1">1</definedName>
    <definedName name="Tigr_Exhibit00cb034a_8e5c_4996_a6a0_0b03304a8c44" hidden="1">#REF!</definedName>
    <definedName name="Tigr_Exhibit06a0772a_f4d6_4872_96c0_648c16754f88" localSheetId="2" hidden="1">#REF!</definedName>
    <definedName name="Tigr_Exhibit06a0772a_f4d6_4872_96c0_648c16754f88" hidden="1">#REF!</definedName>
    <definedName name="Tigr_Exhibit150997ec_1f8c_43d4_a368_04a16d0abdc3" hidden="1">Quarterly!$A$2:$ED$164</definedName>
    <definedName name="Tigr_Exhibit154a7447_fa2e_49f9_bb6e_c2b74ef6affd" hidden="1">#REF!</definedName>
    <definedName name="Tigr_Exhibit15e3fa56_8195_44ba_92a9_a0b5c3d68b3f" hidden="1">#REF!</definedName>
    <definedName name="Tigr_Exhibit1b05aa95_ddf1_4917_94c4_24e9fa5dfc27" hidden="1">Segments!$B$8:$AI$51</definedName>
    <definedName name="Tigr_Exhibit27b17a8f_5342_4ae8_885a_f5aa610d962b" hidden="1">Model!$A$2:$Y$69</definedName>
    <definedName name="Tigr_Exhibit36f46e19_d3f8_44ff_9cbb_6b6cd51f361b" localSheetId="2" hidden="1">#REF!</definedName>
    <definedName name="Tigr_Exhibit36f46e19_d3f8_44ff_9cbb_6b6cd51f361b" hidden="1">#REF!</definedName>
    <definedName name="Tigr_Exhibit389636db_fe15_4251_85da_0a28952dcbfb" hidden="1">Model!$C$2:$Y$78</definedName>
    <definedName name="Tigr_Exhibit463937da_f8ed_4e5d_9f49_bcb226cdc9eb" hidden="1">Segments!$B$7:$AI$51</definedName>
    <definedName name="Tigr_Exhibit52c1ed75_ad7b_4119_93e1_995804a99c20" hidden="1">Segments!$AL$8:$BQ$51</definedName>
    <definedName name="Tigr_Exhibit55106a5c_6123_44e0_89c3_c62098d8f81c" hidden="1">Model!$B$2:$Y$77</definedName>
    <definedName name="Tigr_Exhibit6aea2f7b_deee_441a_ab4f_4c4753b98e20" hidden="1">Quarterly!$C$2:$ED$164</definedName>
    <definedName name="Tigr_Exhibit6b7c3a69_5566_4695_b4e2_8753cfa4b1a2" hidden="1">#REF!</definedName>
    <definedName name="Tigr_Exhibit6ca96302_126d_421c_b624_a0c7e1671ce0" hidden="1">Segments!$B$8:$AI$51</definedName>
    <definedName name="Tigr_Exhibit70af96ac_4daa_474f_a5de_3fd7895a8e75" hidden="1">Segments!$AL$7:$BQ$51</definedName>
    <definedName name="Tigr_Exhibit73c7bd0e_81b1_4fb0_b20e_ba598cca335a" localSheetId="2" hidden="1">#REF!</definedName>
    <definedName name="Tigr_Exhibit73c7bd0e_81b1_4fb0_b20e_ba598cca335a" hidden="1">#REF!</definedName>
    <definedName name="Tigr_Exhibit82b6543d_c6dd_45b9_ab98_2a34c7106219" localSheetId="2" hidden="1">#REF!</definedName>
    <definedName name="Tigr_Exhibit82b6543d_c6dd_45b9_ab98_2a34c7106219" hidden="1">#REF!</definedName>
    <definedName name="Tigr_Exhibit83aaf0f5_f5ee_440f_b9c9_fd9509b1fe06" localSheetId="2" hidden="1">#REF!</definedName>
    <definedName name="Tigr_Exhibit83aaf0f5_f5ee_440f_b9c9_fd9509b1fe06" hidden="1">#REF!</definedName>
    <definedName name="Tigr_Exhibit840fc0f5_9489_404f_9cf6_cb2800343608" hidden="1">Model!$C$2:$Y$77</definedName>
    <definedName name="Tigr_Exhibit8688be4d_5142_4183_9530_088d42a5017c" hidden="1">Segments!$B$7:$AI$51</definedName>
    <definedName name="Tigr_Exhibit8a12b758_3bc0_4bd0_9750_99c4f894b04b" hidden="1">#REF!</definedName>
    <definedName name="Tigr_Exhibit8a3ffd88_5815_4985_8371_056aba09ee10" localSheetId="2" hidden="1">#REF!</definedName>
    <definedName name="Tigr_Exhibit8a3ffd88_5815_4985_8371_056aba09ee10" hidden="1">#REF!</definedName>
    <definedName name="Tigr_Exhibit92cbc8da_df12_4b5e_8b1f_5a953eb69853" localSheetId="2" hidden="1">#REF!</definedName>
    <definedName name="Tigr_Exhibit92cbc8da_df12_4b5e_8b1f_5a953eb69853" hidden="1">#REF!</definedName>
    <definedName name="Tigr_Exhibitab51ed34_3402_470c_a4e2_7f9cb7177fd9" hidden="1">#REF!</definedName>
    <definedName name="Tigr_Exhibitb2123f96_b15d_42dc_b04f_df2a6787ea4c" localSheetId="2" hidden="1">#REF!</definedName>
    <definedName name="Tigr_Exhibitb2123f96_b15d_42dc_b04f_df2a6787ea4c" hidden="1">#REF!</definedName>
    <definedName name="Tigr_Exhibitb4cbb944_9dce_4a25_ba6c_67fcb33374d0" hidden="1">Segments!$AL$8:$BQ$51</definedName>
    <definedName name="Tigr_Exhibitbae8667e_d918_4973_a5b1_9e24d2aceabb" hidden="1">Segments!$B$8:$AI$52</definedName>
    <definedName name="Tigr_Exhibitbecd3108_2974_4e9e_aea2_c4835535a49c" hidden="1">#REF!</definedName>
    <definedName name="Tigr_Exhibitcc9c26a2_5e13_4a42_849e_23be340f02ff" hidden="1">#REF!</definedName>
    <definedName name="Tigr_Exhibitd5363d70_d8e5_43af_998d_7f39edd960b7" hidden="1">Segments!$AL$8:$BQ$52</definedName>
    <definedName name="Tigr_Exhibitdac4c78f_48ea_4f60_9ffe_083d44f61662" hidden="1">#REF!</definedName>
    <definedName name="Tigr_Exhibitdd0be7fe_0eb7_4f95_bc66_57bca31a8b22" hidden="1">Model!$A$2:$Y$77</definedName>
    <definedName name="Tigr_Exhibitdfdacc9d_8fc0_4b0b_a438_dc920d1f553a" localSheetId="2" hidden="1">#REF!</definedName>
    <definedName name="Tigr_Exhibitdfdacc9d_8fc0_4b0b_a438_dc920d1f553a" hidden="1">#REF!</definedName>
    <definedName name="Tigr_Exhibitea06e8c3_7b69_4bd2_abb3_df377b03c3fa" hidden="1">Quarterly!$C$2:$ED$164</definedName>
    <definedName name="Tigr_Exhibitef888e02_a435_4fbc_989d_6234b0f77955" localSheetId="2" hidden="1">#REF!</definedName>
    <definedName name="Tigr_Exhibitef888e02_a435_4fbc_989d_6234b0f77955" hidden="1">#REF!</definedName>
    <definedName name="Tigr_Exhibitf170b64a_342f_4306_aa43_196ba1baaf39" hidden="1">#REF!</definedName>
    <definedName name="TT_Link_P586d71216fb040cc9ed9ecbd3309dc8f">'maruchan inc'!$AG$11</definedName>
    <definedName name="UL">"              "</definedName>
    <definedName name="underline">"              "</definedName>
    <definedName name="V_ALL_2801.T">'[1]2801.T_Validation_Sheet'!$A$1:$DI$397</definedName>
    <definedName name="V_ALL_2875.T">#REF!</definedName>
    <definedName name="V_ALL_2897.T">'[2]2897.T_Validation_Sheet'!$A$1:$DG$397</definedName>
    <definedName name="V_ALL_8113.T">'[3]8113.T_Validation_Sheet'!$A$1:$BI$358</definedName>
    <definedName name="V_ALL_KEYWORDS_TYPE_ScalarContributed_EQTY_200007008">#REF!,#REF!,#REF!</definedName>
    <definedName name="V_ALL_KEYWORDS_TYPE_Vector_ISSR_208002504">#REF!,#REF!,#REF!,#REF!,#REF!,#REF!,#REF!,#REF!,#REF!,#REF!,#REF!,#REF!,#REF!,#REF!,#REF!,#REF!,#REF!</definedName>
    <definedName name="V_ALL_SECTION_KEYWORDS_EQTY_200007008_13A">#REF!</definedName>
    <definedName name="V_ALL_SECTION_KEYWORDS_ISSR_208002504_136J">#REF!,#REF!</definedName>
    <definedName name="wrn.Earnings._.Model." localSheetId="3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4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5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2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6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1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ntire._.Model." localSheetId="3" hidden="1">{"Income Page",#N/A,FALSE,"Income";"Quarterly Page",#N/A,FALSE,"Quarterly";"EPS Page",#N/A,FALSE,"EPS";"Cashflow Page",#N/A,FALSE,"CashFlow"}</definedName>
    <definedName name="wrn.Entire._.Model." localSheetId="4" hidden="1">{"Income Page",#N/A,FALSE,"Income";"Quarterly Page",#N/A,FALSE,"Quarterly";"EPS Page",#N/A,FALSE,"EPS";"Cashflow Page",#N/A,FALSE,"CashFlow"}</definedName>
    <definedName name="wrn.Entire._.Model." localSheetId="5" hidden="1">{"Income Page",#N/A,FALSE,"Income";"Quarterly Page",#N/A,FALSE,"Quarterly";"EPS Page",#N/A,FALSE,"EPS";"Cashflow Page",#N/A,FALSE,"CashFlow"}</definedName>
    <definedName name="wrn.Entire._.Model." localSheetId="2" hidden="1">{"Income Page",#N/A,FALSE,"Income";"Quarterly Page",#N/A,FALSE,"Quarterly";"EPS Page",#N/A,FALSE,"EPS";"Cashflow Page",#N/A,FALSE,"CashFlow"}</definedName>
    <definedName name="wrn.Entire._.Model." localSheetId="6" hidden="1">{"Income Page",#N/A,FALSE,"Income";"Quarterly Page",#N/A,FALSE,"Quarterly";"EPS Page",#N/A,FALSE,"EPS";"Cashflow Page",#N/A,FALSE,"CashFlow"}</definedName>
    <definedName name="wrn.Entire._.Model." localSheetId="1" hidden="1">{"Income Page",#N/A,FALSE,"Income";"Quarterly Page",#N/A,FALSE,"Quarterly";"EPS Page",#N/A,FALSE,"EPS";"Cashflow Page",#N/A,FALSE,"CashFlow"}</definedName>
    <definedName name="wrn.Entire._.Model." hidden="1">{"Income Page",#N/A,FALSE,"Income";"Quarterly Page",#N/A,FALSE,"Quarterly";"EPS Page",#N/A,FALSE,"EPS";"Cashflow Page",#N/A,FALSE,"CashFlow"}</definedName>
    <definedName name="wrn.Level._.4." localSheetId="3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Level._.4." localSheetId="4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Level._.4." localSheetId="5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Level._.4." localSheetId="2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Level._.4." localSheetId="6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Level._.4." localSheetId="1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Level._.4." hidden="1">{#N/A,#N/A,FALSE,"Income";#N/A,#N/A,FALSE,"EPS";#N/A,#N/A,FALSE,"Quarterly";#N/A,#N/A,FALSE,"CashFlow";#N/A,#N/A,FALSE,"Segment";#N/A,#N/A,FALSE,"Dividend";#N/A,#N/A,FALSE,"Return On Equity";#N/A,#N/A,FALSE,"Financials &amp; Ratios";#N/A,#N/A,FALSE,"Other";#N/A,#N/A,FALSE,"Inventory";#N/A,#N/A,FALSE,"marketshares"}</definedName>
    <definedName name="wrn.Model._.Level._.3." localSheetId="3" hidden="1">{"Income (All hidden)",#N/A,FALSE,"Income";"EPS (All Hidden)",#N/A,FALSE,"EPS";"EPS (All Hidden)",#N/A,FALSE,"CashFlow";"Quarterly (Last, Current and Next)",#N/A,FALSE,"Quarterly"}</definedName>
    <definedName name="wrn.Model._.Level._.3." localSheetId="4" hidden="1">{"Income (All hidden)",#N/A,FALSE,"Income";"EPS (All Hidden)",#N/A,FALSE,"EPS";"EPS (All Hidden)",#N/A,FALSE,"CashFlow";"Quarterly (Last, Current and Next)",#N/A,FALSE,"Quarterly"}</definedName>
    <definedName name="wrn.Model._.Level._.3." localSheetId="5" hidden="1">{"Income (All hidden)",#N/A,FALSE,"Income";"EPS (All Hidden)",#N/A,FALSE,"EPS";"EPS (All Hidden)",#N/A,FALSE,"CashFlow";"Quarterly (Last, Current and Next)",#N/A,FALSE,"Quarterly"}</definedName>
    <definedName name="wrn.Model._.Level._.3." localSheetId="2" hidden="1">{"Income (All hidden)",#N/A,FALSE,"Income";"EPS (All Hidden)",#N/A,FALSE,"EPS";"EPS (All Hidden)",#N/A,FALSE,"CashFlow";"Quarterly (Last, Current and Next)",#N/A,FALSE,"Quarterly"}</definedName>
    <definedName name="wrn.Model._.Level._.3." localSheetId="6" hidden="1">{"Income (All hidden)",#N/A,FALSE,"Income";"EPS (All Hidden)",#N/A,FALSE,"EPS";"EPS (All Hidden)",#N/A,FALSE,"CashFlow";"Quarterly (Last, Current and Next)",#N/A,FALSE,"Quarterly"}</definedName>
    <definedName name="wrn.Model._.Level._.3." localSheetId="1" hidden="1">{"Income (All hidden)",#N/A,FALSE,"Income";"EPS (All Hidden)",#N/A,FALSE,"EPS";"EPS (All Hidden)",#N/A,FALSE,"CashFlow";"Quarterly (Last, Current and Next)",#N/A,FALSE,"Quarterly"}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XValueRange" localSheetId="2">OFFSET(Quarterly!DataLabels,0,1)</definedName>
    <definedName name="XValueRange">OFFSET([0]!DataLabels,0,1)</definedName>
    <definedName name="YValueRange" localSheetId="2">OFFSET(Quarterly!DataLabels,0,2)</definedName>
    <definedName name="YValueRange">OFFSET([0]!DataLabels,0,2)</definedName>
  </definedNames>
  <calcPr calcId="181029"/>
</workbook>
</file>

<file path=xl/calcChain.xml><?xml version="1.0" encoding="utf-8"?>
<calcChain xmlns="http://schemas.openxmlformats.org/spreadsheetml/2006/main">
  <c r="AH76" i="8" l="1"/>
  <c r="AH80" i="8"/>
  <c r="JN83" i="14"/>
  <c r="JW23" i="14"/>
  <c r="JX23" i="14" s="1"/>
  <c r="JW22" i="14"/>
  <c r="JX22" i="14" s="1"/>
  <c r="JW55" i="14"/>
  <c r="JW53" i="14"/>
  <c r="JW49" i="14"/>
  <c r="JW47" i="14"/>
  <c r="JW44" i="14"/>
  <c r="JW31" i="14"/>
  <c r="JW30" i="14"/>
  <c r="JW21" i="14"/>
  <c r="JR103" i="14"/>
  <c r="JP103" i="14"/>
  <c r="JL103" i="14"/>
  <c r="KF85" i="14"/>
  <c r="KF82" i="14"/>
  <c r="KG78" i="14"/>
  <c r="KF74" i="14"/>
  <c r="KF73" i="14"/>
  <c r="KF69" i="14"/>
  <c r="KF59" i="14"/>
  <c r="KF57" i="14"/>
  <c r="KF50" i="14"/>
  <c r="KF41" i="14"/>
  <c r="KF33" i="14"/>
  <c r="KF27" i="14"/>
  <c r="KF10" i="14"/>
  <c r="KF8" i="14"/>
  <c r="KF5" i="14"/>
  <c r="JS64" i="14"/>
  <c r="JP64" i="14"/>
  <c r="JL64" i="14"/>
  <c r="JS67" i="14"/>
  <c r="JP67" i="14"/>
  <c r="JL67" i="14"/>
  <c r="JR78" i="14"/>
  <c r="JP78" i="14"/>
  <c r="JL78" i="14"/>
  <c r="JS77" i="14"/>
  <c r="JS78" i="14" s="1"/>
  <c r="JS18" i="14"/>
  <c r="JS157" i="14"/>
  <c r="JS163" i="14" s="1"/>
  <c r="JS68" i="14"/>
  <c r="JS65" i="14"/>
  <c r="JS62" i="14"/>
  <c r="JS170" i="14"/>
  <c r="KF77" i="14" l="1"/>
  <c r="KF71" i="14"/>
  <c r="KF76" i="14"/>
  <c r="JY142" i="14"/>
  <c r="JY139" i="14"/>
  <c r="JY137" i="14"/>
  <c r="JY134" i="14"/>
  <c r="JY126" i="14"/>
  <c r="JY125" i="14"/>
  <c r="JY122" i="14"/>
  <c r="JY121" i="14"/>
  <c r="JY117" i="14"/>
  <c r="JY116" i="14"/>
  <c r="JY115" i="14"/>
  <c r="JY114" i="14"/>
  <c r="JY112" i="14"/>
  <c r="JY109" i="14"/>
  <c r="JY107" i="14"/>
  <c r="JY101" i="14"/>
  <c r="JY100" i="14"/>
  <c r="JY99" i="14"/>
  <c r="JY95" i="14"/>
  <c r="JY89" i="14"/>
  <c r="JY85" i="14"/>
  <c r="JY73" i="14"/>
  <c r="W20" i="11" l="1"/>
  <c r="JN171" i="14"/>
  <c r="JN170" i="14"/>
  <c r="JN169" i="14"/>
  <c r="JN168" i="14"/>
  <c r="JN166" i="14"/>
  <c r="JN164" i="14"/>
  <c r="W17" i="11" s="1"/>
  <c r="JN162" i="14"/>
  <c r="JN161" i="14"/>
  <c r="JN160" i="14"/>
  <c r="JN159" i="14"/>
  <c r="JN158" i="14"/>
  <c r="JN149" i="14"/>
  <c r="JN142" i="14"/>
  <c r="W41" i="11" s="1"/>
  <c r="JN140" i="14"/>
  <c r="JN139" i="14"/>
  <c r="JN137" i="14"/>
  <c r="JN134" i="14"/>
  <c r="JN133" i="14"/>
  <c r="JN132" i="14"/>
  <c r="JN131" i="14"/>
  <c r="JN130" i="14"/>
  <c r="JN127" i="14"/>
  <c r="W40" i="11" s="1"/>
  <c r="JN126" i="14"/>
  <c r="JN125" i="14"/>
  <c r="JW125" i="14" s="1"/>
  <c r="JN122" i="14"/>
  <c r="JN121" i="14"/>
  <c r="JW121" i="14" s="1"/>
  <c r="JN123" i="14"/>
  <c r="JN119" i="14"/>
  <c r="JN112" i="14"/>
  <c r="JN110" i="14"/>
  <c r="JN109" i="14"/>
  <c r="JN108" i="14"/>
  <c r="JN106" i="14"/>
  <c r="JN102" i="14"/>
  <c r="JN100" i="14"/>
  <c r="JN99" i="14"/>
  <c r="JW99" i="14" s="1"/>
  <c r="JN98" i="14"/>
  <c r="JN95" i="14"/>
  <c r="JW95" i="14" s="1"/>
  <c r="JN91" i="14"/>
  <c r="JN90" i="14"/>
  <c r="JN89" i="14"/>
  <c r="JN85" i="14"/>
  <c r="JN82" i="14"/>
  <c r="JN77" i="14"/>
  <c r="JN74" i="14"/>
  <c r="W38" i="11" s="1"/>
  <c r="JN73" i="14"/>
  <c r="W37" i="11" s="1"/>
  <c r="JN69" i="14"/>
  <c r="W14" i="11" s="1"/>
  <c r="W36" i="11" s="1"/>
  <c r="JN66" i="14"/>
  <c r="JN63" i="14"/>
  <c r="W39" i="11" l="1"/>
  <c r="W45" i="11"/>
  <c r="W42" i="11"/>
  <c r="JN81" i="14"/>
  <c r="JN59" i="14"/>
  <c r="W35" i="11" s="1"/>
  <c r="JN57" i="14"/>
  <c r="W34" i="11" s="1"/>
  <c r="JN50" i="14"/>
  <c r="W29" i="11" s="1"/>
  <c r="W49" i="11" s="1"/>
  <c r="JN41" i="14"/>
  <c r="W25" i="11" s="1"/>
  <c r="W48" i="11" s="1"/>
  <c r="JN37" i="14"/>
  <c r="JN33" i="14"/>
  <c r="JN27" i="14"/>
  <c r="W22" i="11" s="1"/>
  <c r="W47" i="11" s="1"/>
  <c r="JN17" i="14"/>
  <c r="JW17" i="14" s="1"/>
  <c r="JN18" i="14"/>
  <c r="JN10" i="14"/>
  <c r="W21" i="11" s="1"/>
  <c r="W46" i="11" s="1"/>
  <c r="JN8" i="14"/>
  <c r="JN5" i="14"/>
  <c r="W12" i="11" s="1"/>
  <c r="W19" i="11" s="1"/>
  <c r="W51" i="11" s="1"/>
  <c r="JS165" i="14"/>
  <c r="JS150" i="14"/>
  <c r="JS128" i="14"/>
  <c r="JS105" i="14"/>
  <c r="JS104" i="14"/>
  <c r="JS79" i="14"/>
  <c r="JS76" i="14"/>
  <c r="JS71" i="14"/>
  <c r="JS70" i="14"/>
  <c r="JS60" i="14"/>
  <c r="JS58" i="14"/>
  <c r="JS51" i="14"/>
  <c r="JS42" i="14"/>
  <c r="JS28" i="14"/>
  <c r="JS32" i="14" s="1"/>
  <c r="JS19" i="14"/>
  <c r="JS24" i="14" s="1"/>
  <c r="JS11" i="14"/>
  <c r="JS9" i="14"/>
  <c r="JS6" i="14"/>
  <c r="JN20" i="14" l="1"/>
  <c r="JN68" i="14"/>
  <c r="W50" i="11"/>
  <c r="JN65" i="14"/>
  <c r="JP38" i="14" l="1"/>
  <c r="JP34" i="14"/>
  <c r="BM33" i="11"/>
  <c r="BM32" i="11"/>
  <c r="BM31" i="11"/>
  <c r="BM30" i="11"/>
  <c r="BM28" i="11"/>
  <c r="BM27" i="11"/>
  <c r="BM26" i="11"/>
  <c r="BM24" i="11"/>
  <c r="BM23" i="11"/>
  <c r="AE43" i="11"/>
  <c r="BM43" i="11" s="1"/>
  <c r="AE42" i="11"/>
  <c r="BM42" i="11" s="1"/>
  <c r="AE41" i="11"/>
  <c r="AE40" i="11"/>
  <c r="BM40" i="11" s="1"/>
  <c r="AE39" i="11"/>
  <c r="BM39" i="11" s="1"/>
  <c r="AE38" i="11"/>
  <c r="BM38" i="11" s="1"/>
  <c r="AE37" i="11"/>
  <c r="BM37" i="11" s="1"/>
  <c r="AE35" i="11"/>
  <c r="BM35" i="11" s="1"/>
  <c r="AE34" i="11"/>
  <c r="BM34" i="11" s="1"/>
  <c r="AE29" i="11"/>
  <c r="BM29" i="11" s="1"/>
  <c r="AE25" i="11"/>
  <c r="BM25" i="11" s="1"/>
  <c r="AE22" i="11"/>
  <c r="BM22" i="11" s="1"/>
  <c r="AE21" i="11"/>
  <c r="BM21" i="11" s="1"/>
  <c r="AE20" i="11"/>
  <c r="BM20" i="11" s="1"/>
  <c r="AE17" i="11"/>
  <c r="BM17" i="11" s="1"/>
  <c r="AE16" i="11"/>
  <c r="BM16" i="11" s="1"/>
  <c r="AE14" i="11"/>
  <c r="BM14" i="11" s="1"/>
  <c r="AE12" i="11"/>
  <c r="BM12" i="11" s="1"/>
  <c r="JP84" i="14"/>
  <c r="JN84" i="14" l="1"/>
  <c r="AE49" i="11"/>
  <c r="BM49" i="11" s="1"/>
  <c r="BM41" i="11"/>
  <c r="AE46" i="11"/>
  <c r="BM46" i="11" s="1"/>
  <c r="AE48" i="11"/>
  <c r="BM48" i="11" s="1"/>
  <c r="AE50" i="11"/>
  <c r="BM50" i="11" s="1"/>
  <c r="AE45" i="11"/>
  <c r="BM45" i="11" s="1"/>
  <c r="AE47" i="11"/>
  <c r="BM47" i="11" s="1"/>
  <c r="AE36" i="11"/>
  <c r="BM36" i="11" s="1"/>
  <c r="AE19" i="11"/>
  <c r="BM56" i="11" l="1"/>
  <c r="AE55" i="11"/>
  <c r="BM19" i="11"/>
  <c r="BM55" i="11" s="1"/>
  <c r="AE56" i="11"/>
  <c r="AE51" i="11"/>
  <c r="BM51" i="11" s="1"/>
  <c r="KE85" i="14"/>
  <c r="AL40" i="7"/>
  <c r="AL86" i="7"/>
  <c r="AL71" i="7"/>
  <c r="AL72" i="7" s="1"/>
  <c r="KG129" i="14"/>
  <c r="KG128" i="14"/>
  <c r="KE170" i="14"/>
  <c r="KE171" i="14" s="1"/>
  <c r="KE169" i="14"/>
  <c r="KE168" i="14"/>
  <c r="KE164" i="14"/>
  <c r="KE159" i="14"/>
  <c r="KE158" i="14"/>
  <c r="KE149" i="14"/>
  <c r="KE142" i="14"/>
  <c r="KE140" i="14"/>
  <c r="KE139" i="14"/>
  <c r="KE138" i="14"/>
  <c r="KE137" i="14"/>
  <c r="KE134" i="14"/>
  <c r="KE133" i="14"/>
  <c r="KE132" i="14"/>
  <c r="KE131" i="14"/>
  <c r="KE130" i="14"/>
  <c r="KE127" i="14"/>
  <c r="KE126" i="14"/>
  <c r="KE125" i="14"/>
  <c r="KE123" i="14"/>
  <c r="KE122" i="14"/>
  <c r="KE121" i="14"/>
  <c r="KE119" i="14"/>
  <c r="KE112" i="14"/>
  <c r="KE110" i="14"/>
  <c r="KE109" i="14"/>
  <c r="KE108" i="14"/>
  <c r="KE106" i="14"/>
  <c r="KE102" i="14"/>
  <c r="KE100" i="14"/>
  <c r="KE99" i="14"/>
  <c r="KE98" i="14"/>
  <c r="KE97" i="14"/>
  <c r="KE95" i="14"/>
  <c r="KE91" i="14"/>
  <c r="KE90" i="14"/>
  <c r="KE89" i="14"/>
  <c r="KE88" i="14"/>
  <c r="KE87" i="14"/>
  <c r="KE86" i="14"/>
  <c r="KE84" i="14"/>
  <c r="KE83" i="14"/>
  <c r="KE82" i="14"/>
  <c r="KE77" i="14"/>
  <c r="KE74" i="14"/>
  <c r="KE73" i="14"/>
  <c r="KE69" i="14"/>
  <c r="KE59" i="14"/>
  <c r="KE57" i="14"/>
  <c r="KE50" i="14"/>
  <c r="KE41" i="14"/>
  <c r="KE37" i="14"/>
  <c r="KE33" i="14"/>
  <c r="KE30" i="14"/>
  <c r="KE27" i="14"/>
  <c r="KE18" i="14"/>
  <c r="KE10" i="14"/>
  <c r="KE8" i="14"/>
  <c r="KE5" i="14"/>
  <c r="KG75" i="14"/>
  <c r="KG70" i="14"/>
  <c r="KG60" i="14"/>
  <c r="KG58" i="14"/>
  <c r="KG51" i="14"/>
  <c r="KG42" i="14"/>
  <c r="KG38" i="14"/>
  <c r="KG34" i="14"/>
  <c r="KG28" i="14"/>
  <c r="KG32" i="14" s="1"/>
  <c r="KG19" i="14"/>
  <c r="KG24" i="14" s="1"/>
  <c r="KG11" i="14"/>
  <c r="KG9" i="14"/>
  <c r="KG6" i="14"/>
  <c r="KG165" i="14"/>
  <c r="KG79" i="14"/>
  <c r="KG76" i="14"/>
  <c r="KG71" i="14"/>
  <c r="KG62" i="14"/>
  <c r="KG17" i="14"/>
  <c r="JM77" i="14"/>
  <c r="JP20" i="14"/>
  <c r="JP151" i="14"/>
  <c r="JP143" i="14"/>
  <c r="JP157" i="14"/>
  <c r="JY157" i="14" s="1"/>
  <c r="JP68" i="14"/>
  <c r="JP65" i="14"/>
  <c r="JP62" i="14"/>
  <c r="JP170" i="14"/>
  <c r="KE76" i="14" l="1"/>
  <c r="JN143" i="14"/>
  <c r="KE150" i="14"/>
  <c r="JP163" i="14"/>
  <c r="JN157" i="14"/>
  <c r="W43" i="11" s="1"/>
  <c r="KE71" i="14"/>
  <c r="KE104" i="14"/>
  <c r="KE157" i="14"/>
  <c r="KE62" i="14"/>
  <c r="KE166" i="14"/>
  <c r="KE105" i="14"/>
  <c r="KE17" i="14"/>
  <c r="KE165" i="14"/>
  <c r="KE79" i="14"/>
  <c r="KE128" i="14"/>
  <c r="AM214" i="9" l="1"/>
  <c r="JM170" i="14" l="1"/>
  <c r="JM169" i="14"/>
  <c r="JM168" i="14"/>
  <c r="JM164" i="14"/>
  <c r="JM162" i="14"/>
  <c r="JM161" i="14"/>
  <c r="JM160" i="14"/>
  <c r="JM159" i="14"/>
  <c r="JM158" i="14"/>
  <c r="JM149" i="14"/>
  <c r="V42" i="11" s="1"/>
  <c r="JM142" i="14"/>
  <c r="V41" i="11" s="1"/>
  <c r="JM140" i="14"/>
  <c r="JM139" i="14"/>
  <c r="JM137" i="14"/>
  <c r="JM134" i="14"/>
  <c r="JM133" i="14"/>
  <c r="JM132" i="14"/>
  <c r="JM131" i="14"/>
  <c r="JM130" i="14"/>
  <c r="JM127" i="14"/>
  <c r="V40" i="11" s="1"/>
  <c r="JM126" i="14"/>
  <c r="JM125" i="14"/>
  <c r="JM123" i="14"/>
  <c r="JM122" i="14"/>
  <c r="JM121" i="14"/>
  <c r="JM119" i="14"/>
  <c r="JM112" i="14"/>
  <c r="JM110" i="14"/>
  <c r="JM109" i="14"/>
  <c r="JM108" i="14"/>
  <c r="JM106" i="14"/>
  <c r="JM102" i="14"/>
  <c r="JM100" i="14"/>
  <c r="JM99" i="14"/>
  <c r="JM98" i="14"/>
  <c r="JM95" i="14"/>
  <c r="JM91" i="14"/>
  <c r="JM90" i="14"/>
  <c r="JM89" i="14"/>
  <c r="JM84" i="14"/>
  <c r="JM83" i="14"/>
  <c r="JM85" i="14"/>
  <c r="JM82" i="14"/>
  <c r="JM74" i="14"/>
  <c r="JM73" i="14"/>
  <c r="V37" i="11" s="1"/>
  <c r="JM69" i="14"/>
  <c r="JM66" i="14"/>
  <c r="JM63" i="14"/>
  <c r="JM59" i="14"/>
  <c r="V35" i="11" s="1"/>
  <c r="JM57" i="14"/>
  <c r="V34" i="11" s="1"/>
  <c r="JM50" i="14"/>
  <c r="V29" i="11" s="1"/>
  <c r="JM41" i="14"/>
  <c r="V25" i="11" s="1"/>
  <c r="JM27" i="14"/>
  <c r="V22" i="11" s="1"/>
  <c r="JM17" i="14"/>
  <c r="JM18" i="14"/>
  <c r="JM10" i="14"/>
  <c r="V21" i="11" s="1"/>
  <c r="JM8" i="14"/>
  <c r="JM5" i="14"/>
  <c r="HU66" i="14"/>
  <c r="HU63" i="14"/>
  <c r="V39" i="11" l="1"/>
  <c r="V12" i="11"/>
  <c r="V14" i="11"/>
  <c r="V38" i="11"/>
  <c r="V17" i="11"/>
  <c r="JM20" i="14"/>
  <c r="JM81" i="14"/>
  <c r="JM65" i="14"/>
  <c r="JM68" i="14"/>
  <c r="JL79" i="14"/>
  <c r="C11" i="44" l="1"/>
  <c r="F9" i="59" l="1"/>
  <c r="E12" i="59"/>
  <c r="F12" i="59"/>
  <c r="F13" i="59"/>
  <c r="D12" i="59"/>
  <c r="D37" i="59" s="1"/>
  <c r="AN563" i="9"/>
  <c r="AM563" i="9"/>
  <c r="E9" i="59" s="1"/>
  <c r="AL563" i="9"/>
  <c r="D9" i="59" s="1"/>
  <c r="BE41" i="11"/>
  <c r="BE37" i="11"/>
  <c r="BD41" i="11"/>
  <c r="U42" i="11"/>
  <c r="BC42" i="11" s="1"/>
  <c r="U41" i="11"/>
  <c r="U40" i="11"/>
  <c r="U39" i="11"/>
  <c r="BC39" i="11" s="1"/>
  <c r="U38" i="11"/>
  <c r="BC38" i="11" s="1"/>
  <c r="U37" i="11"/>
  <c r="U35" i="11"/>
  <c r="BC35" i="11" s="1"/>
  <c r="U34" i="11"/>
  <c r="BC34" i="11" s="1"/>
  <c r="U29" i="11"/>
  <c r="BC29" i="11" s="1"/>
  <c r="U25" i="11"/>
  <c r="BC25" i="11" s="1"/>
  <c r="U22" i="11"/>
  <c r="BC22" i="11" s="1"/>
  <c r="U21" i="11"/>
  <c r="BC21" i="11" s="1"/>
  <c r="U20" i="11"/>
  <c r="BC20" i="11" s="1"/>
  <c r="U17" i="11"/>
  <c r="BC17" i="11" s="1"/>
  <c r="BC23" i="11"/>
  <c r="BD23" i="11"/>
  <c r="BE23" i="11"/>
  <c r="BF23" i="11"/>
  <c r="BC24" i="11"/>
  <c r="BD24" i="11"/>
  <c r="BE24" i="11"/>
  <c r="BF24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D37" i="11"/>
  <c r="BE43" i="11"/>
  <c r="U14" i="11"/>
  <c r="U36" i="11" s="1"/>
  <c r="U12" i="11"/>
  <c r="BC12" i="11" s="1"/>
  <c r="D34" i="59" l="1"/>
  <c r="U46" i="11"/>
  <c r="BC46" i="11" s="1"/>
  <c r="U48" i="11"/>
  <c r="BC48" i="11" s="1"/>
  <c r="BC40" i="11"/>
  <c r="U45" i="11"/>
  <c r="BC45" i="11" s="1"/>
  <c r="U49" i="11"/>
  <c r="BC49" i="11" s="1"/>
  <c r="BC41" i="11"/>
  <c r="U47" i="11"/>
  <c r="BC47" i="11" s="1"/>
  <c r="BC36" i="11"/>
  <c r="U19" i="11"/>
  <c r="BC19" i="11" s="1"/>
  <c r="BC37" i="11"/>
  <c r="BC14" i="11"/>
  <c r="U50" i="11"/>
  <c r="BC50" i="11" s="1"/>
  <c r="JT119" i="14"/>
  <c r="JY119" i="14" s="1"/>
  <c r="JT84" i="14"/>
  <c r="JY84" i="14" s="1"/>
  <c r="U51" i="11" l="1"/>
  <c r="BC51" i="11" s="1"/>
  <c r="AL207" i="9"/>
  <c r="AM207" i="9" s="1"/>
  <c r="AN207" i="9" s="1"/>
  <c r="AG58" i="8" l="1"/>
  <c r="AH58" i="8" s="1"/>
  <c r="AG59" i="8"/>
  <c r="AG74" i="8"/>
  <c r="AH74" i="8" s="1"/>
  <c r="P92" i="8"/>
  <c r="O92" i="8"/>
  <c r="D92" i="8"/>
  <c r="Q89" i="8"/>
  <c r="P89" i="8"/>
  <c r="O89" i="8"/>
  <c r="N89" i="8"/>
  <c r="L89" i="8"/>
  <c r="K89" i="8"/>
  <c r="J89" i="8"/>
  <c r="F89" i="8"/>
  <c r="E89" i="8"/>
  <c r="D89" i="8"/>
  <c r="AI76" i="8"/>
  <c r="AI40" i="8"/>
  <c r="AJ40" i="8" s="1"/>
  <c r="AK40" i="8" s="1"/>
  <c r="AH47" i="8"/>
  <c r="AH49" i="8"/>
  <c r="AI49" i="8" s="1"/>
  <c r="AG49" i="8"/>
  <c r="JX95" i="14"/>
  <c r="AI47" i="8" l="1"/>
  <c r="AJ49" i="8"/>
  <c r="JL54" i="14"/>
  <c r="JL40" i="14"/>
  <c r="KD30" i="14"/>
  <c r="JL75" i="14"/>
  <c r="AK49" i="8" l="1"/>
  <c r="AK47" i="8"/>
  <c r="AJ47" i="8"/>
  <c r="AF16" i="11"/>
  <c r="AM233" i="9"/>
  <c r="AN233" i="9" s="1"/>
  <c r="AO233" i="9" s="1"/>
  <c r="AO228" i="9"/>
  <c r="AP228" i="9" s="1"/>
  <c r="AR242" i="9"/>
  <c r="AR230" i="9"/>
  <c r="AR233" i="9"/>
  <c r="JX139" i="14"/>
  <c r="JU139" i="14" s="1"/>
  <c r="JW139" i="14" s="1"/>
  <c r="JX137" i="14"/>
  <c r="JU137" i="14" s="1"/>
  <c r="JW137" i="14" s="1"/>
  <c r="JX134" i="14"/>
  <c r="JU134" i="14" s="1"/>
  <c r="JW134" i="14" s="1"/>
  <c r="KH130" i="14"/>
  <c r="KJ127" i="14" s="1"/>
  <c r="AR149" i="9"/>
  <c r="AR146" i="9"/>
  <c r="AR138" i="9"/>
  <c r="AR124" i="9"/>
  <c r="AR116" i="9"/>
  <c r="AR94" i="9"/>
  <c r="AR79" i="9"/>
  <c r="AR77" i="9"/>
  <c r="AR228" i="9"/>
  <c r="AR227" i="9"/>
  <c r="AR226" i="9"/>
  <c r="JX117" i="14"/>
  <c r="JX123" i="14"/>
  <c r="JX119" i="14"/>
  <c r="AR222" i="9"/>
  <c r="AR219" i="9"/>
  <c r="AR218" i="9"/>
  <c r="AR201" i="9"/>
  <c r="AR191" i="9"/>
  <c r="AR194" i="9" s="1"/>
  <c r="AR187" i="9"/>
  <c r="AR184" i="9"/>
  <c r="AR224" i="9" l="1"/>
  <c r="AR225" i="9"/>
  <c r="AR193" i="9"/>
  <c r="JX89" i="14"/>
  <c r="JW89" i="14" s="1"/>
  <c r="JU89" i="14" s="1"/>
  <c r="JX149" i="14"/>
  <c r="JW149" i="14" l="1"/>
  <c r="JU149" i="14" s="1"/>
  <c r="JZ149" i="14"/>
  <c r="JD15" i="14"/>
  <c r="IR14" i="14"/>
  <c r="JD14" i="14"/>
  <c r="JL33" i="14"/>
  <c r="JL37" i="14" l="1"/>
  <c r="JM37" i="14" s="1"/>
  <c r="JM33" i="14"/>
  <c r="JD16" i="14"/>
  <c r="JR129" i="14"/>
  <c r="JR75" i="14"/>
  <c r="JR70" i="14"/>
  <c r="JR60" i="14"/>
  <c r="JR58" i="14"/>
  <c r="JR51" i="14"/>
  <c r="JR42" i="14"/>
  <c r="JR28" i="14"/>
  <c r="JR19" i="14"/>
  <c r="JR11" i="14"/>
  <c r="JR9" i="14"/>
  <c r="JR6" i="14"/>
  <c r="JP129" i="14"/>
  <c r="JP75" i="14"/>
  <c r="JP70" i="14"/>
  <c r="JP60" i="14"/>
  <c r="JP58" i="14"/>
  <c r="JP51" i="14"/>
  <c r="JP42" i="14"/>
  <c r="JP28" i="14"/>
  <c r="JP32" i="14" s="1"/>
  <c r="JP19" i="14"/>
  <c r="JP24" i="14" s="1"/>
  <c r="JP11" i="14"/>
  <c r="JP9" i="14"/>
  <c r="JP6" i="14"/>
  <c r="AG20" i="8"/>
  <c r="AG12" i="8"/>
  <c r="AG47" i="8" s="1"/>
  <c r="JV21" i="14"/>
  <c r="JV142" i="14"/>
  <c r="JV139" i="14"/>
  <c r="JV137" i="14"/>
  <c r="JV134" i="14"/>
  <c r="JV126" i="14"/>
  <c r="JV125" i="14"/>
  <c r="JV122" i="14"/>
  <c r="JV121" i="14"/>
  <c r="JV112" i="14"/>
  <c r="JV109" i="14"/>
  <c r="JV100" i="14"/>
  <c r="JV99" i="14"/>
  <c r="JV95" i="14"/>
  <c r="JV89" i="14"/>
  <c r="JV85" i="14"/>
  <c r="JV73" i="14"/>
  <c r="JV55" i="14"/>
  <c r="JV53" i="14"/>
  <c r="JV49" i="14"/>
  <c r="JV47" i="14"/>
  <c r="JV44" i="14"/>
  <c r="JV31" i="14"/>
  <c r="JV30" i="14"/>
  <c r="IZ17" i="14"/>
  <c r="JL20" i="14"/>
  <c r="JL81" i="14"/>
  <c r="KB18" i="14"/>
  <c r="JL151" i="14"/>
  <c r="JL143" i="14"/>
  <c r="JL170" i="14"/>
  <c r="JL166" i="14" s="1"/>
  <c r="JL157" i="14"/>
  <c r="JM157" i="14" s="1"/>
  <c r="JL68" i="14"/>
  <c r="JL65" i="14"/>
  <c r="JR165" i="14"/>
  <c r="JQ165" i="14"/>
  <c r="JP165" i="14"/>
  <c r="JO165" i="14"/>
  <c r="JN165" i="14"/>
  <c r="JM165" i="14"/>
  <c r="JR150" i="14"/>
  <c r="JQ150" i="14"/>
  <c r="JP150" i="14"/>
  <c r="JO150" i="14"/>
  <c r="JN150" i="14"/>
  <c r="JM150" i="14"/>
  <c r="JR128" i="14"/>
  <c r="JQ128" i="14"/>
  <c r="JP128" i="14"/>
  <c r="JO128" i="14"/>
  <c r="JN128" i="14"/>
  <c r="JM128" i="14"/>
  <c r="JR105" i="14"/>
  <c r="JQ105" i="14"/>
  <c r="JP105" i="14"/>
  <c r="JO105" i="14"/>
  <c r="JN105" i="14"/>
  <c r="JM105" i="14"/>
  <c r="JR104" i="14"/>
  <c r="JQ104" i="14"/>
  <c r="JP104" i="14"/>
  <c r="JO104" i="14"/>
  <c r="JN104" i="14"/>
  <c r="JM104" i="14"/>
  <c r="JR79" i="14"/>
  <c r="JQ79" i="14"/>
  <c r="JP79" i="14"/>
  <c r="JO79" i="14"/>
  <c r="JN79" i="14"/>
  <c r="JM79" i="14"/>
  <c r="JR76" i="14"/>
  <c r="JQ76" i="14"/>
  <c r="JP76" i="14"/>
  <c r="JO76" i="14"/>
  <c r="JN76" i="14"/>
  <c r="JM76" i="14"/>
  <c r="JR71" i="14"/>
  <c r="JQ71" i="14"/>
  <c r="JP71" i="14"/>
  <c r="JO71" i="14"/>
  <c r="JN71" i="14"/>
  <c r="JM71" i="14"/>
  <c r="JL165" i="14"/>
  <c r="JL150" i="14"/>
  <c r="JL129" i="14"/>
  <c r="JL128" i="14"/>
  <c r="JL105" i="14"/>
  <c r="JL104" i="14"/>
  <c r="JL76" i="14"/>
  <c r="JL71" i="14"/>
  <c r="JL70" i="14"/>
  <c r="U15" i="11" s="1"/>
  <c r="BC15" i="11" s="1"/>
  <c r="JL60" i="14"/>
  <c r="JL58" i="14"/>
  <c r="JL51" i="14"/>
  <c r="JL42" i="14"/>
  <c r="JL28" i="14"/>
  <c r="JL32" i="14" s="1"/>
  <c r="JL11" i="14"/>
  <c r="JL9" i="14"/>
  <c r="JL6" i="14"/>
  <c r="U13" i="11" s="1"/>
  <c r="BC13" i="11" s="1"/>
  <c r="JM163" i="14" l="1"/>
  <c r="V43" i="11"/>
  <c r="BD43" i="11" s="1"/>
  <c r="JM166" i="14"/>
  <c r="JL163" i="14"/>
  <c r="U43" i="11"/>
  <c r="BC43" i="11" s="1"/>
  <c r="JV157" i="14"/>
  <c r="JV32" i="14"/>
  <c r="KB164" i="14"/>
  <c r="KB159" i="14"/>
  <c r="KB158" i="14"/>
  <c r="KB149" i="14"/>
  <c r="KB142" i="14"/>
  <c r="KB140" i="14"/>
  <c r="KB139" i="14"/>
  <c r="KB138" i="14"/>
  <c r="KB137" i="14"/>
  <c r="KB136" i="14"/>
  <c r="KB135" i="14"/>
  <c r="KB134" i="14"/>
  <c r="KB133" i="14"/>
  <c r="KB132" i="14"/>
  <c r="KB131" i="14"/>
  <c r="KB130" i="14"/>
  <c r="KB127" i="14"/>
  <c r="KB126" i="14"/>
  <c r="KB125" i="14"/>
  <c r="KB123" i="14"/>
  <c r="KB119" i="14"/>
  <c r="KB112" i="14"/>
  <c r="KB109" i="14"/>
  <c r="KB108" i="14"/>
  <c r="KB106" i="14"/>
  <c r="KB102" i="14"/>
  <c r="KB100" i="14"/>
  <c r="KB99" i="14"/>
  <c r="KB98" i="14"/>
  <c r="KB95" i="14"/>
  <c r="KB91" i="14"/>
  <c r="KB90" i="14"/>
  <c r="KB89" i="14"/>
  <c r="KB88" i="14"/>
  <c r="KB86" i="14"/>
  <c r="KB85" i="14"/>
  <c r="KB84" i="14"/>
  <c r="KB83" i="14"/>
  <c r="KB82" i="14"/>
  <c r="KB74" i="14"/>
  <c r="KB73" i="14"/>
  <c r="KB69" i="14"/>
  <c r="KB59" i="14"/>
  <c r="KB57" i="14"/>
  <c r="KB50" i="14"/>
  <c r="KB41" i="14"/>
  <c r="KB37" i="14"/>
  <c r="KB38" i="14" s="1"/>
  <c r="KB33" i="14"/>
  <c r="KB34" i="14" s="1"/>
  <c r="KB27" i="14"/>
  <c r="KB10" i="14"/>
  <c r="KB8" i="14"/>
  <c r="KB5" i="14"/>
  <c r="JD79" i="14"/>
  <c r="JD58" i="14"/>
  <c r="AM40" i="7" l="1"/>
  <c r="K40" i="7"/>
  <c r="J40" i="7"/>
  <c r="I40" i="7"/>
  <c r="H40" i="7"/>
  <c r="G40" i="7"/>
  <c r="F40" i="7"/>
  <c r="E40" i="7"/>
  <c r="D40" i="7"/>
  <c r="AM86" i="7"/>
  <c r="AM71" i="7"/>
  <c r="AM72" i="7" s="1"/>
  <c r="AH206" i="7"/>
  <c r="AI206" i="7" s="1"/>
  <c r="AJ206" i="7" s="1"/>
  <c r="AJ76" i="8"/>
  <c r="AK76" i="8" s="1"/>
  <c r="U164" i="14"/>
  <c r="IH171" i="14" l="1"/>
  <c r="IH169" i="14"/>
  <c r="IH168" i="14"/>
  <c r="IF171" i="14"/>
  <c r="IF169" i="14"/>
  <c r="IF168" i="14"/>
  <c r="IE171" i="14"/>
  <c r="IE169" i="14"/>
  <c r="IE168" i="14"/>
  <c r="IZ171" i="14"/>
  <c r="IZ169" i="14"/>
  <c r="IZ168" i="14"/>
  <c r="IV171" i="14"/>
  <c r="IV169" i="14"/>
  <c r="IV168" i="14"/>
  <c r="IU171" i="14"/>
  <c r="IU169" i="14"/>
  <c r="IU168" i="14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JC139" i="14" l="1"/>
  <c r="JC134" i="14"/>
  <c r="JC137" i="14"/>
  <c r="JC135" i="14"/>
  <c r="JB135" i="14" s="1"/>
  <c r="JA135" i="14"/>
  <c r="JC133" i="14"/>
  <c r="JB133" i="14" s="1"/>
  <c r="JA133" i="14"/>
  <c r="JC132" i="14"/>
  <c r="JB132" i="14" s="1"/>
  <c r="JA132" i="14"/>
  <c r="JC131" i="14"/>
  <c r="JB131" i="14" s="1"/>
  <c r="JA131" i="14"/>
  <c r="JC126" i="14"/>
  <c r="JB126" i="14" s="1"/>
  <c r="JA126" i="14"/>
  <c r="JC125" i="14"/>
  <c r="JB125" i="14" s="1"/>
  <c r="JA125" i="14"/>
  <c r="JC122" i="14"/>
  <c r="JB122" i="14" s="1"/>
  <c r="JA122" i="14"/>
  <c r="JC121" i="14"/>
  <c r="JB121" i="14" s="1"/>
  <c r="JA121" i="14"/>
  <c r="JC120" i="14"/>
  <c r="JB120" i="14" s="1"/>
  <c r="JA120" i="14"/>
  <c r="JA117" i="14"/>
  <c r="JC116" i="14"/>
  <c r="JB116" i="14" s="1"/>
  <c r="JA116" i="14"/>
  <c r="JC115" i="14"/>
  <c r="JB115" i="14" s="1"/>
  <c r="JA115" i="14"/>
  <c r="IZ114" i="14"/>
  <c r="JC110" i="14"/>
  <c r="JB110" i="14" s="1"/>
  <c r="JC109" i="14"/>
  <c r="JB109" i="14" s="1"/>
  <c r="JC108" i="14"/>
  <c r="JB108" i="14" s="1"/>
  <c r="JA110" i="14"/>
  <c r="JA109" i="14"/>
  <c r="JA108" i="14"/>
  <c r="AK228" i="9"/>
  <c r="AK227" i="9"/>
  <c r="AK226" i="9"/>
  <c r="AK219" i="9"/>
  <c r="AK218" i="9"/>
  <c r="AI217" i="9"/>
  <c r="AK233" i="9"/>
  <c r="AL234" i="9" s="1"/>
  <c r="AI233" i="9"/>
  <c r="AJ234" i="9" s="1"/>
  <c r="AK230" i="9"/>
  <c r="AI230" i="9"/>
  <c r="AK222" i="9"/>
  <c r="AI222" i="9"/>
  <c r="AK191" i="9"/>
  <c r="AI191" i="9"/>
  <c r="AI184" i="9"/>
  <c r="AK184" i="9"/>
  <c r="AL184" i="9" s="1"/>
  <c r="AH234" i="9"/>
  <c r="AG234" i="9"/>
  <c r="AF234" i="9"/>
  <c r="AE234" i="9"/>
  <c r="AD234" i="9"/>
  <c r="AH223" i="9"/>
  <c r="AG223" i="9"/>
  <c r="AF223" i="9"/>
  <c r="AE223" i="9"/>
  <c r="AD223" i="9"/>
  <c r="AK214" i="9"/>
  <c r="AI80" i="8"/>
  <c r="AJ80" i="8" s="1"/>
  <c r="AK80" i="8" s="1"/>
  <c r="AD97" i="8"/>
  <c r="AI187" i="9" s="1"/>
  <c r="AD95" i="8"/>
  <c r="AF97" i="8"/>
  <c r="AK187" i="9" s="1"/>
  <c r="AF95" i="8"/>
  <c r="AG54" i="8"/>
  <c r="AH54" i="8" s="1"/>
  <c r="AI54" i="8" s="1"/>
  <c r="AJ54" i="8" s="1"/>
  <c r="AK54" i="8" s="1"/>
  <c r="JD81" i="14"/>
  <c r="AD84" i="8"/>
  <c r="AF84" i="8"/>
  <c r="AF87" i="8" s="1"/>
  <c r="AD5" i="8"/>
  <c r="AF5" i="8"/>
  <c r="AF78" i="8" s="1"/>
  <c r="AF99" i="8"/>
  <c r="AD12" i="8"/>
  <c r="AD20" i="8"/>
  <c r="AF20" i="8"/>
  <c r="AF12" i="8"/>
  <c r="AC59" i="8"/>
  <c r="AC47" i="8"/>
  <c r="AC19" i="8"/>
  <c r="AC8" i="8"/>
  <c r="AC7" i="8"/>
  <c r="AE40" i="8"/>
  <c r="AE59" i="8"/>
  <c r="AE47" i="8"/>
  <c r="AE19" i="8"/>
  <c r="AE8" i="8"/>
  <c r="AE7" i="8"/>
  <c r="AK94" i="9"/>
  <c r="AK99" i="9"/>
  <c r="AO89" i="9"/>
  <c r="AP89" i="9" s="1"/>
  <c r="AN92" i="9"/>
  <c r="AO92" i="9" s="1"/>
  <c r="AP92" i="9" s="1"/>
  <c r="AN86" i="9"/>
  <c r="AO86" i="9" s="1"/>
  <c r="AP86" i="9" s="1"/>
  <c r="AJ90" i="9"/>
  <c r="AH184" i="9"/>
  <c r="AH150" i="9"/>
  <c r="AH146" i="9"/>
  <c r="AH147" i="9" s="1"/>
  <c r="AH72" i="9"/>
  <c r="AC90" i="9"/>
  <c r="AD90" i="9" s="1"/>
  <c r="AE90" i="9" s="1"/>
  <c r="AF90" i="9" s="1"/>
  <c r="AK79" i="9"/>
  <c r="AR80" i="9" s="1"/>
  <c r="AR95" i="9" l="1"/>
  <c r="AL230" i="9"/>
  <c r="JX142" i="14" s="1"/>
  <c r="JX73" i="14"/>
  <c r="JZ73" i="14" s="1"/>
  <c r="AM230" i="9"/>
  <c r="AF94" i="8"/>
  <c r="AK223" i="9"/>
  <c r="AI223" i="9"/>
  <c r="AJ223" i="9"/>
  <c r="AK234" i="9"/>
  <c r="AI234" i="9"/>
  <c r="AG90" i="9"/>
  <c r="AH90" i="9" s="1"/>
  <c r="AJ144" i="9"/>
  <c r="AJ136" i="9"/>
  <c r="AJ121" i="9"/>
  <c r="AL121" i="9" s="1"/>
  <c r="AM121" i="9" s="1"/>
  <c r="AN121" i="9" s="1"/>
  <c r="AO121" i="9" s="1"/>
  <c r="AP121" i="9" s="1"/>
  <c r="AI149" i="9"/>
  <c r="AI150" i="9" s="1"/>
  <c r="AI146" i="9"/>
  <c r="AI147" i="9" s="1"/>
  <c r="AI138" i="9"/>
  <c r="AI124" i="9"/>
  <c r="AI94" i="9"/>
  <c r="AI79" i="9"/>
  <c r="AI77" i="9"/>
  <c r="AI74" i="9"/>
  <c r="AI71" i="9"/>
  <c r="AJ71" i="9" s="1"/>
  <c r="AJ72" i="9" s="1"/>
  <c r="AI144" i="9"/>
  <c r="AK144" i="9" s="1"/>
  <c r="AI136" i="9"/>
  <c r="AK136" i="9" s="1"/>
  <c r="AI121" i="9"/>
  <c r="AI105" i="9"/>
  <c r="AH317" i="9"/>
  <c r="AH366" i="9" s="1"/>
  <c r="AH406" i="9" s="1"/>
  <c r="AH237" i="9"/>
  <c r="AH238" i="9" s="1"/>
  <c r="AH214" i="9"/>
  <c r="AH105" i="9"/>
  <c r="AH24" i="9"/>
  <c r="AK149" i="9"/>
  <c r="AL149" i="9" s="1"/>
  <c r="AK146" i="9"/>
  <c r="AK138" i="9"/>
  <c r="AR139" i="9" s="1"/>
  <c r="AK124" i="9"/>
  <c r="AR125" i="9" s="1"/>
  <c r="AK77" i="9"/>
  <c r="AK74" i="9"/>
  <c r="AK71" i="9"/>
  <c r="AL71" i="9" s="1"/>
  <c r="AJ240" i="9"/>
  <c r="AJ239" i="9"/>
  <c r="AJ317" i="9"/>
  <c r="AJ366" i="9" s="1"/>
  <c r="AJ406" i="9" s="1"/>
  <c r="AJ105" i="9"/>
  <c r="AJ24" i="9"/>
  <c r="AR74" i="9"/>
  <c r="AR71" i="9"/>
  <c r="BN33" i="11"/>
  <c r="BN32" i="11"/>
  <c r="BN31" i="11"/>
  <c r="BN30" i="11"/>
  <c r="BN28" i="11"/>
  <c r="BN27" i="11"/>
  <c r="BN26" i="11"/>
  <c r="BN24" i="11"/>
  <c r="BN23" i="11"/>
  <c r="AF42" i="11"/>
  <c r="BN42" i="11" s="1"/>
  <c r="AF41" i="11"/>
  <c r="BN41" i="11" s="1"/>
  <c r="AF40" i="11"/>
  <c r="BN40" i="11" s="1"/>
  <c r="AF39" i="11"/>
  <c r="BN39" i="11" s="1"/>
  <c r="AF38" i="11"/>
  <c r="BN38" i="11" s="1"/>
  <c r="AF37" i="11"/>
  <c r="BN37" i="11" s="1"/>
  <c r="AF35" i="11"/>
  <c r="BN35" i="11" s="1"/>
  <c r="AF34" i="11"/>
  <c r="BN34" i="11" s="1"/>
  <c r="AF29" i="11"/>
  <c r="BN29" i="11" s="1"/>
  <c r="AF25" i="11"/>
  <c r="BN25" i="11" s="1"/>
  <c r="AF22" i="11"/>
  <c r="BN22" i="11" s="1"/>
  <c r="AF21" i="11"/>
  <c r="BN21" i="11" s="1"/>
  <c r="AF20" i="11"/>
  <c r="AF17" i="11"/>
  <c r="BN17" i="11" s="1"/>
  <c r="AF14" i="11"/>
  <c r="AF12" i="11"/>
  <c r="BN16" i="11"/>
  <c r="AR78" i="9" l="1"/>
  <c r="JW142" i="14"/>
  <c r="JU142" i="14" s="1"/>
  <c r="X41" i="11" s="1"/>
  <c r="BF41" i="11" s="1"/>
  <c r="JZ142" i="14"/>
  <c r="AR147" i="9"/>
  <c r="AL146" i="9"/>
  <c r="JW73" i="14"/>
  <c r="BN14" i="11"/>
  <c r="AG15" i="11"/>
  <c r="BO15" i="11" s="1"/>
  <c r="BN12" i="11"/>
  <c r="AG13" i="11"/>
  <c r="BO13" i="11" s="1"/>
  <c r="AR72" i="9"/>
  <c r="AR185" i="9"/>
  <c r="AR152" i="9"/>
  <c r="AR75" i="9"/>
  <c r="AR189" i="9"/>
  <c r="AL72" i="9"/>
  <c r="JX8" i="14"/>
  <c r="JW8" i="14" s="1"/>
  <c r="JU8" i="14" s="1"/>
  <c r="AM71" i="9"/>
  <c r="AR150" i="9"/>
  <c r="AN230" i="9"/>
  <c r="AF45" i="11"/>
  <c r="BN45" i="11" s="1"/>
  <c r="AF48" i="11"/>
  <c r="BN48" i="11" s="1"/>
  <c r="AF46" i="11"/>
  <c r="BN46" i="11" s="1"/>
  <c r="BN20" i="11"/>
  <c r="AK196" i="9"/>
  <c r="AK195" i="9"/>
  <c r="AK143" i="9"/>
  <c r="AL143" i="9" s="1"/>
  <c r="AK141" i="9"/>
  <c r="AL141" i="9" s="1"/>
  <c r="AK134" i="9"/>
  <c r="AK126" i="9"/>
  <c r="AJ149" i="9"/>
  <c r="AJ150" i="9" s="1"/>
  <c r="AK152" i="9"/>
  <c r="AJ237" i="9"/>
  <c r="AH235" i="9"/>
  <c r="AI72" i="9"/>
  <c r="AH185" i="9"/>
  <c r="AF47" i="11"/>
  <c r="BN47" i="11" s="1"/>
  <c r="AF49" i="11"/>
  <c r="BN49" i="11" s="1"/>
  <c r="AF50" i="11"/>
  <c r="BN50" i="11" s="1"/>
  <c r="AF19" i="11"/>
  <c r="AF36" i="11"/>
  <c r="BN36" i="11" s="1"/>
  <c r="JU73" i="14" l="1"/>
  <c r="X37" i="11" s="1"/>
  <c r="BF37" i="11" s="1"/>
  <c r="AL134" i="9"/>
  <c r="JX59" i="14"/>
  <c r="JW59" i="14" s="1"/>
  <c r="JU59" i="14" s="1"/>
  <c r="AM149" i="9"/>
  <c r="AN149" i="9" s="1"/>
  <c r="AO149" i="9" s="1"/>
  <c r="AP149" i="9" s="1"/>
  <c r="AR153" i="9"/>
  <c r="AN71" i="9"/>
  <c r="AO71" i="9" s="1"/>
  <c r="AP71" i="9" s="1"/>
  <c r="AM72" i="9"/>
  <c r="AP233" i="9"/>
  <c r="AM143" i="9"/>
  <c r="AO230" i="9"/>
  <c r="AM141" i="9"/>
  <c r="AF55" i="11"/>
  <c r="BN19" i="11"/>
  <c r="BN55" i="11" s="1"/>
  <c r="AK140" i="9"/>
  <c r="AL140" i="9" s="1"/>
  <c r="AK135" i="9"/>
  <c r="AL135" i="9" s="1"/>
  <c r="AJ238" i="9"/>
  <c r="AF51" i="11"/>
  <c r="BN51" i="11" s="1"/>
  <c r="AN72" i="9" l="1"/>
  <c r="AM135" i="9"/>
  <c r="AN141" i="9"/>
  <c r="AN143" i="9"/>
  <c r="AO72" i="9"/>
  <c r="AP230" i="9"/>
  <c r="AM140" i="9"/>
  <c r="KD169" i="14"/>
  <c r="KD168" i="14"/>
  <c r="KC169" i="14"/>
  <c r="KC168" i="14"/>
  <c r="JJ168" i="14"/>
  <c r="JK168" i="14"/>
  <c r="JT168" i="14"/>
  <c r="JU168" i="14"/>
  <c r="KH168" i="14"/>
  <c r="JJ169" i="14"/>
  <c r="JK169" i="14"/>
  <c r="JT169" i="14"/>
  <c r="JU169" i="14"/>
  <c r="KH169" i="14"/>
  <c r="IR170" i="14"/>
  <c r="JD170" i="14"/>
  <c r="JP171" i="14" s="1"/>
  <c r="JM171" i="14" s="1"/>
  <c r="KD164" i="14"/>
  <c r="JJ108" i="14"/>
  <c r="KC105" i="14"/>
  <c r="KB105" i="14" s="1"/>
  <c r="KH106" i="14"/>
  <c r="JT123" i="14"/>
  <c r="JY123" i="14" s="1"/>
  <c r="JK123" i="14"/>
  <c r="JV123" i="14" s="1"/>
  <c r="JJ123" i="14"/>
  <c r="JX125" i="14"/>
  <c r="JK119" i="14"/>
  <c r="JJ119" i="14"/>
  <c r="JX121" i="14"/>
  <c r="KD159" i="14"/>
  <c r="KD158" i="14"/>
  <c r="KH150" i="14"/>
  <c r="KC150" i="14"/>
  <c r="KH151" i="14"/>
  <c r="KC151" i="14"/>
  <c r="KB151" i="14" s="1"/>
  <c r="KH143" i="14"/>
  <c r="KC143" i="14"/>
  <c r="KB143" i="14" s="1"/>
  <c r="JJ143" i="14"/>
  <c r="JV143" i="14"/>
  <c r="KD149" i="14"/>
  <c r="KD142" i="14"/>
  <c r="KH129" i="14"/>
  <c r="KC129" i="14"/>
  <c r="KH75" i="14"/>
  <c r="KC75" i="14"/>
  <c r="KD140" i="14"/>
  <c r="KD139" i="14"/>
  <c r="KD138" i="14"/>
  <c r="KD137" i="14"/>
  <c r="KD134" i="14"/>
  <c r="JX99" i="14"/>
  <c r="JT98" i="14"/>
  <c r="JY98" i="14" s="1"/>
  <c r="JK98" i="14"/>
  <c r="JV98" i="14" s="1"/>
  <c r="JJ98" i="14"/>
  <c r="KC76" i="14"/>
  <c r="JX31" i="14"/>
  <c r="IX34" i="14"/>
  <c r="IX38" i="14"/>
  <c r="JD38" i="14"/>
  <c r="JJ59" i="14"/>
  <c r="KH60" i="14"/>
  <c r="KC60" i="14"/>
  <c r="JD60" i="14"/>
  <c r="JA60" i="14"/>
  <c r="JJ57" i="14"/>
  <c r="JJ149" i="14" s="1"/>
  <c r="KH58" i="14"/>
  <c r="KC58" i="14"/>
  <c r="JA58" i="14"/>
  <c r="JT51" i="14"/>
  <c r="JK51" i="14"/>
  <c r="JJ51" i="14"/>
  <c r="JJ50" i="14" s="1"/>
  <c r="JX53" i="14"/>
  <c r="JX55" i="14"/>
  <c r="JX49" i="14"/>
  <c r="JX47" i="14"/>
  <c r="JX44" i="14"/>
  <c r="JT42" i="14"/>
  <c r="JK42" i="14"/>
  <c r="JJ42" i="14"/>
  <c r="JJ41" i="14" s="1"/>
  <c r="JK29" i="14"/>
  <c r="JV29" i="14" s="1"/>
  <c r="JJ29" i="14"/>
  <c r="JJ8" i="14"/>
  <c r="KH9" i="14"/>
  <c r="KC9" i="14"/>
  <c r="JD9" i="14"/>
  <c r="JA9" i="14"/>
  <c r="IX9" i="14"/>
  <c r="IU9" i="14"/>
  <c r="IR9" i="14"/>
  <c r="IJ9" i="14"/>
  <c r="IG9" i="14"/>
  <c r="IE9" i="14"/>
  <c r="JX21" i="14"/>
  <c r="KH105" i="14" l="1"/>
  <c r="AR198" i="9"/>
  <c r="KC170" i="14"/>
  <c r="KC166" i="14" s="1"/>
  <c r="JL171" i="14"/>
  <c r="IF170" i="14"/>
  <c r="IH170" i="14"/>
  <c r="IE170" i="14"/>
  <c r="IE166" i="14" s="1"/>
  <c r="AO143" i="9"/>
  <c r="AO141" i="9"/>
  <c r="JJ110" i="14"/>
  <c r="JJ106" i="14" s="1"/>
  <c r="JJ105" i="14" s="1"/>
  <c r="JJ102" i="14" s="1"/>
  <c r="JJ103" i="14" s="1"/>
  <c r="JJ170" i="14"/>
  <c r="JJ171" i="14" s="1"/>
  <c r="IU170" i="14"/>
  <c r="IU166" i="14" s="1"/>
  <c r="IZ170" i="14"/>
  <c r="IV170" i="14"/>
  <c r="JK28" i="14"/>
  <c r="AN135" i="9"/>
  <c r="KC171" i="14"/>
  <c r="KD170" i="14"/>
  <c r="KD166" i="14" s="1"/>
  <c r="AN140" i="9"/>
  <c r="JU170" i="14"/>
  <c r="JU171" i="14" s="1"/>
  <c r="JK170" i="14"/>
  <c r="JK171" i="14" s="1"/>
  <c r="KH170" i="14"/>
  <c r="KH166" i="14" s="1"/>
  <c r="JT170" i="14"/>
  <c r="JT171" i="14" s="1"/>
  <c r="JX126" i="14"/>
  <c r="JU126" i="14" s="1"/>
  <c r="JW126" i="14" s="1"/>
  <c r="JX122" i="14"/>
  <c r="JU122" i="14" s="1"/>
  <c r="JW122" i="14" s="1"/>
  <c r="JJ151" i="14"/>
  <c r="JV119" i="14"/>
  <c r="JJ130" i="14"/>
  <c r="JJ127" i="14" s="1"/>
  <c r="JJ129" i="14" s="1"/>
  <c r="JX143" i="14"/>
  <c r="JT29" i="14"/>
  <c r="AL99" i="9"/>
  <c r="JJ28" i="14"/>
  <c r="KD171" i="14" l="1"/>
  <c r="JU123" i="14"/>
  <c r="JW123" i="14" s="1"/>
  <c r="JW119" i="14"/>
  <c r="JU119" i="14"/>
  <c r="AP72" i="9"/>
  <c r="JJ27" i="14"/>
  <c r="JT28" i="14"/>
  <c r="AP141" i="9"/>
  <c r="AO135" i="9"/>
  <c r="AP143" i="9"/>
  <c r="KH171" i="14"/>
  <c r="AG99" i="8"/>
  <c r="AL214" i="9"/>
  <c r="AO140" i="9"/>
  <c r="JJ128" i="14"/>
  <c r="JX30" i="14"/>
  <c r="JU29" i="14"/>
  <c r="JW29" i="14" l="1"/>
  <c r="AP135" i="9"/>
  <c r="AP140" i="9"/>
  <c r="JX29" i="14" l="1"/>
  <c r="AL83" i="9"/>
  <c r="AL196" i="9" s="1"/>
  <c r="AL197" i="9" s="1"/>
  <c r="JX110" i="14" s="1"/>
  <c r="KH141" i="14"/>
  <c r="KC141" i="14"/>
  <c r="KH136" i="14"/>
  <c r="KD133" i="14"/>
  <c r="KD132" i="14"/>
  <c r="KD131" i="14"/>
  <c r="KD126" i="14"/>
  <c r="KD125" i="14"/>
  <c r="KD122" i="14"/>
  <c r="KD121" i="14"/>
  <c r="KH114" i="14"/>
  <c r="KH117" i="14" s="1"/>
  <c r="KD109" i="14"/>
  <c r="KD108" i="14"/>
  <c r="KC110" i="14"/>
  <c r="KD100" i="14"/>
  <c r="KD99" i="14"/>
  <c r="KD95" i="14"/>
  <c r="KD91" i="14"/>
  <c r="KD90" i="14"/>
  <c r="KC81" i="14"/>
  <c r="KH81" i="14"/>
  <c r="KD84" i="14"/>
  <c r="KD83" i="14"/>
  <c r="KD86" i="14"/>
  <c r="KC87" i="14"/>
  <c r="KH88" i="14"/>
  <c r="KD88" i="14" s="1"/>
  <c r="JD88" i="14"/>
  <c r="JD130" i="14"/>
  <c r="JD106" i="14"/>
  <c r="JC106" i="14" s="1"/>
  <c r="JD114" i="14"/>
  <c r="KD89" i="14"/>
  <c r="KD127" i="14"/>
  <c r="KD123" i="14"/>
  <c r="KD119" i="14"/>
  <c r="KD112" i="14"/>
  <c r="KD98" i="14"/>
  <c r="KD102" i="14"/>
  <c r="Z37" i="13"/>
  <c r="Y37" i="13"/>
  <c r="X37" i="13"/>
  <c r="AE37" i="13"/>
  <c r="AD37" i="13"/>
  <c r="AB37" i="13"/>
  <c r="AA37" i="13"/>
  <c r="AC37" i="13"/>
  <c r="AA17" i="13"/>
  <c r="AB17" i="13"/>
  <c r="AC17" i="13"/>
  <c r="AE17" i="13"/>
  <c r="AD17" i="13"/>
  <c r="KH97" i="14"/>
  <c r="KD97" i="14" s="1"/>
  <c r="KC11" i="14"/>
  <c r="JC164" i="14"/>
  <c r="JC162" i="14"/>
  <c r="JC161" i="14"/>
  <c r="JC160" i="14"/>
  <c r="IZ162" i="14"/>
  <c r="IZ161" i="14"/>
  <c r="IZ160" i="14"/>
  <c r="IX151" i="14"/>
  <c r="JD151" i="14"/>
  <c r="JD150" i="14"/>
  <c r="JD143" i="14"/>
  <c r="JC159" i="14"/>
  <c r="JC158" i="14"/>
  <c r="JC149" i="14"/>
  <c r="JC142" i="14"/>
  <c r="KE143" i="14" s="1"/>
  <c r="KC71" i="14"/>
  <c r="KH70" i="14"/>
  <c r="KC70" i="14"/>
  <c r="KH38" i="14"/>
  <c r="KC38" i="14"/>
  <c r="KH34" i="14"/>
  <c r="KC34" i="14"/>
  <c r="KH62" i="14"/>
  <c r="KC62" i="14"/>
  <c r="KH51" i="14"/>
  <c r="KC51" i="14"/>
  <c r="KH42" i="14"/>
  <c r="KC42" i="14"/>
  <c r="KH28" i="14"/>
  <c r="KH32" i="14" s="1"/>
  <c r="KC28" i="14"/>
  <c r="KH6" i="14"/>
  <c r="KC6" i="14"/>
  <c r="KC17" i="14"/>
  <c r="KH17" i="14"/>
  <c r="KC19" i="14"/>
  <c r="KC24" i="14" s="1"/>
  <c r="KD18" i="14"/>
  <c r="KC79" i="14"/>
  <c r="KH79" i="14"/>
  <c r="KH76" i="14"/>
  <c r="KH71" i="14"/>
  <c r="KH19" i="14"/>
  <c r="KH11" i="14"/>
  <c r="KC104" i="14"/>
  <c r="KH104" i="14"/>
  <c r="JD104" i="14"/>
  <c r="KC128" i="14"/>
  <c r="KH128" i="14"/>
  <c r="JD128" i="14"/>
  <c r="JA62" i="14"/>
  <c r="IU37" i="14"/>
  <c r="JC77" i="14"/>
  <c r="JD20" i="14"/>
  <c r="JC17" i="14"/>
  <c r="JB17" i="14"/>
  <c r="JD19" i="14"/>
  <c r="JD24" i="14" s="1"/>
  <c r="JC18" i="14"/>
  <c r="JC127" i="14"/>
  <c r="JC123" i="14"/>
  <c r="JC119" i="14"/>
  <c r="JC112" i="14"/>
  <c r="JC102" i="14"/>
  <c r="JQ103" i="14" s="1"/>
  <c r="JC98" i="14"/>
  <c r="JC89" i="14"/>
  <c r="JC85" i="14"/>
  <c r="JC82" i="14"/>
  <c r="JD76" i="14"/>
  <c r="JD71" i="14"/>
  <c r="JD51" i="14"/>
  <c r="JD42" i="14"/>
  <c r="JD34" i="14"/>
  <c r="JD28" i="14"/>
  <c r="JA68" i="14"/>
  <c r="JA65" i="14"/>
  <c r="IZ66" i="14"/>
  <c r="JN67" i="14" s="1"/>
  <c r="JC74" i="14"/>
  <c r="JC73" i="14"/>
  <c r="JD11" i="14"/>
  <c r="JD6" i="14"/>
  <c r="IZ63" i="14"/>
  <c r="JN64" i="14" s="1"/>
  <c r="JC69" i="14"/>
  <c r="JC59" i="14"/>
  <c r="JC57" i="14"/>
  <c r="JC50" i="14"/>
  <c r="JC37" i="14"/>
  <c r="KE38" i="14" s="1"/>
  <c r="JC41" i="14"/>
  <c r="JC33" i="14"/>
  <c r="JC27" i="14"/>
  <c r="JC10" i="14"/>
  <c r="JC8" i="14"/>
  <c r="JC5" i="14"/>
  <c r="KD85" i="14"/>
  <c r="KD77" i="14"/>
  <c r="KD82" i="14"/>
  <c r="KD74" i="14"/>
  <c r="KD73" i="14"/>
  <c r="KD69" i="14"/>
  <c r="KD165" i="14" s="1"/>
  <c r="KD59" i="14"/>
  <c r="KD57" i="14"/>
  <c r="KD150" i="14" s="1"/>
  <c r="KD50" i="14"/>
  <c r="KD41" i="14"/>
  <c r="KD37" i="14"/>
  <c r="KD33" i="14"/>
  <c r="KD27" i="14"/>
  <c r="KD10" i="14"/>
  <c r="KD8" i="14"/>
  <c r="KD5" i="14"/>
  <c r="KC165" i="14"/>
  <c r="KC157" i="14"/>
  <c r="KC163" i="14" s="1"/>
  <c r="T42" i="11"/>
  <c r="T41" i="11"/>
  <c r="T40" i="11"/>
  <c r="T39" i="11"/>
  <c r="T38" i="11"/>
  <c r="T37" i="11"/>
  <c r="T35" i="11"/>
  <c r="T34" i="11"/>
  <c r="T29" i="11"/>
  <c r="T25" i="11"/>
  <c r="T22" i="11"/>
  <c r="T21" i="11"/>
  <c r="T20" i="11"/>
  <c r="KD130" i="14"/>
  <c r="KD106" i="14"/>
  <c r="JD62" i="14"/>
  <c r="KH165" i="14"/>
  <c r="JD165" i="14"/>
  <c r="KH157" i="14"/>
  <c r="AR237" i="9" s="1"/>
  <c r="JD157" i="14"/>
  <c r="AD260" i="13"/>
  <c r="AE260" i="13"/>
  <c r="AE255" i="13"/>
  <c r="AE221" i="7"/>
  <c r="AE219" i="7"/>
  <c r="AF219" i="7" s="1"/>
  <c r="AE218" i="7"/>
  <c r="AE217" i="7"/>
  <c r="AE216" i="7"/>
  <c r="AE215" i="7"/>
  <c r="AE212" i="7"/>
  <c r="AE210" i="7"/>
  <c r="AE209" i="7"/>
  <c r="AE206" i="7"/>
  <c r="AE204" i="7"/>
  <c r="AE202" i="7"/>
  <c r="AE201" i="7"/>
  <c r="AE200" i="7"/>
  <c r="AE198" i="7"/>
  <c r="AE178" i="7"/>
  <c r="AE177" i="7"/>
  <c r="AE174" i="7"/>
  <c r="AE173" i="7"/>
  <c r="AE170" i="7"/>
  <c r="AE169" i="7"/>
  <c r="AE166" i="7"/>
  <c r="AE165" i="7"/>
  <c r="AE158" i="7"/>
  <c r="AE157" i="7"/>
  <c r="AE156" i="7"/>
  <c r="AE154" i="7"/>
  <c r="AF154" i="7" s="1"/>
  <c r="AG154" i="7" s="1"/>
  <c r="AH154" i="7" s="1"/>
  <c r="AI154" i="7" s="1"/>
  <c r="AJ154" i="7" s="1"/>
  <c r="AE153" i="7"/>
  <c r="AE152" i="7"/>
  <c r="AF152" i="7" s="1"/>
  <c r="AE151" i="7"/>
  <c r="AF151" i="7" s="1"/>
  <c r="AG151" i="7" s="1"/>
  <c r="AE150" i="7"/>
  <c r="AE145" i="7"/>
  <c r="AE142" i="7"/>
  <c r="AE141" i="7"/>
  <c r="AE140" i="7"/>
  <c r="AE137" i="7"/>
  <c r="AE136" i="7"/>
  <c r="AE134" i="7"/>
  <c r="AE133" i="7"/>
  <c r="AF133" i="7" s="1"/>
  <c r="AE131" i="7"/>
  <c r="AE130" i="7"/>
  <c r="AE127" i="7"/>
  <c r="AE126" i="7"/>
  <c r="AE125" i="7"/>
  <c r="AE124" i="7"/>
  <c r="Z117" i="7"/>
  <c r="Z116" i="7"/>
  <c r="Z115" i="7"/>
  <c r="Z114" i="7"/>
  <c r="Z113" i="7"/>
  <c r="Z112" i="7"/>
  <c r="AA117" i="7"/>
  <c r="AA116" i="7"/>
  <c r="AA115" i="7"/>
  <c r="AA114" i="7"/>
  <c r="AA113" i="7"/>
  <c r="AA112" i="7"/>
  <c r="AB117" i="7"/>
  <c r="AB116" i="7"/>
  <c r="AB115" i="7"/>
  <c r="AB114" i="7"/>
  <c r="AB113" i="7"/>
  <c r="AB112" i="7"/>
  <c r="AC117" i="7"/>
  <c r="AC116" i="7"/>
  <c r="AC115" i="7"/>
  <c r="AC114" i="7"/>
  <c r="AC113" i="7"/>
  <c r="AC112" i="7"/>
  <c r="AD117" i="7"/>
  <c r="AD116" i="7"/>
  <c r="AD115" i="7"/>
  <c r="AI19" i="9" s="1"/>
  <c r="AD114" i="7"/>
  <c r="AI18" i="9" s="1"/>
  <c r="AD113" i="7"/>
  <c r="AI17" i="9" s="1"/>
  <c r="AD112" i="7"/>
  <c r="AI16" i="9" s="1"/>
  <c r="AE116" i="7"/>
  <c r="AE115" i="7"/>
  <c r="AE114" i="7"/>
  <c r="AE113" i="7"/>
  <c r="AE112" i="7"/>
  <c r="AK16" i="9" s="1"/>
  <c r="AE90" i="7"/>
  <c r="AE89" i="7"/>
  <c r="AE88" i="7"/>
  <c r="AK46" i="9" s="1"/>
  <c r="AE87" i="7"/>
  <c r="AE85" i="7"/>
  <c r="AF85" i="7" s="1"/>
  <c r="AG85" i="7" s="1"/>
  <c r="AH85" i="7" s="1"/>
  <c r="AI85" i="7" s="1"/>
  <c r="AE84" i="7"/>
  <c r="AE81" i="7"/>
  <c r="AE80" i="7"/>
  <c r="AE76" i="7"/>
  <c r="AE75" i="7"/>
  <c r="AE74" i="7"/>
  <c r="AE73" i="7"/>
  <c r="AE71" i="7"/>
  <c r="AE68" i="7"/>
  <c r="AE66" i="7"/>
  <c r="AK31" i="9" s="1"/>
  <c r="AE65" i="7"/>
  <c r="AK30" i="9" s="1"/>
  <c r="AE64" i="7"/>
  <c r="AE60" i="7"/>
  <c r="AF60" i="7" s="1"/>
  <c r="AE54" i="7"/>
  <c r="AE52" i="7"/>
  <c r="AF52" i="7" s="1"/>
  <c r="AE35" i="7"/>
  <c r="AE33" i="7"/>
  <c r="AE30" i="7"/>
  <c r="AE27" i="7"/>
  <c r="AE26" i="7"/>
  <c r="JD66" i="14" s="1"/>
  <c r="AE23" i="7"/>
  <c r="AE19" i="7"/>
  <c r="AE21" i="7" s="1"/>
  <c r="AE14" i="7"/>
  <c r="AE240" i="13"/>
  <c r="AD240" i="13"/>
  <c r="AE165" i="13"/>
  <c r="AD101" i="13"/>
  <c r="AE101" i="13"/>
  <c r="AE99" i="13"/>
  <c r="AE79" i="13"/>
  <c r="AE22" i="13"/>
  <c r="AD22" i="13"/>
  <c r="AE89" i="13"/>
  <c r="AD89" i="13"/>
  <c r="AE251" i="13"/>
  <c r="AE245" i="13"/>
  <c r="AE223" i="13"/>
  <c r="AE227" i="13" s="1"/>
  <c r="AE210" i="13"/>
  <c r="AE202" i="13"/>
  <c r="AE201" i="13"/>
  <c r="AE203" i="13" s="1"/>
  <c r="AE199" i="13"/>
  <c r="AE197" i="13"/>
  <c r="AE189" i="13"/>
  <c r="AE179" i="13"/>
  <c r="AE173" i="13"/>
  <c r="AE183" i="13" s="1"/>
  <c r="AE157" i="13"/>
  <c r="AE145" i="13"/>
  <c r="AE149" i="13" s="1"/>
  <c r="AE141" i="13"/>
  <c r="AE131" i="13"/>
  <c r="AE123" i="13"/>
  <c r="AE119" i="13"/>
  <c r="AE129" i="13" s="1"/>
  <c r="AE127" i="13" s="1"/>
  <c r="AE126" i="13" s="1"/>
  <c r="AE114" i="13"/>
  <c r="AE113" i="13"/>
  <c r="AE103" i="13"/>
  <c r="AE97" i="13"/>
  <c r="AE106" i="13" s="1"/>
  <c r="AE78" i="13"/>
  <c r="AE54" i="13"/>
  <c r="AE56" i="13" s="1"/>
  <c r="AE50" i="13"/>
  <c r="AE57" i="7" s="1"/>
  <c r="AE40" i="13"/>
  <c r="AE44" i="13" s="1"/>
  <c r="AE33" i="13"/>
  <c r="AE29" i="13"/>
  <c r="AE24" i="13"/>
  <c r="AE117" i="7" s="1"/>
  <c r="AE13" i="13"/>
  <c r="AE16" i="13" s="1"/>
  <c r="JC66" i="14" l="1"/>
  <c r="JQ67" i="14" s="1"/>
  <c r="JR67" i="14"/>
  <c r="KE81" i="14"/>
  <c r="JQ78" i="14"/>
  <c r="AL89" i="9"/>
  <c r="JQ11" i="14"/>
  <c r="KE11" i="14"/>
  <c r="JQ28" i="14"/>
  <c r="KE28" i="14"/>
  <c r="JQ60" i="14"/>
  <c r="KE60" i="14"/>
  <c r="JQ75" i="14"/>
  <c r="KE75" i="14"/>
  <c r="JQ129" i="14"/>
  <c r="KE129" i="14"/>
  <c r="JB33" i="14"/>
  <c r="KF34" i="14" s="1"/>
  <c r="KE34" i="14"/>
  <c r="JQ70" i="14"/>
  <c r="KE70" i="14"/>
  <c r="JQ19" i="14"/>
  <c r="KE19" i="14"/>
  <c r="KE24" i="14" s="1"/>
  <c r="KD151" i="14"/>
  <c r="KE151" i="14"/>
  <c r="JQ42" i="14"/>
  <c r="KE42" i="14"/>
  <c r="JQ58" i="14"/>
  <c r="KE58" i="14"/>
  <c r="JQ6" i="14"/>
  <c r="KE6" i="14"/>
  <c r="JQ9" i="14"/>
  <c r="KE9" i="14"/>
  <c r="JQ51" i="14"/>
  <c r="KE51" i="14"/>
  <c r="AG152" i="7"/>
  <c r="AH152" i="7" s="1"/>
  <c r="AI152" i="7" s="1"/>
  <c r="AJ152" i="7" s="1"/>
  <c r="AG133" i="7"/>
  <c r="AE226" i="7"/>
  <c r="AE187" i="7"/>
  <c r="AG219" i="7"/>
  <c r="AH219" i="7" s="1"/>
  <c r="AI219" i="7" s="1"/>
  <c r="AJ219" i="7" s="1"/>
  <c r="AJ14" i="9"/>
  <c r="AF137" i="7"/>
  <c r="AG137" i="7" s="1"/>
  <c r="AH137" i="7" s="1"/>
  <c r="AI137" i="7" s="1"/>
  <c r="AJ137" i="7" s="1"/>
  <c r="KD110" i="14"/>
  <c r="KB110" i="14"/>
  <c r="KD87" i="14"/>
  <c r="KB87" i="14"/>
  <c r="KB157" i="14"/>
  <c r="KD105" i="14"/>
  <c r="KD81" i="14"/>
  <c r="AF43" i="11"/>
  <c r="BN43" i="11" s="1"/>
  <c r="BN56" i="11" s="1"/>
  <c r="JD32" i="14"/>
  <c r="AK86" i="9" s="1"/>
  <c r="AF142" i="7"/>
  <c r="AG142" i="7" s="1"/>
  <c r="AH142" i="7" s="1"/>
  <c r="AI142" i="7" s="1"/>
  <c r="AJ142" i="7" s="1"/>
  <c r="AE211" i="7"/>
  <c r="AE194" i="7"/>
  <c r="AE180" i="7"/>
  <c r="AE172" i="7"/>
  <c r="AE168" i="7"/>
  <c r="AF168" i="7" s="1"/>
  <c r="AE181" i="7"/>
  <c r="AE182" i="7"/>
  <c r="AE164" i="7"/>
  <c r="AE176" i="7"/>
  <c r="AE199" i="7"/>
  <c r="AL25" i="9"/>
  <c r="AG52" i="7"/>
  <c r="AF215" i="7"/>
  <c r="AL27" i="9"/>
  <c r="AG60" i="7"/>
  <c r="AK34" i="9"/>
  <c r="AE132" i="7"/>
  <c r="AE128" i="7"/>
  <c r="AE135" i="7"/>
  <c r="AE36" i="7"/>
  <c r="AK26" i="9"/>
  <c r="AK32" i="9"/>
  <c r="JD166" i="14"/>
  <c r="AK47" i="9"/>
  <c r="AE186" i="7"/>
  <c r="AE197" i="7"/>
  <c r="AE207" i="7"/>
  <c r="AF66" i="7"/>
  <c r="AE143" i="7"/>
  <c r="AF73" i="7"/>
  <c r="AE155" i="7"/>
  <c r="AE86" i="7"/>
  <c r="AK51" i="9"/>
  <c r="JD63" i="14"/>
  <c r="AF54" i="7"/>
  <c r="AK14" i="9"/>
  <c r="AE72" i="7"/>
  <c r="AK33" i="9"/>
  <c r="AF113" i="7"/>
  <c r="AG113" i="7" s="1"/>
  <c r="AH113" i="7" s="1"/>
  <c r="AI113" i="7" s="1"/>
  <c r="AJ113" i="7" s="1"/>
  <c r="AK17" i="9"/>
  <c r="AE24" i="7"/>
  <c r="AK18" i="9"/>
  <c r="AF114" i="7"/>
  <c r="AG114" i="7" s="1"/>
  <c r="AH114" i="7" s="1"/>
  <c r="AI114" i="7" s="1"/>
  <c r="AJ114" i="7" s="1"/>
  <c r="AE195" i="7"/>
  <c r="AE214" i="7"/>
  <c r="AK27" i="9"/>
  <c r="AE28" i="7"/>
  <c r="AE56" i="7"/>
  <c r="AK25" i="9"/>
  <c r="AF115" i="7"/>
  <c r="AG115" i="7" s="1"/>
  <c r="AH115" i="7" s="1"/>
  <c r="AI115" i="7" s="1"/>
  <c r="AJ115" i="7" s="1"/>
  <c r="AK19" i="9"/>
  <c r="AE196" i="7"/>
  <c r="AF65" i="7"/>
  <c r="T43" i="11"/>
  <c r="AK237" i="9"/>
  <c r="KD42" i="14"/>
  <c r="JC130" i="14"/>
  <c r="AK225" i="9"/>
  <c r="AF21" i="8"/>
  <c r="AF13" i="8"/>
  <c r="JD117" i="14"/>
  <c r="AE163" i="13"/>
  <c r="AE161" i="13" s="1"/>
  <c r="KH163" i="14"/>
  <c r="KD157" i="14"/>
  <c r="KD129" i="14"/>
  <c r="KD143" i="14"/>
  <c r="JW143" i="14"/>
  <c r="KD104" i="14"/>
  <c r="JB162" i="14"/>
  <c r="KD75" i="14"/>
  <c r="KD9" i="14"/>
  <c r="KD60" i="14"/>
  <c r="JB37" i="14"/>
  <c r="KD58" i="14"/>
  <c r="T50" i="11"/>
  <c r="KD17" i="14"/>
  <c r="JB161" i="14"/>
  <c r="KD128" i="14"/>
  <c r="JC150" i="14"/>
  <c r="KD34" i="14"/>
  <c r="KD38" i="14"/>
  <c r="KD76" i="14"/>
  <c r="KD51" i="14"/>
  <c r="KD28" i="14"/>
  <c r="KD19" i="14"/>
  <c r="KD24" i="14" s="1"/>
  <c r="JB160" i="14"/>
  <c r="KD71" i="14"/>
  <c r="KD79" i="14"/>
  <c r="KD70" i="14"/>
  <c r="JC128" i="14"/>
  <c r="KD11" i="14"/>
  <c r="JD163" i="14"/>
  <c r="T48" i="11"/>
  <c r="KD62" i="14"/>
  <c r="JC165" i="14"/>
  <c r="JC104" i="14"/>
  <c r="KD6" i="14"/>
  <c r="T49" i="11"/>
  <c r="T45" i="11"/>
  <c r="JC76" i="14"/>
  <c r="T47" i="11"/>
  <c r="JB66" i="14"/>
  <c r="JO67" i="14" s="1"/>
  <c r="JC68" i="14"/>
  <c r="JC71" i="14"/>
  <c r="JD105" i="14"/>
  <c r="JD68" i="14"/>
  <c r="JC20" i="14"/>
  <c r="JC79" i="14"/>
  <c r="JC62" i="14"/>
  <c r="T46" i="11"/>
  <c r="AE225" i="7"/>
  <c r="AE148" i="13"/>
  <c r="AE107" i="13"/>
  <c r="AE212" i="13"/>
  <c r="JE68" i="14"/>
  <c r="JC63" i="14" l="1"/>
  <c r="JR64" i="14"/>
  <c r="AE188" i="7"/>
  <c r="AE190" i="7"/>
  <c r="AF136" i="7"/>
  <c r="AG168" i="7"/>
  <c r="AH133" i="7"/>
  <c r="AI133" i="7" s="1"/>
  <c r="AJ133" i="7" s="1"/>
  <c r="AE184" i="7"/>
  <c r="AE160" i="7"/>
  <c r="AE40" i="7"/>
  <c r="AK62" i="9"/>
  <c r="AK92" i="9"/>
  <c r="AK102" i="9"/>
  <c r="AK200" i="9" s="1"/>
  <c r="AF56" i="11"/>
  <c r="JB63" i="14"/>
  <c r="JO64" i="14" s="1"/>
  <c r="JD65" i="14"/>
  <c r="AE36" i="13"/>
  <c r="AE203" i="7"/>
  <c r="AF203" i="7" s="1"/>
  <c r="AE62" i="7"/>
  <c r="AE61" i="7" s="1"/>
  <c r="AE220" i="7"/>
  <c r="AH151" i="7"/>
  <c r="AG215" i="7"/>
  <c r="AM25" i="9"/>
  <c r="AH52" i="7"/>
  <c r="AG66" i="7"/>
  <c r="AL31" i="9"/>
  <c r="AH60" i="7"/>
  <c r="AM27" i="9"/>
  <c r="AG65" i="7"/>
  <c r="AL30" i="9"/>
  <c r="AL26" i="9"/>
  <c r="AG54" i="7"/>
  <c r="AG73" i="7"/>
  <c r="AL34" i="9"/>
  <c r="AF156" i="7"/>
  <c r="AE138" i="7"/>
  <c r="AE185" i="7"/>
  <c r="JC117" i="14"/>
  <c r="JB117" i="14" s="1"/>
  <c r="AK217" i="9"/>
  <c r="AE160" i="13"/>
  <c r="AE146" i="7"/>
  <c r="AF146" i="7" s="1"/>
  <c r="AG146" i="7" s="1"/>
  <c r="AH146" i="7" s="1"/>
  <c r="AI146" i="7" s="1"/>
  <c r="AJ146" i="7" s="1"/>
  <c r="JA20" i="14"/>
  <c r="IZ90" i="14"/>
  <c r="IZ91" i="14"/>
  <c r="IZ95" i="14"/>
  <c r="IZ86" i="14"/>
  <c r="IZ87" i="14"/>
  <c r="JA88" i="14"/>
  <c r="IZ83" i="14"/>
  <c r="IZ84" i="14"/>
  <c r="JA128" i="14"/>
  <c r="JS129" i="14" s="1"/>
  <c r="JA129" i="14"/>
  <c r="IZ130" i="14"/>
  <c r="JB130" i="14" s="1"/>
  <c r="IZ134" i="14"/>
  <c r="JB134" i="14" s="1"/>
  <c r="IZ137" i="14"/>
  <c r="JB137" i="14" s="1"/>
  <c r="IZ139" i="14"/>
  <c r="JB139" i="14" s="1"/>
  <c r="JE104" i="14"/>
  <c r="JA104" i="14"/>
  <c r="JS103" i="14" s="1"/>
  <c r="IZ106" i="14"/>
  <c r="JB106" i="14" s="1"/>
  <c r="IZ112" i="14"/>
  <c r="JB112" i="14" s="1"/>
  <c r="IZ119" i="14"/>
  <c r="JB119" i="14" s="1"/>
  <c r="IZ123" i="14"/>
  <c r="JB123" i="14" s="1"/>
  <c r="IZ159" i="14"/>
  <c r="JB159" i="14" s="1"/>
  <c r="IZ158" i="14"/>
  <c r="JB158" i="14" s="1"/>
  <c r="JA150" i="14"/>
  <c r="JA151" i="14"/>
  <c r="JA143" i="14"/>
  <c r="JA51" i="14"/>
  <c r="JA42" i="14"/>
  <c r="JA28" i="14"/>
  <c r="JA32" i="14" s="1"/>
  <c r="IZ82" i="14"/>
  <c r="JB82" i="14" s="1"/>
  <c r="IZ85" i="14"/>
  <c r="JB85" i="14" s="1"/>
  <c r="IZ89" i="14"/>
  <c r="JB89" i="14" s="1"/>
  <c r="IZ98" i="14"/>
  <c r="JB98" i="14" s="1"/>
  <c r="JA76" i="14"/>
  <c r="JS75" i="14" s="1"/>
  <c r="JA79" i="14"/>
  <c r="IZ18" i="14"/>
  <c r="JT83" i="14" s="1"/>
  <c r="JY83" i="14" s="1"/>
  <c r="IZ8" i="14"/>
  <c r="JN9" i="14" s="1"/>
  <c r="IZ10" i="14"/>
  <c r="IZ27" i="14"/>
  <c r="JT108" i="14" s="1"/>
  <c r="JY108" i="14" s="1"/>
  <c r="IZ41" i="14"/>
  <c r="IZ50" i="14"/>
  <c r="JN51" i="14" s="1"/>
  <c r="IZ57" i="14"/>
  <c r="JN58" i="14" s="1"/>
  <c r="IZ59" i="14"/>
  <c r="JN60" i="14" s="1"/>
  <c r="IZ5" i="14"/>
  <c r="JC65" i="14" l="1"/>
  <c r="JQ64" i="14"/>
  <c r="AH168" i="7"/>
  <c r="AG156" i="7"/>
  <c r="AF61" i="7"/>
  <c r="JN19" i="14"/>
  <c r="JN28" i="14"/>
  <c r="JB10" i="14"/>
  <c r="JN11" i="14"/>
  <c r="JN6" i="14"/>
  <c r="W13" i="11" s="1"/>
  <c r="JT130" i="14"/>
  <c r="JY130" i="14" s="1"/>
  <c r="JN42" i="14"/>
  <c r="AG203" i="7"/>
  <c r="AH203" i="7" s="1"/>
  <c r="AI203" i="7" s="1"/>
  <c r="AJ203" i="7" s="1"/>
  <c r="AK28" i="9"/>
  <c r="AN25" i="9"/>
  <c r="AI52" i="7"/>
  <c r="AF220" i="7"/>
  <c r="AH73" i="7"/>
  <c r="AM34" i="9"/>
  <c r="AI60" i="7"/>
  <c r="AN27" i="9"/>
  <c r="AH54" i="7"/>
  <c r="AM26" i="9"/>
  <c r="AH65" i="7"/>
  <c r="AM30" i="9"/>
  <c r="AI151" i="7"/>
  <c r="AH215" i="7"/>
  <c r="AE147" i="7"/>
  <c r="AH66" i="7"/>
  <c r="AM31" i="9"/>
  <c r="JT110" i="14"/>
  <c r="JY110" i="14" s="1"/>
  <c r="JB59" i="14"/>
  <c r="JT59" i="14"/>
  <c r="JB57" i="14"/>
  <c r="JT57" i="14"/>
  <c r="JY57" i="14" s="1"/>
  <c r="JY58" i="14" s="1"/>
  <c r="JB50" i="14"/>
  <c r="KF51" i="14" s="1"/>
  <c r="JT50" i="14"/>
  <c r="JY50" i="14" s="1"/>
  <c r="JY51" i="14" s="1"/>
  <c r="JB41" i="14"/>
  <c r="KF42" i="14" s="1"/>
  <c r="JT41" i="14"/>
  <c r="JB27" i="14"/>
  <c r="KF28" i="14" s="1"/>
  <c r="JT27" i="14"/>
  <c r="JB8" i="14"/>
  <c r="JT8" i="14"/>
  <c r="JY8" i="14" s="1"/>
  <c r="JY9" i="14" s="1"/>
  <c r="JB18" i="14"/>
  <c r="JT18" i="14"/>
  <c r="JY18" i="14" s="1"/>
  <c r="IZ62" i="14"/>
  <c r="IZ65" i="14"/>
  <c r="JB5" i="14"/>
  <c r="KF6" i="14" s="1"/>
  <c r="IZ68" i="14"/>
  <c r="IZ69" i="14"/>
  <c r="JN70" i="14" s="1"/>
  <c r="W15" i="11" s="1"/>
  <c r="IZ74" i="14"/>
  <c r="JN75" i="14" s="1"/>
  <c r="IZ73" i="14"/>
  <c r="JB73" i="14" s="1"/>
  <c r="IZ102" i="14"/>
  <c r="JN103" i="14" s="1"/>
  <c r="IZ127" i="14"/>
  <c r="JN129" i="14" s="1"/>
  <c r="IZ142" i="14"/>
  <c r="IZ149" i="14"/>
  <c r="JA157" i="14"/>
  <c r="JA163" i="14" s="1"/>
  <c r="JN32" i="14" l="1"/>
  <c r="JN24" i="14"/>
  <c r="JO9" i="14"/>
  <c r="KF9" i="14"/>
  <c r="JO58" i="14"/>
  <c r="KF58" i="14"/>
  <c r="JO11" i="14"/>
  <c r="KF11" i="14"/>
  <c r="JO60" i="14"/>
  <c r="KF60" i="14"/>
  <c r="BE35" i="11"/>
  <c r="JY59" i="14"/>
  <c r="JY60" i="14" s="1"/>
  <c r="BE22" i="11"/>
  <c r="JY27" i="14"/>
  <c r="JY28" i="14" s="1"/>
  <c r="BE25" i="11"/>
  <c r="JY41" i="14"/>
  <c r="JY42" i="14" s="1"/>
  <c r="JB149" i="14"/>
  <c r="JN151" i="14"/>
  <c r="AI168" i="7"/>
  <c r="AH156" i="7"/>
  <c r="BE20" i="11"/>
  <c r="BE45" i="11"/>
  <c r="BE29" i="11"/>
  <c r="BE49" i="11"/>
  <c r="JT149" i="14"/>
  <c r="JY149" i="14" s="1"/>
  <c r="JY150" i="14" s="1"/>
  <c r="BE34" i="11"/>
  <c r="AG61" i="7"/>
  <c r="JO19" i="14"/>
  <c r="JO42" i="14"/>
  <c r="JO51" i="14"/>
  <c r="JO28" i="14"/>
  <c r="JO6" i="14"/>
  <c r="JB69" i="14"/>
  <c r="AL28" i="9"/>
  <c r="AJ52" i="7"/>
  <c r="AO25" i="9"/>
  <c r="AJ151" i="7"/>
  <c r="AJ215" i="7" s="1"/>
  <c r="AI215" i="7"/>
  <c r="AI65" i="7"/>
  <c r="AN30" i="9"/>
  <c r="AI73" i="7"/>
  <c r="AN34" i="9"/>
  <c r="AI66" i="7"/>
  <c r="AN31" i="9"/>
  <c r="AJ60" i="7"/>
  <c r="AO27" i="9"/>
  <c r="AI54" i="7"/>
  <c r="AN26" i="9"/>
  <c r="AE148" i="7"/>
  <c r="AG220" i="7"/>
  <c r="AH61" i="7"/>
  <c r="AM28" i="9"/>
  <c r="JB142" i="14"/>
  <c r="JU143" i="14" s="1"/>
  <c r="JT143" i="14"/>
  <c r="JY143" i="14" s="1"/>
  <c r="JT106" i="14"/>
  <c r="JY106" i="14" s="1"/>
  <c r="JB127" i="14"/>
  <c r="JT127" i="14"/>
  <c r="JY127" i="14" s="1"/>
  <c r="JT82" i="14"/>
  <c r="JY82" i="14" s="1"/>
  <c r="JB150" i="14"/>
  <c r="JB20" i="14"/>
  <c r="JT10" i="14"/>
  <c r="JT19" i="14"/>
  <c r="IZ76" i="14"/>
  <c r="JB74" i="14"/>
  <c r="KF75" i="14" s="1"/>
  <c r="JB62" i="14"/>
  <c r="JB65" i="14"/>
  <c r="JB68" i="14"/>
  <c r="IZ104" i="14"/>
  <c r="JB102" i="14"/>
  <c r="IZ150" i="14"/>
  <c r="IZ128" i="14"/>
  <c r="IR17" i="14"/>
  <c r="JW24" i="14" l="1"/>
  <c r="JX24" i="14" s="1"/>
  <c r="JB104" i="14"/>
  <c r="JO103" i="14"/>
  <c r="JW32" i="14"/>
  <c r="JX32" i="14" s="1"/>
  <c r="JB71" i="14"/>
  <c r="KF70" i="14"/>
  <c r="BE21" i="11"/>
  <c r="JY10" i="14"/>
  <c r="JY11" i="14" s="1"/>
  <c r="JY129" i="14"/>
  <c r="JY128" i="14"/>
  <c r="AJ168" i="7"/>
  <c r="JT151" i="14"/>
  <c r="JY151" i="14" s="1"/>
  <c r="JT129" i="14"/>
  <c r="BE50" i="11"/>
  <c r="BE42" i="11"/>
  <c r="JB128" i="14"/>
  <c r="JO129" i="14"/>
  <c r="JO70" i="14"/>
  <c r="JB76" i="14"/>
  <c r="JO75" i="14"/>
  <c r="AI61" i="7"/>
  <c r="AN28" i="9"/>
  <c r="AH220" i="7"/>
  <c r="AP27" i="9"/>
  <c r="AJ54" i="7"/>
  <c r="AO26" i="9"/>
  <c r="AJ65" i="7"/>
  <c r="AP30" i="9" s="1"/>
  <c r="AO30" i="9"/>
  <c r="AJ66" i="7"/>
  <c r="AP31" i="9" s="1"/>
  <c r="AO31" i="9"/>
  <c r="AP25" i="9"/>
  <c r="AJ73" i="7"/>
  <c r="AO34" i="9"/>
  <c r="AI156" i="7"/>
  <c r="JT105" i="14"/>
  <c r="JT128" i="14"/>
  <c r="JT81" i="14"/>
  <c r="JY81" i="14" s="1"/>
  <c r="JT11" i="14"/>
  <c r="JT5" i="14"/>
  <c r="JY5" i="14" s="1"/>
  <c r="JY6" i="14" s="1"/>
  <c r="AL86" i="9" l="1"/>
  <c r="AL92" i="9"/>
  <c r="AL102" i="9"/>
  <c r="AL200" i="9" s="1"/>
  <c r="JT102" i="14"/>
  <c r="JY105" i="14"/>
  <c r="BE39" i="11"/>
  <c r="BE47" i="11"/>
  <c r="BE48" i="11"/>
  <c r="BE40" i="11"/>
  <c r="BE12" i="11"/>
  <c r="BE19" i="11"/>
  <c r="JT6" i="14"/>
  <c r="BE13" i="11" s="1"/>
  <c r="AJ156" i="7"/>
  <c r="AI220" i="7"/>
  <c r="AP26" i="9"/>
  <c r="AJ61" i="7"/>
  <c r="AO28" i="9"/>
  <c r="AP34" i="9"/>
  <c r="IX105" i="14"/>
  <c r="IZ105" i="14"/>
  <c r="JY102" i="14" l="1"/>
  <c r="JT103" i="14"/>
  <c r="JX107" i="14"/>
  <c r="AL561" i="9"/>
  <c r="D7" i="59" s="1"/>
  <c r="JT104" i="14"/>
  <c r="AJ220" i="7"/>
  <c r="AP28" i="9"/>
  <c r="LG11" i="14"/>
  <c r="LD11" i="14"/>
  <c r="LC11" i="14"/>
  <c r="LA11" i="14"/>
  <c r="KZ11" i="14"/>
  <c r="KW11" i="14"/>
  <c r="KM11" i="14"/>
  <c r="IX11" i="14"/>
  <c r="IU11" i="14"/>
  <c r="IR11" i="14"/>
  <c r="IJ11" i="14"/>
  <c r="IG11" i="14"/>
  <c r="IE11" i="14"/>
  <c r="HV11" i="14"/>
  <c r="HQ11" i="14"/>
  <c r="HP11" i="14"/>
  <c r="HI11" i="14"/>
  <c r="HD11" i="14"/>
  <c r="GV11" i="14"/>
  <c r="GS11" i="14"/>
  <c r="GP11" i="14"/>
  <c r="GL11" i="14"/>
  <c r="GD11" i="14"/>
  <c r="GA11" i="14"/>
  <c r="FY11" i="14"/>
  <c r="FS11" i="14"/>
  <c r="FQ11" i="14"/>
  <c r="FN11" i="14"/>
  <c r="FK11" i="14"/>
  <c r="FE11" i="14"/>
  <c r="FB11" i="14"/>
  <c r="EX11" i="14"/>
  <c r="EU11" i="14"/>
  <c r="EO11" i="14"/>
  <c r="EK11" i="14"/>
  <c r="EG11" i="14"/>
  <c r="ED11" i="14"/>
  <c r="DY11" i="14"/>
  <c r="DW11" i="14"/>
  <c r="DS11" i="14"/>
  <c r="DK11" i="14"/>
  <c r="DG11" i="14"/>
  <c r="DB11" i="14"/>
  <c r="CY11" i="14"/>
  <c r="CW11" i="14"/>
  <c r="CR11" i="14"/>
  <c r="CP11" i="14"/>
  <c r="CG11" i="14"/>
  <c r="CE11" i="14"/>
  <c r="BY11" i="14"/>
  <c r="BX11" i="14"/>
  <c r="BP11" i="14"/>
  <c r="BE11" i="14"/>
  <c r="BB11" i="14"/>
  <c r="BA11" i="14"/>
  <c r="AZ11" i="14"/>
  <c r="AU11" i="14"/>
  <c r="AS11" i="14"/>
  <c r="AQ11" i="14"/>
  <c r="AP11" i="14"/>
  <c r="AL11" i="14"/>
  <c r="AJ11" i="14"/>
  <c r="AH11" i="14"/>
  <c r="AG11" i="14"/>
  <c r="AC11" i="14"/>
  <c r="J11" i="14"/>
  <c r="I11" i="14"/>
  <c r="H11" i="14"/>
  <c r="JY104" i="14" l="1"/>
  <c r="JY103" i="14"/>
  <c r="IX136" i="14"/>
  <c r="IV133" i="14"/>
  <c r="IV132" i="14"/>
  <c r="IV131" i="14"/>
  <c r="IX129" i="14"/>
  <c r="KL124" i="14"/>
  <c r="IV126" i="14"/>
  <c r="IV125" i="14"/>
  <c r="IV124" i="14"/>
  <c r="IV122" i="14"/>
  <c r="IV121" i="14"/>
  <c r="IV120" i="14"/>
  <c r="KL115" i="14"/>
  <c r="KL116" i="14"/>
  <c r="KM114" i="14"/>
  <c r="KM117" i="14" s="1"/>
  <c r="KL117" i="14" s="1"/>
  <c r="IX114" i="14"/>
  <c r="IV100" i="14"/>
  <c r="IV99" i="14"/>
  <c r="IV95" i="14"/>
  <c r="IV91" i="14"/>
  <c r="IV90" i="14"/>
  <c r="IX143" i="14"/>
  <c r="IV109" i="14"/>
  <c r="IV108" i="14"/>
  <c r="IV110" i="14"/>
  <c r="KL29" i="14"/>
  <c r="IV87" i="14"/>
  <c r="IV86" i="14"/>
  <c r="IV84" i="14"/>
  <c r="IV83" i="14"/>
  <c r="KM88" i="14"/>
  <c r="IX88" i="14"/>
  <c r="IV162" i="14"/>
  <c r="IV161" i="14"/>
  <c r="IV160" i="14"/>
  <c r="IV159" i="14"/>
  <c r="IV158" i="14"/>
  <c r="JA114" i="14" l="1"/>
  <c r="JC114" i="14"/>
  <c r="JB114" i="14" s="1"/>
  <c r="JC136" i="14"/>
  <c r="JB136" i="14" s="1"/>
  <c r="JA136" i="14"/>
  <c r="IV88" i="14"/>
  <c r="IZ88" i="14"/>
  <c r="KL114" i="14"/>
  <c r="AM234" i="9" l="1"/>
  <c r="IW32" i="14" l="1"/>
  <c r="KM71" i="14"/>
  <c r="KL18" i="14"/>
  <c r="KK18" i="14" s="1"/>
  <c r="KM157" i="14"/>
  <c r="KM62" i="14"/>
  <c r="KM17" i="14"/>
  <c r="KL17" i="14" s="1"/>
  <c r="IX68" i="14"/>
  <c r="IX65" i="14"/>
  <c r="IX157" i="14"/>
  <c r="IX62" i="14"/>
  <c r="IV17" i="14"/>
  <c r="IZ157" i="14" l="1"/>
  <c r="IZ163" i="14" s="1"/>
  <c r="JC157" i="14"/>
  <c r="IX163" i="14"/>
  <c r="KL162" i="14"/>
  <c r="KL161" i="14"/>
  <c r="KL160" i="14"/>
  <c r="KL159" i="14"/>
  <c r="KL158" i="14"/>
  <c r="KL139" i="14"/>
  <c r="KL137" i="14"/>
  <c r="KL136" i="14"/>
  <c r="KL135" i="14"/>
  <c r="KL134" i="14"/>
  <c r="KL133" i="14"/>
  <c r="KL132" i="14"/>
  <c r="KL131" i="14"/>
  <c r="KL130" i="14"/>
  <c r="KL126" i="14"/>
  <c r="KL125" i="14"/>
  <c r="KL122" i="14"/>
  <c r="KL121" i="14"/>
  <c r="KL120" i="14"/>
  <c r="KL119" i="14"/>
  <c r="KL109" i="14"/>
  <c r="KL110" i="14"/>
  <c r="KL108" i="14"/>
  <c r="KL100" i="14"/>
  <c r="KL99" i="14"/>
  <c r="KL95" i="14"/>
  <c r="KL91" i="14"/>
  <c r="KL90" i="14"/>
  <c r="KL88" i="14"/>
  <c r="KL87" i="14"/>
  <c r="KL86" i="14"/>
  <c r="KL85" i="14"/>
  <c r="KK85" i="14" s="1"/>
  <c r="KL37" i="14"/>
  <c r="KL33" i="14"/>
  <c r="IV137" i="14"/>
  <c r="IV139" i="14"/>
  <c r="IV134" i="14"/>
  <c r="IV130" i="14"/>
  <c r="IV119" i="14"/>
  <c r="IV85" i="14"/>
  <c r="IV66" i="14"/>
  <c r="JM67" i="14" s="1"/>
  <c r="IV63" i="14"/>
  <c r="JM64" i="14" s="1"/>
  <c r="JB157" i="14" l="1"/>
  <c r="JB163" i="14" s="1"/>
  <c r="JC163" i="14"/>
  <c r="AJ217" i="7"/>
  <c r="AJ198" i="7"/>
  <c r="AJ197" i="7"/>
  <c r="AJ192" i="7"/>
  <c r="AJ122" i="7"/>
  <c r="AJ93" i="7"/>
  <c r="AJ12" i="7"/>
  <c r="AP24" i="9"/>
  <c r="AP317" i="9"/>
  <c r="AP366" i="9" s="1"/>
  <c r="AP406" i="9" s="1"/>
  <c r="IU165" i="14" l="1"/>
  <c r="IU157" i="14"/>
  <c r="IU151" i="14"/>
  <c r="IU150" i="14"/>
  <c r="IU143" i="14"/>
  <c r="IU129" i="14"/>
  <c r="IV129" i="14" s="1"/>
  <c r="IU128" i="14"/>
  <c r="IU105" i="14"/>
  <c r="IU104" i="14"/>
  <c r="IU76" i="14"/>
  <c r="IU71" i="14"/>
  <c r="IU70" i="14"/>
  <c r="IU68" i="14"/>
  <c r="IU65" i="14"/>
  <c r="IU62" i="14"/>
  <c r="IU61" i="14"/>
  <c r="IU51" i="14"/>
  <c r="IU42" i="14"/>
  <c r="IU40" i="14"/>
  <c r="IU28" i="14"/>
  <c r="IU18" i="14"/>
  <c r="JL19" i="14" s="1"/>
  <c r="IU6" i="14"/>
  <c r="JL24" i="14" l="1"/>
  <c r="IU32" i="14"/>
  <c r="JJ18" i="14"/>
  <c r="JJ19" i="14" s="1"/>
  <c r="JJ83" i="14"/>
  <c r="JJ84" i="14"/>
  <c r="IU79" i="14"/>
  <c r="IU163" i="14"/>
  <c r="JV24" i="14" l="1"/>
  <c r="JJ10" i="14"/>
  <c r="JJ82" i="14"/>
  <c r="JJ11" i="14" l="1"/>
  <c r="JJ5" i="14"/>
  <c r="AG21" i="8"/>
  <c r="AG13" i="8"/>
  <c r="JJ81" i="14"/>
  <c r="JH17" i="14"/>
  <c r="JG17" i="14" s="1"/>
  <c r="JF17" i="14" s="1"/>
  <c r="IT19" i="14"/>
  <c r="JH22" i="14"/>
  <c r="JH23" i="14"/>
  <c r="IT27" i="14"/>
  <c r="IT28" i="14" s="1"/>
  <c r="IT41" i="14"/>
  <c r="IT42" i="14" s="1"/>
  <c r="IT51" i="14"/>
  <c r="IT105" i="14"/>
  <c r="IT102" i="14" s="1"/>
  <c r="JJ6" i="14" l="1"/>
  <c r="JJ77" i="14"/>
  <c r="JJ78" i="14" s="1"/>
  <c r="IT104" i="14"/>
  <c r="JJ74" i="14" l="1"/>
  <c r="JJ79" i="14"/>
  <c r="JJ75" i="14" l="1"/>
  <c r="JJ76" i="14"/>
  <c r="AK72" i="9" l="1"/>
  <c r="IR114" i="14" l="1"/>
  <c r="KM38" i="14" l="1"/>
  <c r="KM34" i="14"/>
  <c r="AP83" i="9" l="1"/>
  <c r="AO219" i="9"/>
  <c r="AP563" i="9" l="1"/>
  <c r="AO563" i="9"/>
  <c r="S42" i="11"/>
  <c r="S41" i="11"/>
  <c r="S40" i="11"/>
  <c r="S39" i="11"/>
  <c r="S38" i="11"/>
  <c r="S37" i="11"/>
  <c r="S35" i="11"/>
  <c r="S34" i="11"/>
  <c r="S29" i="11"/>
  <c r="S25" i="11"/>
  <c r="S22" i="11"/>
  <c r="S21" i="11"/>
  <c r="S20" i="11"/>
  <c r="AD12" i="7" l="1"/>
  <c r="AD14" i="7"/>
  <c r="AD19" i="7"/>
  <c r="AD21" i="7" s="1"/>
  <c r="AD26" i="7"/>
  <c r="AD27" i="7"/>
  <c r="AD33" i="7"/>
  <c r="AD35" i="7"/>
  <c r="AD52" i="7"/>
  <c r="AD54" i="7"/>
  <c r="AD64" i="7"/>
  <c r="AD65" i="7"/>
  <c r="AI30" i="9" s="1"/>
  <c r="AD66" i="7"/>
  <c r="AI31" i="9" s="1"/>
  <c r="AD68" i="7"/>
  <c r="AD71" i="7"/>
  <c r="AD73" i="7"/>
  <c r="AD74" i="7"/>
  <c r="AD214" i="7" s="1"/>
  <c r="AD75" i="7"/>
  <c r="AD76" i="7"/>
  <c r="AD84" i="7"/>
  <c r="AD85" i="7"/>
  <c r="AD87" i="7"/>
  <c r="AD88" i="7"/>
  <c r="AD90" i="7"/>
  <c r="AD93" i="7"/>
  <c r="AD122" i="7"/>
  <c r="AD133" i="7"/>
  <c r="AD134" i="7"/>
  <c r="AD150" i="7"/>
  <c r="AD152" i="7"/>
  <c r="AD153" i="7"/>
  <c r="AD154" i="7"/>
  <c r="AD156" i="7"/>
  <c r="AD157" i="7"/>
  <c r="AD165" i="7"/>
  <c r="AD166" i="7"/>
  <c r="AD169" i="7"/>
  <c r="AD170" i="7"/>
  <c r="AD173" i="7"/>
  <c r="AD174" i="7"/>
  <c r="AD177" i="7"/>
  <c r="AD178" i="7"/>
  <c r="AD192" i="7"/>
  <c r="AD198" i="7"/>
  <c r="AD200" i="7"/>
  <c r="AD201" i="7"/>
  <c r="AD202" i="7"/>
  <c r="AD204" i="7"/>
  <c r="AD206" i="7"/>
  <c r="AD210" i="7"/>
  <c r="AD212" i="7"/>
  <c r="AD215" i="7"/>
  <c r="AD218" i="7"/>
  <c r="AD219" i="7"/>
  <c r="AD255" i="13"/>
  <c r="AD221" i="7" s="1"/>
  <c r="AD245" i="13"/>
  <c r="AD217" i="7" s="1"/>
  <c r="AD216" i="7"/>
  <c r="AD223" i="13"/>
  <c r="AD227" i="13" s="1"/>
  <c r="AD210" i="13"/>
  <c r="AD202" i="13"/>
  <c r="AD201" i="13"/>
  <c r="AD199" i="13"/>
  <c r="AD197" i="13"/>
  <c r="AD189" i="13"/>
  <c r="AD158" i="7" s="1"/>
  <c r="AD179" i="13"/>
  <c r="AD173" i="13"/>
  <c r="AD157" i="13"/>
  <c r="AD145" i="7" s="1"/>
  <c r="AD145" i="13"/>
  <c r="AD141" i="7" s="1"/>
  <c r="AD141" i="13"/>
  <c r="AD131" i="13"/>
  <c r="AD123" i="13"/>
  <c r="AD136" i="7" s="1"/>
  <c r="AD119" i="13"/>
  <c r="AD114" i="13"/>
  <c r="AD113" i="13" s="1"/>
  <c r="AD130" i="7" s="1"/>
  <c r="AD103" i="13"/>
  <c r="AD99" i="13"/>
  <c r="AD126" i="7" s="1"/>
  <c r="AD97" i="13"/>
  <c r="AD124" i="7" s="1"/>
  <c r="AD79" i="13"/>
  <c r="AD81" i="7" s="1"/>
  <c r="AD78" i="13"/>
  <c r="AD80" i="7" s="1"/>
  <c r="AD54" i="13"/>
  <c r="AD60" i="7" s="1"/>
  <c r="AD50" i="13"/>
  <c r="AD57" i="7" s="1"/>
  <c r="AD40" i="13"/>
  <c r="AD33" i="13"/>
  <c r="AD29" i="13" s="1"/>
  <c r="AD30" i="7" s="1"/>
  <c r="AD24" i="13"/>
  <c r="AD13" i="13"/>
  <c r="AD16" i="13" s="1"/>
  <c r="AD23" i="7" s="1"/>
  <c r="AI14" i="9" l="1"/>
  <c r="AD226" i="7"/>
  <c r="AD207" i="7"/>
  <c r="AE77" i="7"/>
  <c r="AD99" i="7"/>
  <c r="AD197" i="7"/>
  <c r="AI27" i="9"/>
  <c r="AD102" i="7"/>
  <c r="AE31" i="7"/>
  <c r="AI34" i="9"/>
  <c r="AI33" i="9"/>
  <c r="AI25" i="9"/>
  <c r="AD98" i="7"/>
  <c r="AE15" i="7"/>
  <c r="IR166" i="14"/>
  <c r="AD6" i="7"/>
  <c r="AD230" i="7"/>
  <c r="AE231" i="7"/>
  <c r="AE228" i="7"/>
  <c r="AI26" i="9"/>
  <c r="AD181" i="7"/>
  <c r="AE55" i="7"/>
  <c r="AD63" i="13"/>
  <c r="AI32" i="9"/>
  <c r="AE69" i="7"/>
  <c r="AD183" i="13"/>
  <c r="AD149" i="13"/>
  <c r="AD142" i="7" s="1"/>
  <c r="AD24" i="7"/>
  <c r="AD101" i="7"/>
  <c r="AD172" i="7"/>
  <c r="AD135" i="7"/>
  <c r="AD106" i="7"/>
  <c r="AD196" i="7"/>
  <c r="AD5" i="7"/>
  <c r="AD86" i="7"/>
  <c r="AD129" i="13"/>
  <c r="AD220" i="7"/>
  <c r="AD168" i="7"/>
  <c r="AD107" i="13"/>
  <c r="AD127" i="7" s="1"/>
  <c r="AD209" i="7"/>
  <c r="AD211" i="7" s="1"/>
  <c r="AD107" i="7"/>
  <c r="AD203" i="13"/>
  <c r="AD212" i="13" s="1"/>
  <c r="AD151" i="7"/>
  <c r="AD155" i="7" s="1"/>
  <c r="AD140" i="7"/>
  <c r="AD131" i="7"/>
  <c r="AD89" i="7"/>
  <c r="AD100" i="7"/>
  <c r="AD164" i="7"/>
  <c r="AD56" i="7"/>
  <c r="AD199" i="7"/>
  <c r="AD176" i="7"/>
  <c r="AD194" i="7"/>
  <c r="AD187" i="7"/>
  <c r="AD186" i="7"/>
  <c r="AD125" i="7"/>
  <c r="AD105" i="7"/>
  <c r="AD36" i="7"/>
  <c r="AD97" i="7"/>
  <c r="AD225" i="7"/>
  <c r="AD111" i="7"/>
  <c r="AD104" i="7"/>
  <c r="AD72" i="7"/>
  <c r="AD28" i="7"/>
  <c r="AE29" i="7" s="1"/>
  <c r="AD195" i="7"/>
  <c r="AD127" i="13"/>
  <c r="AD56" i="13"/>
  <c r="AD251" i="13"/>
  <c r="AD106" i="13"/>
  <c r="AD44" i="13"/>
  <c r="AD165" i="13"/>
  <c r="AD163" i="13" s="1"/>
  <c r="AD161" i="13" s="1"/>
  <c r="AD148" i="13"/>
  <c r="AE227" i="7" l="1"/>
  <c r="AD188" i="7"/>
  <c r="AD40" i="7"/>
  <c r="AD182" i="7"/>
  <c r="IR69" i="14"/>
  <c r="AE37" i="7"/>
  <c r="AD132" i="7"/>
  <c r="AD180" i="7"/>
  <c r="AD184" i="7"/>
  <c r="AE189" i="7"/>
  <c r="AD160" i="13"/>
  <c r="AD146" i="7"/>
  <c r="AD143" i="7"/>
  <c r="AD126" i="13"/>
  <c r="AD137" i="7"/>
  <c r="AD203" i="7"/>
  <c r="AD128" i="7"/>
  <c r="AD103" i="7"/>
  <c r="AD36" i="13"/>
  <c r="AD96" i="7"/>
  <c r="AD62" i="7"/>
  <c r="AD61" i="7" s="1"/>
  <c r="KM28" i="14"/>
  <c r="KM32" i="14" s="1"/>
  <c r="KM19" i="14"/>
  <c r="AI28" i="9" l="1"/>
  <c r="JD70" i="14"/>
  <c r="AD147" i="7"/>
  <c r="AD138" i="7"/>
  <c r="AD185" i="7"/>
  <c r="IR159" i="14"/>
  <c r="IR157" i="14" s="1"/>
  <c r="AI237" i="9" l="1"/>
  <c r="AD160" i="7"/>
  <c r="AD148" i="7"/>
  <c r="S43" i="11"/>
  <c r="IR163" i="14"/>
  <c r="KM129" i="14" l="1"/>
  <c r="KM105" i="14"/>
  <c r="KM81" i="14"/>
  <c r="KM70" i="14"/>
  <c r="KM61" i="14"/>
  <c r="KM51" i="14"/>
  <c r="KM42" i="14"/>
  <c r="KM6" i="14"/>
  <c r="IM138" i="14"/>
  <c r="IO164" i="14"/>
  <c r="IO162" i="14"/>
  <c r="IO161" i="14"/>
  <c r="IO160" i="14"/>
  <c r="IO159" i="14"/>
  <c r="IO158" i="14"/>
  <c r="IO149" i="14"/>
  <c r="JC151" i="14" s="1"/>
  <c r="IO142" i="14"/>
  <c r="JC143" i="14" s="1"/>
  <c r="IO140" i="14"/>
  <c r="IO139" i="14"/>
  <c r="IO137" i="14"/>
  <c r="IO134" i="14"/>
  <c r="IO130" i="14"/>
  <c r="IO127" i="14"/>
  <c r="IO126" i="14"/>
  <c r="IM126" i="14" s="1"/>
  <c r="IO125" i="14"/>
  <c r="IM125" i="14" s="1"/>
  <c r="IO124" i="14"/>
  <c r="IO123" i="14"/>
  <c r="IO122" i="14"/>
  <c r="IM122" i="14" s="1"/>
  <c r="IO121" i="14"/>
  <c r="IM121" i="14" s="1"/>
  <c r="IO120" i="14"/>
  <c r="IM120" i="14" s="1"/>
  <c r="IO119" i="14"/>
  <c r="IO112" i="14"/>
  <c r="IO111" i="14"/>
  <c r="IM111" i="14" s="1"/>
  <c r="IO108" i="14"/>
  <c r="IM108" i="14" s="1"/>
  <c r="IO106" i="14"/>
  <c r="IO102" i="14"/>
  <c r="IO101" i="14"/>
  <c r="IM101" i="14" s="1"/>
  <c r="IO100" i="14"/>
  <c r="IM100" i="14" s="1"/>
  <c r="IO99" i="14"/>
  <c r="IM99" i="14" s="1"/>
  <c r="IO98" i="14"/>
  <c r="IO97" i="14"/>
  <c r="IM97" i="14" s="1"/>
  <c r="IO95" i="14"/>
  <c r="IM95" i="14" s="1"/>
  <c r="IO91" i="14"/>
  <c r="IM91" i="14" s="1"/>
  <c r="IO90" i="14"/>
  <c r="IM90" i="14" s="1"/>
  <c r="IO89" i="14"/>
  <c r="IO88" i="14"/>
  <c r="IM88" i="14" s="1"/>
  <c r="IO87" i="14"/>
  <c r="IM87" i="14" s="1"/>
  <c r="IO86" i="14"/>
  <c r="IM86" i="14" s="1"/>
  <c r="IO85" i="14"/>
  <c r="IO84" i="14"/>
  <c r="IM84" i="14" s="1"/>
  <c r="IO83" i="14"/>
  <c r="IM83" i="14" s="1"/>
  <c r="IO82" i="14"/>
  <c r="IO74" i="14"/>
  <c r="IO73" i="14"/>
  <c r="IO69" i="14"/>
  <c r="JC70" i="14" s="1"/>
  <c r="IO66" i="14"/>
  <c r="IO63" i="14"/>
  <c r="IO59" i="14"/>
  <c r="JC60" i="14" s="1"/>
  <c r="IO57" i="14"/>
  <c r="JC58" i="14" s="1"/>
  <c r="IO50" i="14"/>
  <c r="JC51" i="14" s="1"/>
  <c r="IO41" i="14"/>
  <c r="JC42" i="14" s="1"/>
  <c r="IO33" i="14"/>
  <c r="JC34" i="14" s="1"/>
  <c r="IO27" i="14"/>
  <c r="JC28" i="14" s="1"/>
  <c r="JC32" i="14" s="1"/>
  <c r="IO10" i="14"/>
  <c r="JC11" i="14" s="1"/>
  <c r="IO8" i="14"/>
  <c r="IO5" i="14"/>
  <c r="JC6" i="14" s="1"/>
  <c r="IR151" i="14"/>
  <c r="IR143" i="14"/>
  <c r="IR129" i="14"/>
  <c r="IR105" i="14"/>
  <c r="IR70" i="14"/>
  <c r="IR61" i="14"/>
  <c r="IR51" i="14"/>
  <c r="IR42" i="14"/>
  <c r="IO39" i="14"/>
  <c r="IR34" i="14"/>
  <c r="IR28" i="14"/>
  <c r="IR6" i="14"/>
  <c r="IR165" i="14"/>
  <c r="IR150" i="14"/>
  <c r="IR128" i="14"/>
  <c r="IR104" i="14"/>
  <c r="IR76" i="14"/>
  <c r="IR71" i="14"/>
  <c r="IR68" i="14"/>
  <c r="IR65" i="14"/>
  <c r="IR62" i="14"/>
  <c r="IO37" i="14"/>
  <c r="IO18" i="14"/>
  <c r="KL38" i="14" l="1"/>
  <c r="JC38" i="14"/>
  <c r="JC9" i="14"/>
  <c r="KL19" i="14"/>
  <c r="KL24" i="14" s="1"/>
  <c r="JC19" i="14"/>
  <c r="JC24" i="14" s="1"/>
  <c r="IO76" i="14"/>
  <c r="IO128" i="14"/>
  <c r="KL34" i="14"/>
  <c r="IO68" i="14"/>
  <c r="IO105" i="14"/>
  <c r="IO62" i="14"/>
  <c r="IO17" i="14"/>
  <c r="IR79" i="14"/>
  <c r="IO165" i="14"/>
  <c r="IO65" i="14"/>
  <c r="IO40" i="14"/>
  <c r="IO71" i="14"/>
  <c r="IO104" i="14"/>
  <c r="IO150" i="14"/>
  <c r="HS162" i="14" l="1"/>
  <c r="HS161" i="14"/>
  <c r="HS160" i="14"/>
  <c r="HS159" i="14"/>
  <c r="HS158" i="14"/>
  <c r="IJ37" i="14" l="1"/>
  <c r="IJ126" i="14" l="1"/>
  <c r="IJ125" i="14"/>
  <c r="IJ122" i="14"/>
  <c r="IJ121" i="14"/>
  <c r="IJ120" i="14"/>
  <c r="IJ111" i="14"/>
  <c r="IJ108" i="14"/>
  <c r="IJ91" i="14" l="1"/>
  <c r="IJ100" i="14"/>
  <c r="IJ99" i="14"/>
  <c r="IJ97" i="14"/>
  <c r="IJ95" i="14"/>
  <c r="IJ90" i="14"/>
  <c r="IJ88" i="14"/>
  <c r="IJ87" i="14"/>
  <c r="IJ86" i="14"/>
  <c r="IJ83" i="14"/>
  <c r="IJ84" i="14"/>
  <c r="IJ151" i="14" l="1"/>
  <c r="IJ143" i="14"/>
  <c r="IJ129" i="14"/>
  <c r="IJ105" i="14"/>
  <c r="IJ70" i="14"/>
  <c r="IJ51" i="14"/>
  <c r="IJ42" i="14"/>
  <c r="IJ38" i="14"/>
  <c r="IJ34" i="14"/>
  <c r="IJ28" i="14"/>
  <c r="IJ6" i="14"/>
  <c r="II61" i="14"/>
  <c r="HQ18" i="14"/>
  <c r="IJ19" i="14" s="1"/>
  <c r="HQ77" i="14"/>
  <c r="IJ157" i="14"/>
  <c r="HQ157" i="14"/>
  <c r="HQ163" i="14" s="1"/>
  <c r="HQ59" i="14"/>
  <c r="IJ61" i="14" s="1"/>
  <c r="HQ100" i="14"/>
  <c r="HQ99" i="14"/>
  <c r="HQ97" i="14"/>
  <c r="HQ95" i="14"/>
  <c r="HQ90" i="14"/>
  <c r="HQ88" i="14"/>
  <c r="HQ87" i="14"/>
  <c r="HQ86" i="14"/>
  <c r="HQ84" i="14"/>
  <c r="HQ83" i="14"/>
  <c r="HQ151" i="14"/>
  <c r="HQ143" i="14"/>
  <c r="HQ129" i="14"/>
  <c r="HO129" i="14" s="1"/>
  <c r="HQ105" i="14"/>
  <c r="HQ70" i="14"/>
  <c r="HQ51" i="14"/>
  <c r="HQ42" i="14"/>
  <c r="HQ28" i="14"/>
  <c r="HQ6" i="14"/>
  <c r="HQ165" i="14"/>
  <c r="HQ150" i="14"/>
  <c r="HQ128" i="14"/>
  <c r="HQ104" i="14"/>
  <c r="HQ76" i="14"/>
  <c r="HQ71" i="14"/>
  <c r="HQ68" i="14"/>
  <c r="HQ65" i="14"/>
  <c r="HQ40" i="14"/>
  <c r="HO164" i="14"/>
  <c r="HO162" i="14"/>
  <c r="HO161" i="14"/>
  <c r="HO160" i="14"/>
  <c r="HO159" i="14"/>
  <c r="HO158" i="14"/>
  <c r="HO149" i="14"/>
  <c r="HO151" i="14" s="1"/>
  <c r="HO142" i="14"/>
  <c r="HO143" i="14" s="1"/>
  <c r="HO139" i="14"/>
  <c r="HO137" i="14"/>
  <c r="HO134" i="14"/>
  <c r="HO130" i="14"/>
  <c r="HO127" i="14"/>
  <c r="HO126" i="14"/>
  <c r="HO125" i="14"/>
  <c r="HO124" i="14"/>
  <c r="HO123" i="14"/>
  <c r="HO122" i="14"/>
  <c r="HO121" i="14"/>
  <c r="HO120" i="14"/>
  <c r="HO119" i="14"/>
  <c r="HO112" i="14"/>
  <c r="HO111" i="14"/>
  <c r="HO108" i="14"/>
  <c r="HO106" i="14"/>
  <c r="HO102" i="14"/>
  <c r="HO98" i="14"/>
  <c r="HO89" i="14"/>
  <c r="HO85" i="14"/>
  <c r="HO82" i="14"/>
  <c r="HO74" i="14"/>
  <c r="HO73" i="14"/>
  <c r="HO69" i="14"/>
  <c r="HO66" i="14"/>
  <c r="HS66" i="14" s="1"/>
  <c r="HO63" i="14"/>
  <c r="HS63" i="14" s="1"/>
  <c r="HO57" i="14"/>
  <c r="HO50" i="14"/>
  <c r="HO51" i="14" s="1"/>
  <c r="HO41" i="14"/>
  <c r="HO39" i="14"/>
  <c r="HO37" i="14"/>
  <c r="HO35" i="14"/>
  <c r="HO33" i="14"/>
  <c r="HO27" i="14"/>
  <c r="HO28" i="14" s="1"/>
  <c r="HO10" i="14"/>
  <c r="HO11" i="14" s="1"/>
  <c r="HO8" i="14"/>
  <c r="HO5" i="14"/>
  <c r="IK162" i="14"/>
  <c r="IK161" i="14"/>
  <c r="IK160" i="14"/>
  <c r="IK139" i="14"/>
  <c r="IK138" i="14"/>
  <c r="IK137" i="14"/>
  <c r="IK134" i="14"/>
  <c r="IK130" i="14"/>
  <c r="IK126" i="14"/>
  <c r="IK125" i="14"/>
  <c r="IK124" i="14"/>
  <c r="IK123" i="14"/>
  <c r="IK122" i="14"/>
  <c r="IK121" i="14"/>
  <c r="IK120" i="14"/>
  <c r="IK119" i="14"/>
  <c r="IK112" i="14"/>
  <c r="IK111" i="14"/>
  <c r="IK108" i="14"/>
  <c r="IK106" i="14"/>
  <c r="IK101" i="14"/>
  <c r="IK100" i="14"/>
  <c r="IK99" i="14"/>
  <c r="IK98" i="14"/>
  <c r="IK97" i="14"/>
  <c r="IK95" i="14"/>
  <c r="IK90" i="14"/>
  <c r="IK89" i="14"/>
  <c r="IK88" i="14"/>
  <c r="IK87" i="14"/>
  <c r="IK86" i="14"/>
  <c r="IK84" i="14"/>
  <c r="IK83" i="14"/>
  <c r="IK82" i="14"/>
  <c r="IK40" i="14"/>
  <c r="IK39" i="14"/>
  <c r="IK37" i="14"/>
  <c r="IK36" i="14"/>
  <c r="IK35" i="14"/>
  <c r="IK33" i="14"/>
  <c r="HO59" i="14" l="1"/>
  <c r="HO61" i="14" s="1"/>
  <c r="HS61" i="14" s="1"/>
  <c r="HQ62" i="14"/>
  <c r="HQ61" i="14"/>
  <c r="HO105" i="14"/>
  <c r="HO128" i="14"/>
  <c r="HO104" i="14"/>
  <c r="HO62" i="14"/>
  <c r="HO165" i="14"/>
  <c r="HQ79" i="14"/>
  <c r="HO70" i="14"/>
  <c r="HO42" i="14"/>
  <c r="HO76" i="14"/>
  <c r="HO71" i="14"/>
  <c r="HO150" i="14"/>
  <c r="HO6" i="14"/>
  <c r="IJ24" i="14"/>
  <c r="IH164" i="14"/>
  <c r="IH162" i="14"/>
  <c r="IM162" i="14" s="1"/>
  <c r="IH161" i="14"/>
  <c r="IM161" i="14" s="1"/>
  <c r="IH160" i="14"/>
  <c r="IM160" i="14" s="1"/>
  <c r="IH159" i="14"/>
  <c r="IM159" i="14" s="1"/>
  <c r="IH158" i="14"/>
  <c r="IM158" i="14" s="1"/>
  <c r="IH149" i="14"/>
  <c r="IZ151" i="14" s="1"/>
  <c r="IH142" i="14"/>
  <c r="IZ143" i="14" s="1"/>
  <c r="IH139" i="14"/>
  <c r="IM139" i="14" s="1"/>
  <c r="IH137" i="14"/>
  <c r="IM137" i="14" s="1"/>
  <c r="IH134" i="14"/>
  <c r="IM134" i="14" s="1"/>
  <c r="IH130" i="14"/>
  <c r="IM130" i="14" s="1"/>
  <c r="IH127" i="14"/>
  <c r="IH124" i="14"/>
  <c r="IM124" i="14" s="1"/>
  <c r="IH123" i="14"/>
  <c r="IM123" i="14" s="1"/>
  <c r="IH119" i="14"/>
  <c r="IM119" i="14" s="1"/>
  <c r="IH112" i="14"/>
  <c r="IM112" i="14" s="1"/>
  <c r="IH106" i="14"/>
  <c r="IM106" i="14" s="1"/>
  <c r="IH102" i="14"/>
  <c r="IH98" i="14"/>
  <c r="IM98" i="14" s="1"/>
  <c r="IH89" i="14"/>
  <c r="IM89" i="14" s="1"/>
  <c r="IH85" i="14"/>
  <c r="IM85" i="14" s="1"/>
  <c r="IH82" i="14"/>
  <c r="IM82" i="14" s="1"/>
  <c r="IH74" i="14"/>
  <c r="IM74" i="14" s="1"/>
  <c r="IH73" i="14"/>
  <c r="IM73" i="14" s="1"/>
  <c r="IH69" i="14"/>
  <c r="IH66" i="14"/>
  <c r="IM66" i="14" s="1"/>
  <c r="IH63" i="14"/>
  <c r="IM63" i="14" s="1"/>
  <c r="IH59" i="14"/>
  <c r="IZ60" i="14" s="1"/>
  <c r="IH57" i="14"/>
  <c r="IH50" i="14"/>
  <c r="IZ51" i="14" s="1"/>
  <c r="IH41" i="14"/>
  <c r="IZ42" i="14" s="1"/>
  <c r="IH39" i="14"/>
  <c r="IM39" i="14" s="1"/>
  <c r="IH27" i="14"/>
  <c r="IZ28" i="14" s="1"/>
  <c r="IH18" i="14"/>
  <c r="IH10" i="14"/>
  <c r="IH8" i="14"/>
  <c r="IH5" i="14"/>
  <c r="IJ165" i="14"/>
  <c r="IJ163" i="14"/>
  <c r="IJ150" i="14"/>
  <c r="IJ128" i="14"/>
  <c r="IJ104" i="14"/>
  <c r="IJ77" i="14"/>
  <c r="JA81" i="14" s="1"/>
  <c r="IJ76" i="14"/>
  <c r="IJ71" i="14"/>
  <c r="IJ68" i="14"/>
  <c r="IJ65" i="14"/>
  <c r="IJ62" i="14"/>
  <c r="IM5" i="14" l="1"/>
  <c r="IH166" i="14"/>
  <c r="IM69" i="14"/>
  <c r="IZ32" i="14"/>
  <c r="IM57" i="14"/>
  <c r="JB58" i="14" s="1"/>
  <c r="IZ58" i="14"/>
  <c r="IM8" i="14"/>
  <c r="IH9" i="14"/>
  <c r="IZ9" i="14"/>
  <c r="IM127" i="14"/>
  <c r="IZ129" i="14"/>
  <c r="IM102" i="14"/>
  <c r="JA105" i="14"/>
  <c r="IM10" i="14"/>
  <c r="JB11" i="14" s="1"/>
  <c r="IH11" i="14"/>
  <c r="IM18" i="14"/>
  <c r="JB19" i="14" s="1"/>
  <c r="IH28" i="14"/>
  <c r="IM27" i="14"/>
  <c r="IH61" i="14"/>
  <c r="IM59" i="14"/>
  <c r="JB60" i="14" s="1"/>
  <c r="IM164" i="14"/>
  <c r="IH42" i="14"/>
  <c r="IM41" i="14"/>
  <c r="IM65" i="14"/>
  <c r="IH143" i="14"/>
  <c r="IM142" i="14"/>
  <c r="JB143" i="14" s="1"/>
  <c r="IH51" i="14"/>
  <c r="IM50" i="14"/>
  <c r="JB51" i="14" s="1"/>
  <c r="IM68" i="14"/>
  <c r="IH151" i="14"/>
  <c r="IM149" i="14"/>
  <c r="JB151" i="14" s="1"/>
  <c r="IJ81" i="14"/>
  <c r="IH6" i="14"/>
  <c r="IH70" i="14"/>
  <c r="IH105" i="14"/>
  <c r="IM105" i="14" s="1"/>
  <c r="IH128" i="14"/>
  <c r="IH165" i="14"/>
  <c r="IH17" i="14"/>
  <c r="IH77" i="14" s="1"/>
  <c r="IH79" i="14" s="1"/>
  <c r="IH68" i="14"/>
  <c r="IH65" i="14"/>
  <c r="IH62" i="14"/>
  <c r="IJ79" i="14"/>
  <c r="IH76" i="14"/>
  <c r="IH71" i="14"/>
  <c r="IH104" i="14"/>
  <c r="IH150" i="14"/>
  <c r="IM71" i="14" l="1"/>
  <c r="IM76" i="14"/>
  <c r="JB70" i="14"/>
  <c r="IM165" i="14"/>
  <c r="JB24" i="14"/>
  <c r="JB6" i="14"/>
  <c r="JB9" i="14"/>
  <c r="IM104" i="14"/>
  <c r="JB28" i="14"/>
  <c r="IM128" i="14"/>
  <c r="JB42" i="14"/>
  <c r="IM17" i="14"/>
  <c r="IM77" i="14" s="1"/>
  <c r="KK19" i="14"/>
  <c r="IZ19" i="14"/>
  <c r="IM62" i="14"/>
  <c r="IM150" i="14"/>
  <c r="IZ24" i="14" l="1"/>
  <c r="JB32" i="14"/>
  <c r="IM79" i="14"/>
  <c r="JA19" i="14"/>
  <c r="JA24" i="14" s="1"/>
  <c r="II77" i="14"/>
  <c r="II76" i="14"/>
  <c r="II5" i="14"/>
  <c r="II62" i="14" s="1"/>
  <c r="II18" i="14"/>
  <c r="IZ77" i="14" l="1"/>
  <c r="JA11" i="14"/>
  <c r="JT77" i="14" l="1"/>
  <c r="JN78" i="14"/>
  <c r="JT74" i="14"/>
  <c r="JY74" i="14" s="1"/>
  <c r="JT79" i="14"/>
  <c r="JB77" i="14"/>
  <c r="IZ79" i="14"/>
  <c r="IZ81" i="14"/>
  <c r="IZ11" i="14"/>
  <c r="JO78" i="14" l="1"/>
  <c r="KF78" i="14"/>
  <c r="JY77" i="14"/>
  <c r="JT78" i="14"/>
  <c r="JY76" i="14"/>
  <c r="JY75" i="14"/>
  <c r="JT69" i="14"/>
  <c r="JT76" i="14"/>
  <c r="JT75" i="14"/>
  <c r="JB79" i="14"/>
  <c r="IZ6" i="14"/>
  <c r="JA70" i="14"/>
  <c r="II69" i="14"/>
  <c r="JY79" i="14" l="1"/>
  <c r="JY78" i="14"/>
  <c r="JT164" i="14"/>
  <c r="JT166" i="14" s="1"/>
  <c r="JY166" i="14" s="1"/>
  <c r="JY69" i="14"/>
  <c r="JT70" i="14"/>
  <c r="BE15" i="11" s="1"/>
  <c r="JT71" i="14"/>
  <c r="BE46" i="11"/>
  <c r="BE38" i="11"/>
  <c r="BE14" i="11"/>
  <c r="IZ164" i="14"/>
  <c r="IZ70" i="14"/>
  <c r="IZ71" i="14"/>
  <c r="JA6" i="14"/>
  <c r="JA71" i="14"/>
  <c r="II70" i="14"/>
  <c r="II71" i="14"/>
  <c r="II164" i="14"/>
  <c r="JY70" i="14" l="1"/>
  <c r="JY71" i="14"/>
  <c r="BE17" i="11"/>
  <c r="JY164" i="14"/>
  <c r="JY165" i="14" s="1"/>
  <c r="BE51" i="11"/>
  <c r="BE36" i="11"/>
  <c r="JB164" i="14"/>
  <c r="IZ166" i="14"/>
  <c r="IZ165" i="14"/>
  <c r="JA165" i="14"/>
  <c r="IE35" i="14"/>
  <c r="IG35" i="14"/>
  <c r="IO35" i="14" s="1"/>
  <c r="JB165" i="14" l="1"/>
  <c r="IO36" i="14"/>
  <c r="IF35" i="14"/>
  <c r="AT240" i="9" l="1"/>
  <c r="JH159" i="14" s="1"/>
  <c r="AT239" i="9"/>
  <c r="JH158" i="14" s="1"/>
  <c r="AT233" i="9"/>
  <c r="AT230" i="9"/>
  <c r="AT222" i="9"/>
  <c r="AT219" i="9"/>
  <c r="AT218" i="9"/>
  <c r="AT201" i="9"/>
  <c r="AT198" i="9"/>
  <c r="AT191" i="9"/>
  <c r="AT187" i="9"/>
  <c r="AT184" i="9"/>
  <c r="AT149" i="9"/>
  <c r="AT150" i="9" s="1"/>
  <c r="AT146" i="9"/>
  <c r="AT138" i="9"/>
  <c r="AT124" i="9"/>
  <c r="AT116" i="9"/>
  <c r="AT94" i="9"/>
  <c r="AT79" i="9"/>
  <c r="AT77" i="9"/>
  <c r="AT74" i="9"/>
  <c r="AT71" i="9"/>
  <c r="AT72" i="9" s="1"/>
  <c r="AT23" i="9"/>
  <c r="AT12" i="9"/>
  <c r="AT194" i="9" l="1"/>
  <c r="AT185" i="9"/>
  <c r="AT231" i="9"/>
  <c r="AT189" i="9"/>
  <c r="AT152" i="9"/>
  <c r="AT224" i="9"/>
  <c r="AT235" i="9"/>
  <c r="AI16" i="11" l="1"/>
  <c r="AI42" i="11"/>
  <c r="AI41" i="11"/>
  <c r="AI40" i="11"/>
  <c r="AI39" i="11"/>
  <c r="AI38" i="11"/>
  <c r="AI37" i="11"/>
  <c r="AI35" i="11"/>
  <c r="AI34" i="11"/>
  <c r="AI29" i="11"/>
  <c r="AI25" i="11"/>
  <c r="AI22" i="11"/>
  <c r="AI21" i="11"/>
  <c r="AI20" i="11"/>
  <c r="AI17" i="11"/>
  <c r="AI14" i="11"/>
  <c r="AI12" i="11"/>
  <c r="KM165" i="14" l="1"/>
  <c r="KM150" i="14"/>
  <c r="KM128" i="14"/>
  <c r="KM104" i="14"/>
  <c r="KM79" i="14"/>
  <c r="KM76" i="14"/>
  <c r="AO76" i="7"/>
  <c r="AO72" i="7" s="1"/>
  <c r="AO36" i="7"/>
  <c r="AO14" i="7"/>
  <c r="AO15" i="7" s="1"/>
  <c r="AO86" i="7"/>
  <c r="AO12" i="7"/>
  <c r="AO62" i="7" l="1"/>
  <c r="AO37" i="7"/>
  <c r="AT237" i="9"/>
  <c r="AT242" i="9" s="1"/>
  <c r="AT244" i="9" s="1"/>
  <c r="AI43" i="11"/>
  <c r="AO87" i="7"/>
  <c r="KM163" i="14"/>
  <c r="HU164" i="14"/>
  <c r="HU162" i="14"/>
  <c r="HU161" i="14"/>
  <c r="HU160" i="14"/>
  <c r="HU159" i="14"/>
  <c r="HU158" i="14"/>
  <c r="HU149" i="14"/>
  <c r="HU142" i="14"/>
  <c r="HU139" i="14"/>
  <c r="HU137" i="14"/>
  <c r="HU134" i="14"/>
  <c r="HU130" i="14"/>
  <c r="HU127" i="14"/>
  <c r="HS127" i="14" s="1"/>
  <c r="HU123" i="14"/>
  <c r="HU119" i="14"/>
  <c r="HU112" i="14"/>
  <c r="HU106" i="14"/>
  <c r="HU102" i="14"/>
  <c r="HS102" i="14" s="1"/>
  <c r="HU99" i="14"/>
  <c r="HU98" i="14"/>
  <c r="HU89" i="14"/>
  <c r="HU85" i="14"/>
  <c r="HU82" i="14"/>
  <c r="HU74" i="14"/>
  <c r="HS74" i="14" s="1"/>
  <c r="HU73" i="14"/>
  <c r="HS73" i="14" s="1"/>
  <c r="HU69" i="14"/>
  <c r="HU59" i="14"/>
  <c r="HU57" i="14"/>
  <c r="HS57" i="14" s="1"/>
  <c r="HU50" i="14"/>
  <c r="HU41" i="14"/>
  <c r="HU39" i="14"/>
  <c r="HU35" i="14"/>
  <c r="HU33" i="14"/>
  <c r="IO34" i="14" s="1"/>
  <c r="HU27" i="14"/>
  <c r="HU10" i="14"/>
  <c r="HU8" i="14"/>
  <c r="HM77" i="14"/>
  <c r="HM40" i="14"/>
  <c r="HO40" i="14" s="1"/>
  <c r="IG40" i="14"/>
  <c r="IG36" i="14"/>
  <c r="HM18" i="14"/>
  <c r="HM157" i="14"/>
  <c r="IG151" i="14"/>
  <c r="IG143" i="14"/>
  <c r="IG129" i="14"/>
  <c r="IO129" i="14" s="1"/>
  <c r="IG105" i="14"/>
  <c r="IG70" i="14"/>
  <c r="IG61" i="14"/>
  <c r="IG51" i="14"/>
  <c r="IG42" i="14"/>
  <c r="IG38" i="14"/>
  <c r="IG34" i="14"/>
  <c r="IG28" i="14"/>
  <c r="IG6" i="14"/>
  <c r="HM150" i="14"/>
  <c r="HM128" i="14"/>
  <c r="HM104" i="14"/>
  <c r="HM76" i="14"/>
  <c r="HM71" i="14"/>
  <c r="HM68" i="14"/>
  <c r="HM65" i="14"/>
  <c r="HM62" i="14"/>
  <c r="HM36" i="14"/>
  <c r="HO36" i="14" s="1"/>
  <c r="HH17" i="14"/>
  <c r="HM165" i="14"/>
  <c r="HH164" i="14"/>
  <c r="HH162" i="14"/>
  <c r="HH161" i="14"/>
  <c r="HH160" i="14"/>
  <c r="HH159" i="14"/>
  <c r="HH158" i="14"/>
  <c r="HH149" i="14"/>
  <c r="HH142" i="14"/>
  <c r="HH139" i="14"/>
  <c r="HH137" i="14"/>
  <c r="HH134" i="14"/>
  <c r="HH130" i="14"/>
  <c r="HH127" i="14"/>
  <c r="HH126" i="14"/>
  <c r="HH125" i="14"/>
  <c r="HH124" i="14"/>
  <c r="HH123" i="14"/>
  <c r="HH121" i="14"/>
  <c r="HH120" i="14"/>
  <c r="HH119" i="14"/>
  <c r="HH112" i="14"/>
  <c r="HH111" i="14"/>
  <c r="HH108" i="14"/>
  <c r="HH106" i="14"/>
  <c r="HH102" i="14"/>
  <c r="HH101" i="14"/>
  <c r="HH100" i="14"/>
  <c r="HH99" i="14"/>
  <c r="HH98" i="14"/>
  <c r="HH97" i="14"/>
  <c r="HH95" i="14"/>
  <c r="HH90" i="14"/>
  <c r="HH89" i="14"/>
  <c r="HH88" i="14"/>
  <c r="HH87" i="14"/>
  <c r="HH86" i="14"/>
  <c r="HH85" i="14"/>
  <c r="HH84" i="14"/>
  <c r="HH83" i="14"/>
  <c r="HH82" i="14"/>
  <c r="HH74" i="14"/>
  <c r="HH73" i="14"/>
  <c r="HH69" i="14"/>
  <c r="HH66" i="14"/>
  <c r="HH63" i="14"/>
  <c r="HH59" i="14"/>
  <c r="HH57" i="14"/>
  <c r="HH50" i="14"/>
  <c r="HH41" i="14"/>
  <c r="HH27" i="14"/>
  <c r="HH10" i="14"/>
  <c r="HH8" i="14"/>
  <c r="HH5" i="14"/>
  <c r="HU5" i="14"/>
  <c r="IO6" i="14" s="1"/>
  <c r="HS8" i="14" l="1"/>
  <c r="IM9" i="14" s="1"/>
  <c r="IO9" i="14"/>
  <c r="HS10" i="14"/>
  <c r="IM11" i="14" s="1"/>
  <c r="IO11" i="14"/>
  <c r="HS27" i="14"/>
  <c r="IM28" i="14" s="1"/>
  <c r="IO28" i="14"/>
  <c r="HS69" i="14"/>
  <c r="IM70" i="14" s="1"/>
  <c r="IO70" i="14"/>
  <c r="HS50" i="14"/>
  <c r="IM51" i="14" s="1"/>
  <c r="IO51" i="14"/>
  <c r="HS41" i="14"/>
  <c r="IM42" i="14" s="1"/>
  <c r="IO42" i="14"/>
  <c r="HS142" i="14"/>
  <c r="IO143" i="14"/>
  <c r="IM143" i="14" s="1"/>
  <c r="HS59" i="14"/>
  <c r="IM61" i="14" s="1"/>
  <c r="IO61" i="14"/>
  <c r="HS149" i="14"/>
  <c r="IM151" i="14" s="1"/>
  <c r="IO151" i="14"/>
  <c r="HU71" i="14"/>
  <c r="HS5" i="14"/>
  <c r="HM163" i="14"/>
  <c r="HO157" i="14"/>
  <c r="HO163" i="14" s="1"/>
  <c r="IG19" i="14"/>
  <c r="HO18" i="14"/>
  <c r="HU76" i="14"/>
  <c r="IH129" i="14"/>
  <c r="IM129" i="14" s="1"/>
  <c r="HU165" i="14"/>
  <c r="HM79" i="14"/>
  <c r="HU128" i="14"/>
  <c r="HH71" i="14"/>
  <c r="HH76" i="14"/>
  <c r="HH165" i="14"/>
  <c r="HU62" i="14"/>
  <c r="HU104" i="14"/>
  <c r="HU150" i="14"/>
  <c r="HH65" i="14"/>
  <c r="HH150" i="14"/>
  <c r="HH128" i="14"/>
  <c r="HH104" i="14"/>
  <c r="HH62" i="14"/>
  <c r="HH68" i="14"/>
  <c r="IM6" i="14" l="1"/>
  <c r="HO17" i="14"/>
  <c r="HO77" i="14" s="1"/>
  <c r="IH19" i="14"/>
  <c r="II19" i="14"/>
  <c r="IF164" i="14"/>
  <c r="IF162" i="14"/>
  <c r="IF161" i="14"/>
  <c r="IF160" i="14"/>
  <c r="IF159" i="14"/>
  <c r="IF158" i="14"/>
  <c r="IG157" i="14"/>
  <c r="IO157" i="14" s="1"/>
  <c r="IE151" i="14"/>
  <c r="IF149" i="14"/>
  <c r="IF151" i="14" s="1"/>
  <c r="IF142" i="14"/>
  <c r="IF143" i="14" s="1"/>
  <c r="IF139" i="14"/>
  <c r="IF137" i="14"/>
  <c r="IF134" i="14"/>
  <c r="IF130" i="14"/>
  <c r="IE129" i="14"/>
  <c r="IF123" i="14"/>
  <c r="IF122" i="14"/>
  <c r="IF121" i="14"/>
  <c r="IF120" i="14"/>
  <c r="IF119" i="14"/>
  <c r="IF127" i="14"/>
  <c r="IF129" i="14" s="1"/>
  <c r="IF126" i="14"/>
  <c r="IF125" i="14"/>
  <c r="IF112" i="14"/>
  <c r="IF111" i="14"/>
  <c r="IF108" i="14"/>
  <c r="IF106" i="14"/>
  <c r="IF102" i="14"/>
  <c r="IF100" i="14"/>
  <c r="IF99" i="14"/>
  <c r="IF98" i="14"/>
  <c r="IF95" i="14"/>
  <c r="IF91" i="14"/>
  <c r="IF90" i="14"/>
  <c r="IF89" i="14"/>
  <c r="IF88" i="14"/>
  <c r="IF87" i="14"/>
  <c r="IF86" i="14"/>
  <c r="IF85" i="14"/>
  <c r="IF84" i="14"/>
  <c r="IF83" i="14"/>
  <c r="IF82" i="14"/>
  <c r="IG77" i="14"/>
  <c r="IG71" i="14"/>
  <c r="IF74" i="14"/>
  <c r="IF73" i="14"/>
  <c r="IF69" i="14"/>
  <c r="IF66" i="14"/>
  <c r="IF63" i="14"/>
  <c r="IG62" i="14"/>
  <c r="IF59" i="14"/>
  <c r="IF61" i="14" s="1"/>
  <c r="IF57" i="14"/>
  <c r="IF50" i="14"/>
  <c r="IF41" i="14"/>
  <c r="IF33" i="14"/>
  <c r="IF34" i="14" s="1"/>
  <c r="IF27" i="14"/>
  <c r="IF10" i="14"/>
  <c r="IF11" i="14" s="1"/>
  <c r="IF8" i="14"/>
  <c r="IF9" i="14" s="1"/>
  <c r="IF5" i="14"/>
  <c r="IG165" i="14"/>
  <c r="IG150" i="14"/>
  <c r="IE143" i="14"/>
  <c r="IG128" i="14"/>
  <c r="IG104" i="14"/>
  <c r="IG76" i="14"/>
  <c r="IG68" i="14"/>
  <c r="IG65" i="14"/>
  <c r="IF166" i="14" l="1"/>
  <c r="IF28" i="14"/>
  <c r="IF42" i="14"/>
  <c r="IF51" i="14"/>
  <c r="IF105" i="14"/>
  <c r="IO163" i="14"/>
  <c r="IO77" i="14"/>
  <c r="IO79" i="14" s="1"/>
  <c r="HO79" i="14"/>
  <c r="II81" i="14"/>
  <c r="IF104" i="14"/>
  <c r="IH157" i="14"/>
  <c r="IH163" i="14" s="1"/>
  <c r="IG163" i="14"/>
  <c r="IF70" i="14"/>
  <c r="IG81" i="14"/>
  <c r="IF68" i="14"/>
  <c r="IF165" i="14"/>
  <c r="IG79" i="14"/>
  <c r="IF157" i="14"/>
  <c r="IF163" i="14" s="1"/>
  <c r="IF150" i="14"/>
  <c r="IF76" i="14"/>
  <c r="IF128" i="14"/>
  <c r="IF65" i="14"/>
  <c r="IF6" i="14"/>
  <c r="IF62" i="14"/>
  <c r="IF71" i="14"/>
  <c r="IM166" i="14" l="1"/>
  <c r="IM157" i="14"/>
  <c r="IM163" i="14" s="1"/>
  <c r="IP23" i="14"/>
  <c r="IP22" i="14"/>
  <c r="IN22" i="14" l="1"/>
  <c r="IN23" i="14"/>
  <c r="AK239" i="9" l="1"/>
  <c r="IE37" i="14"/>
  <c r="IF37" i="14" s="1"/>
  <c r="JH142" i="14" l="1"/>
  <c r="JH143" i="14" l="1"/>
  <c r="KT125" i="14" l="1"/>
  <c r="JH149" i="14" l="1"/>
  <c r="IE34" i="14"/>
  <c r="JH151" i="14" l="1"/>
  <c r="IE77" i="14"/>
  <c r="IU81" i="14" s="1"/>
  <c r="IE62" i="14"/>
  <c r="KT164" i="14"/>
  <c r="KT159" i="14"/>
  <c r="KT158" i="14"/>
  <c r="KT149" i="14"/>
  <c r="KT142" i="14"/>
  <c r="KT139" i="14"/>
  <c r="KT134" i="14"/>
  <c r="KT130" i="14"/>
  <c r="KT127" i="14"/>
  <c r="KT126" i="14"/>
  <c r="KT123" i="14"/>
  <c r="KT122" i="14"/>
  <c r="KT121" i="14"/>
  <c r="KT120" i="14"/>
  <c r="KT119" i="14"/>
  <c r="KT116" i="14"/>
  <c r="KT115" i="14"/>
  <c r="KT113" i="14"/>
  <c r="KT112" i="14"/>
  <c r="KT109" i="14"/>
  <c r="KT111" i="14"/>
  <c r="KT106" i="14"/>
  <c r="KT102" i="14"/>
  <c r="KT101" i="14"/>
  <c r="KT100" i="14"/>
  <c r="KT99" i="14"/>
  <c r="KT98" i="14"/>
  <c r="KT97" i="14"/>
  <c r="KT95" i="14"/>
  <c r="KT91" i="14"/>
  <c r="KT90" i="14"/>
  <c r="KT89" i="14"/>
  <c r="KT88" i="14"/>
  <c r="KT87" i="14"/>
  <c r="KT86" i="14"/>
  <c r="KT85" i="14"/>
  <c r="KT84" i="14"/>
  <c r="KT83" i="14"/>
  <c r="KT82" i="14"/>
  <c r="KT74" i="14"/>
  <c r="KT73" i="14"/>
  <c r="KT69" i="14"/>
  <c r="KT59" i="14"/>
  <c r="KT61" i="14" s="1"/>
  <c r="KT57" i="14"/>
  <c r="KT50" i="14"/>
  <c r="KT41" i="14"/>
  <c r="KT33" i="14"/>
  <c r="KT27" i="14"/>
  <c r="KT10" i="14"/>
  <c r="KT8" i="14"/>
  <c r="KT5" i="14"/>
  <c r="KT80" i="14"/>
  <c r="IE105" i="14"/>
  <c r="IE70" i="14"/>
  <c r="IE61" i="14"/>
  <c r="IE51" i="14"/>
  <c r="IE42" i="14"/>
  <c r="IE28" i="14"/>
  <c r="IE6" i="14"/>
  <c r="IE165" i="14"/>
  <c r="IE157" i="14"/>
  <c r="IE163" i="14" s="1"/>
  <c r="IE150" i="14"/>
  <c r="IE128" i="14"/>
  <c r="IE104" i="14"/>
  <c r="IE76" i="14"/>
  <c r="IE71" i="14"/>
  <c r="IE68" i="14"/>
  <c r="IE65" i="14"/>
  <c r="IE40" i="14"/>
  <c r="IE36" i="14"/>
  <c r="IF36" i="14" s="1"/>
  <c r="IE18" i="14"/>
  <c r="HE165" i="14"/>
  <c r="HE157" i="14"/>
  <c r="HE150" i="14"/>
  <c r="HE128" i="14"/>
  <c r="HE104" i="14"/>
  <c r="HE77" i="14"/>
  <c r="HH77" i="14" s="1"/>
  <c r="HE76" i="14"/>
  <c r="HG164" i="14"/>
  <c r="HG162" i="14"/>
  <c r="HG161" i="14"/>
  <c r="HG160" i="14"/>
  <c r="HG159" i="14"/>
  <c r="HG158" i="14"/>
  <c r="HG149" i="14"/>
  <c r="HG142" i="14"/>
  <c r="HG139" i="14"/>
  <c r="HG138" i="14"/>
  <c r="HG137" i="14"/>
  <c r="HG134" i="14"/>
  <c r="HG130" i="14"/>
  <c r="HG127" i="14"/>
  <c r="HG126" i="14"/>
  <c r="HG125" i="14"/>
  <c r="HG124" i="14"/>
  <c r="HG123" i="14"/>
  <c r="HG122" i="14"/>
  <c r="HG121" i="14"/>
  <c r="HG120" i="14"/>
  <c r="HG119" i="14"/>
  <c r="HG112" i="14"/>
  <c r="HG111" i="14"/>
  <c r="HG108" i="14"/>
  <c r="HG106" i="14"/>
  <c r="HG102" i="14"/>
  <c r="HG101" i="14"/>
  <c r="HG100" i="14"/>
  <c r="HG99" i="14"/>
  <c r="HG98" i="14"/>
  <c r="HG97" i="14"/>
  <c r="HG95" i="14"/>
  <c r="HG90" i="14"/>
  <c r="HG89" i="14"/>
  <c r="HG88" i="14"/>
  <c r="HG87" i="14"/>
  <c r="HG86" i="14"/>
  <c r="HG85" i="14"/>
  <c r="HG84" i="14"/>
  <c r="HG83" i="14"/>
  <c r="HG82" i="14"/>
  <c r="HG74" i="14"/>
  <c r="HG73" i="14"/>
  <c r="HG69" i="14"/>
  <c r="HG39" i="14"/>
  <c r="HG35" i="14"/>
  <c r="HE68" i="14"/>
  <c r="HE37" i="14"/>
  <c r="HE36" i="14"/>
  <c r="HH36" i="14" s="1"/>
  <c r="HE18" i="14"/>
  <c r="HH18" i="14" s="1"/>
  <c r="HE65" i="14"/>
  <c r="KT128" i="14" l="1"/>
  <c r="KT150" i="14"/>
  <c r="IU19" i="14"/>
  <c r="IT83" i="14"/>
  <c r="IT18" i="14"/>
  <c r="IT10" i="14" s="1"/>
  <c r="IT84" i="14"/>
  <c r="HH79" i="14"/>
  <c r="HG165" i="14"/>
  <c r="HE163" i="14"/>
  <c r="HH157" i="14"/>
  <c r="HE40" i="14"/>
  <c r="HH40" i="14" s="1"/>
  <c r="HH37" i="14"/>
  <c r="IE79" i="14"/>
  <c r="IF18" i="14"/>
  <c r="KT70" i="14"/>
  <c r="KT151" i="14"/>
  <c r="IF40" i="14"/>
  <c r="KT129" i="14"/>
  <c r="IE81" i="14"/>
  <c r="KT104" i="14"/>
  <c r="HE79" i="14"/>
  <c r="KT165" i="14"/>
  <c r="KT105" i="14"/>
  <c r="KT71" i="14"/>
  <c r="KT18" i="14"/>
  <c r="KT77" i="14"/>
  <c r="IE19" i="14"/>
  <c r="KT62" i="14"/>
  <c r="KT76" i="14"/>
  <c r="HE62" i="14"/>
  <c r="HE71" i="14"/>
  <c r="IE24" i="14" l="1"/>
  <c r="IU24" i="14"/>
  <c r="IT5" i="14"/>
  <c r="IT6" i="14" s="1"/>
  <c r="IT11" i="14"/>
  <c r="IF19" i="14"/>
  <c r="IT82" i="14"/>
  <c r="IT81" i="14" s="1"/>
  <c r="IT77" i="14" s="1"/>
  <c r="IT74" i="14" s="1"/>
  <c r="IT69" i="14" s="1"/>
  <c r="IT164" i="14" s="1"/>
  <c r="IF17" i="14"/>
  <c r="IF77" i="14" s="1"/>
  <c r="KT79" i="14"/>
  <c r="KT17" i="14"/>
  <c r="KL83" i="14" l="1"/>
  <c r="IT79" i="14"/>
  <c r="IT76" i="14"/>
  <c r="IF81" i="14"/>
  <c r="IF79" i="14"/>
  <c r="AI217" i="7"/>
  <c r="AI198" i="7"/>
  <c r="AI197" i="7"/>
  <c r="AI192" i="7"/>
  <c r="AI122" i="7"/>
  <c r="AI93" i="7"/>
  <c r="AI12" i="7"/>
  <c r="AO317" i="9"/>
  <c r="AO366" i="9" s="1"/>
  <c r="AO406" i="9" s="1"/>
  <c r="AO24" i="9"/>
  <c r="IT71" i="14" l="1"/>
  <c r="IT70" i="14"/>
  <c r="ID19" i="14" l="1"/>
  <c r="ID74" i="14" l="1"/>
  <c r="ID69" i="14" s="1"/>
  <c r="ID163" i="14" s="1"/>
  <c r="IP158" i="14"/>
  <c r="IK158" i="14" s="1"/>
  <c r="IP17" i="14"/>
  <c r="ID150" i="14"/>
  <c r="IN158" i="14" l="1"/>
  <c r="KV109" i="14" l="1"/>
  <c r="KW114" i="14"/>
  <c r="KW117" i="14" s="1"/>
  <c r="KU114" i="14"/>
  <c r="KT114" i="14" s="1"/>
  <c r="KV115" i="14"/>
  <c r="KV116" i="14"/>
  <c r="KU117" i="14" l="1"/>
  <c r="KT117" i="14" s="1"/>
  <c r="HT140" i="14"/>
  <c r="HV39" i="14"/>
  <c r="HV35" i="14"/>
  <c r="KV91" i="14"/>
  <c r="AC219" i="7" l="1"/>
  <c r="AC218" i="7"/>
  <c r="AC215" i="7"/>
  <c r="AC212" i="7"/>
  <c r="AC210" i="7"/>
  <c r="AC206" i="7"/>
  <c r="AC204" i="7"/>
  <c r="AC202" i="7"/>
  <c r="AC201" i="7"/>
  <c r="AC200" i="7"/>
  <c r="AC198" i="7"/>
  <c r="AC192" i="7"/>
  <c r="AC178" i="7"/>
  <c r="AC177" i="7"/>
  <c r="AC174" i="7"/>
  <c r="AC173" i="7"/>
  <c r="AC170" i="7"/>
  <c r="AC169" i="7"/>
  <c r="AC166" i="7"/>
  <c r="AC165" i="7"/>
  <c r="AC157" i="7"/>
  <c r="AC156" i="7"/>
  <c r="AC154" i="7"/>
  <c r="AC153" i="7"/>
  <c r="AC152" i="7"/>
  <c r="AC150" i="7"/>
  <c r="AC134" i="7"/>
  <c r="AC133" i="7"/>
  <c r="AC122" i="7"/>
  <c r="AC93" i="7"/>
  <c r="AC90" i="7"/>
  <c r="AC88" i="7"/>
  <c r="AC87" i="7"/>
  <c r="AC85" i="7"/>
  <c r="AC84" i="7"/>
  <c r="AC76" i="7"/>
  <c r="AC75" i="7"/>
  <c r="AC74" i="7"/>
  <c r="AC73" i="7"/>
  <c r="AC71" i="7"/>
  <c r="AC68" i="7"/>
  <c r="AC66" i="7"/>
  <c r="AC65" i="7"/>
  <c r="AC64" i="7"/>
  <c r="AC54" i="7"/>
  <c r="AC52" i="7"/>
  <c r="AC35" i="7"/>
  <c r="AC33" i="7"/>
  <c r="AC27" i="7"/>
  <c r="AC26" i="7"/>
  <c r="AC19" i="7"/>
  <c r="AC21" i="7" s="1"/>
  <c r="AC14" i="7"/>
  <c r="AC12" i="7"/>
  <c r="AC240" i="13"/>
  <c r="AC216" i="7" s="1"/>
  <c r="AC114" i="13"/>
  <c r="AC131" i="7" s="1"/>
  <c r="AC99" i="13"/>
  <c r="AC126" i="7" s="1"/>
  <c r="AC22" i="13"/>
  <c r="R14" i="11"/>
  <c r="AZ14" i="11" s="1"/>
  <c r="R12" i="11"/>
  <c r="R19" i="11" s="1"/>
  <c r="AZ19" i="11" s="1"/>
  <c r="R42" i="11"/>
  <c r="AZ42" i="11" s="1"/>
  <c r="R41" i="11"/>
  <c r="AZ41" i="11" s="1"/>
  <c r="R40" i="11"/>
  <c r="R39" i="11"/>
  <c r="AZ39" i="11" s="1"/>
  <c r="R38" i="11"/>
  <c r="R37" i="11"/>
  <c r="R35" i="11"/>
  <c r="AZ35" i="11" s="1"/>
  <c r="R34" i="11"/>
  <c r="AZ34" i="11" s="1"/>
  <c r="R29" i="11"/>
  <c r="AZ29" i="11" s="1"/>
  <c r="R25" i="11"/>
  <c r="AZ25" i="11" s="1"/>
  <c r="R22" i="11"/>
  <c r="AZ22" i="11" s="1"/>
  <c r="R21" i="11"/>
  <c r="AZ21" i="11" s="1"/>
  <c r="R20" i="11"/>
  <c r="AZ33" i="11"/>
  <c r="AZ32" i="11"/>
  <c r="AZ31" i="11"/>
  <c r="AZ30" i="11"/>
  <c r="AZ28" i="11"/>
  <c r="AZ27" i="11"/>
  <c r="AZ26" i="11"/>
  <c r="AZ24" i="11"/>
  <c r="AZ23" i="11"/>
  <c r="HZ36" i="14"/>
  <c r="HU36" i="14" s="1"/>
  <c r="HV71" i="14"/>
  <c r="HZ71" i="14"/>
  <c r="KU71" i="14"/>
  <c r="HL59" i="14"/>
  <c r="KU61" i="14" s="1"/>
  <c r="HL57" i="14"/>
  <c r="HG57" i="14" s="1"/>
  <c r="HG150" i="14" s="1"/>
  <c r="HL50" i="14"/>
  <c r="KU51" i="14" s="1"/>
  <c r="HL41" i="14"/>
  <c r="KU42" i="14" s="1"/>
  <c r="HZ37" i="14"/>
  <c r="IR38" i="14" s="1"/>
  <c r="HL33" i="14"/>
  <c r="KU34" i="14" s="1"/>
  <c r="HL27" i="14"/>
  <c r="KU28" i="14" s="1"/>
  <c r="HZ18" i="14"/>
  <c r="IR19" i="14" s="1"/>
  <c r="HL10" i="14"/>
  <c r="HL8" i="14"/>
  <c r="HL5" i="14"/>
  <c r="KU6" i="14" s="1"/>
  <c r="KW151" i="14"/>
  <c r="KW143" i="14"/>
  <c r="KW129" i="14"/>
  <c r="KW105" i="14"/>
  <c r="KW70" i="14"/>
  <c r="KW61" i="14"/>
  <c r="KW51" i="14"/>
  <c r="KW42" i="14"/>
  <c r="KW34" i="14"/>
  <c r="KW28" i="14"/>
  <c r="KW6" i="14"/>
  <c r="KU151" i="14"/>
  <c r="KU143" i="14"/>
  <c r="KT143" i="14" s="1"/>
  <c r="KU129" i="14"/>
  <c r="KU105" i="14"/>
  <c r="KU70" i="14"/>
  <c r="HZ165" i="14"/>
  <c r="HZ157" i="14"/>
  <c r="HZ150" i="14"/>
  <c r="HZ128" i="14"/>
  <c r="HZ104" i="14"/>
  <c r="HZ77" i="14"/>
  <c r="IR81" i="14" s="1"/>
  <c r="IO81" i="14" s="1"/>
  <c r="HZ76" i="14"/>
  <c r="HZ62" i="14"/>
  <c r="HL165" i="14"/>
  <c r="HL157" i="14"/>
  <c r="HL77" i="14"/>
  <c r="HV77" i="14"/>
  <c r="HV157" i="14"/>
  <c r="IR24" i="14" l="1"/>
  <c r="AD13" i="8" s="1"/>
  <c r="AD77" i="7"/>
  <c r="AC207" i="7"/>
  <c r="AD69" i="7"/>
  <c r="AH51" i="9"/>
  <c r="AC195" i="7"/>
  <c r="AC111" i="7"/>
  <c r="HV169" i="14"/>
  <c r="AH46" i="9"/>
  <c r="AD15" i="7"/>
  <c r="AD21" i="8"/>
  <c r="HL128" i="14"/>
  <c r="AZ20" i="11"/>
  <c r="AZ55" i="11" s="1"/>
  <c r="R55" i="11"/>
  <c r="AC176" i="7"/>
  <c r="HL76" i="14"/>
  <c r="KU11" i="14"/>
  <c r="KW19" i="14"/>
  <c r="HL150" i="14"/>
  <c r="AZ38" i="11"/>
  <c r="AC164" i="7"/>
  <c r="AC168" i="7"/>
  <c r="AC99" i="7"/>
  <c r="AC181" i="7"/>
  <c r="AC135" i="7"/>
  <c r="AC56" i="7"/>
  <c r="HL104" i="14"/>
  <c r="HU18" i="14"/>
  <c r="IO19" i="14" s="1"/>
  <c r="IO24" i="14" s="1"/>
  <c r="KM24" i="14"/>
  <c r="AC105" i="7"/>
  <c r="AC172" i="7"/>
  <c r="HZ79" i="14"/>
  <c r="HU77" i="14"/>
  <c r="HZ163" i="14"/>
  <c r="HU157" i="14"/>
  <c r="HZ40" i="14"/>
  <c r="HU40" i="14" s="1"/>
  <c r="HU37" i="14"/>
  <c r="IO38" i="14" s="1"/>
  <c r="HL71" i="14"/>
  <c r="HG5" i="14"/>
  <c r="HG27" i="14"/>
  <c r="HG50" i="14"/>
  <c r="HL62" i="14"/>
  <c r="HG8" i="14"/>
  <c r="HL36" i="14"/>
  <c r="HG36" i="14" s="1"/>
  <c r="HG33" i="14"/>
  <c r="HL163" i="14"/>
  <c r="HG157" i="14"/>
  <c r="HG163" i="14" s="1"/>
  <c r="HL18" i="14"/>
  <c r="KU19" i="14" s="1"/>
  <c r="KU24" i="14" s="1"/>
  <c r="HG10" i="14"/>
  <c r="KT11" i="14" s="1"/>
  <c r="HG59" i="14"/>
  <c r="HG41" i="14"/>
  <c r="R46" i="11"/>
  <c r="AZ46" i="11" s="1"/>
  <c r="R50" i="11"/>
  <c r="AZ50" i="11" s="1"/>
  <c r="R45" i="11"/>
  <c r="AZ45" i="11" s="1"/>
  <c r="R36" i="11"/>
  <c r="AZ37" i="11"/>
  <c r="AC28" i="7"/>
  <c r="AC214" i="7"/>
  <c r="AC36" i="7"/>
  <c r="AC72" i="7"/>
  <c r="AC199" i="7"/>
  <c r="HL37" i="14"/>
  <c r="R43" i="11"/>
  <c r="AZ43" i="11" s="1"/>
  <c r="R48" i="11"/>
  <c r="AZ48" i="11" s="1"/>
  <c r="R49" i="11"/>
  <c r="AZ49" i="11" s="1"/>
  <c r="AZ12" i="11"/>
  <c r="AZ40" i="11"/>
  <c r="AC100" i="7"/>
  <c r="AC196" i="7"/>
  <c r="AC97" i="7"/>
  <c r="AC226" i="7"/>
  <c r="AC104" i="7"/>
  <c r="AC98" i="7"/>
  <c r="AC106" i="7"/>
  <c r="AC194" i="7"/>
  <c r="AC107" i="7"/>
  <c r="R47" i="11"/>
  <c r="AZ47" i="11" s="1"/>
  <c r="KW81" i="14"/>
  <c r="KU81" i="14"/>
  <c r="AC255" i="13"/>
  <c r="AC221" i="7" s="1"/>
  <c r="AC245" i="13"/>
  <c r="AC230" i="13"/>
  <c r="AC223" i="13"/>
  <c r="AC215" i="13"/>
  <c r="AC210" i="13"/>
  <c r="AC202" i="13"/>
  <c r="AC201" i="13"/>
  <c r="AC199" i="13"/>
  <c r="AC197" i="13"/>
  <c r="AC189" i="13"/>
  <c r="AC158" i="7" s="1"/>
  <c r="AC179" i="13"/>
  <c r="AC173" i="13"/>
  <c r="AC157" i="13"/>
  <c r="AC145" i="7" s="1"/>
  <c r="AC145" i="13"/>
  <c r="AC141" i="13"/>
  <c r="AC140" i="7" s="1"/>
  <c r="AC131" i="13"/>
  <c r="AC123" i="13"/>
  <c r="AC136" i="7" s="1"/>
  <c r="AC119" i="13"/>
  <c r="AC113" i="13"/>
  <c r="AC130" i="7" s="1"/>
  <c r="AC103" i="13"/>
  <c r="AC125" i="7" s="1"/>
  <c r="AC97" i="13"/>
  <c r="AC124" i="7" s="1"/>
  <c r="AC88" i="13"/>
  <c r="AC78" i="13"/>
  <c r="AC80" i="7" s="1"/>
  <c r="AC75" i="13"/>
  <c r="AC63" i="13"/>
  <c r="AC54" i="13"/>
  <c r="AC60" i="7" s="1"/>
  <c r="AC50" i="13"/>
  <c r="AC57" i="7" s="1"/>
  <c r="AC40" i="13"/>
  <c r="AC44" i="13" s="1"/>
  <c r="AC33" i="13"/>
  <c r="AC29" i="13" s="1"/>
  <c r="AC30" i="7" s="1"/>
  <c r="AC24" i="13"/>
  <c r="AC13" i="13"/>
  <c r="AC16" i="13" s="1"/>
  <c r="AC23" i="7" s="1"/>
  <c r="Q42" i="11"/>
  <c r="Q41" i="11"/>
  <c r="Q40" i="11"/>
  <c r="Q39" i="11"/>
  <c r="Q38" i="11"/>
  <c r="Q37" i="11"/>
  <c r="Q35" i="11"/>
  <c r="Q34" i="11"/>
  <c r="Q29" i="11"/>
  <c r="Q25" i="11"/>
  <c r="Q22" i="11"/>
  <c r="Q21" i="11"/>
  <c r="Q20" i="11"/>
  <c r="AU240" i="9"/>
  <c r="AU239" i="9"/>
  <c r="AU233" i="9"/>
  <c r="AU230" i="9"/>
  <c r="AU222" i="9"/>
  <c r="AU219" i="9"/>
  <c r="AU218" i="9"/>
  <c r="AU201" i="9"/>
  <c r="AU198" i="9"/>
  <c r="AU191" i="9"/>
  <c r="AU194" i="9" s="1"/>
  <c r="AU187" i="9"/>
  <c r="AU184" i="9"/>
  <c r="AU149" i="9"/>
  <c r="AU150" i="9" s="1"/>
  <c r="AU146" i="9"/>
  <c r="AU147" i="9" s="1"/>
  <c r="AU138" i="9"/>
  <c r="AU124" i="9"/>
  <c r="AU116" i="9"/>
  <c r="AU79" i="9"/>
  <c r="AU77" i="9"/>
  <c r="AU74" i="9"/>
  <c r="AU71" i="9"/>
  <c r="AU23" i="9"/>
  <c r="AU12" i="9"/>
  <c r="KV5" i="14"/>
  <c r="HV151" i="14"/>
  <c r="HV143" i="14"/>
  <c r="HV129" i="14"/>
  <c r="HV105" i="14"/>
  <c r="HV61" i="14"/>
  <c r="HV51" i="14"/>
  <c r="HV42" i="14"/>
  <c r="HV34" i="14"/>
  <c r="HV28" i="14"/>
  <c r="HV6" i="14"/>
  <c r="HT164" i="14"/>
  <c r="HT162" i="14"/>
  <c r="HT161" i="14"/>
  <c r="HT160" i="14"/>
  <c r="HT159" i="14"/>
  <c r="HT158" i="14"/>
  <c r="HT149" i="14"/>
  <c r="HT142" i="14"/>
  <c r="HT139" i="14"/>
  <c r="HT137" i="14"/>
  <c r="HT134" i="14"/>
  <c r="HT130" i="14"/>
  <c r="HT127" i="14"/>
  <c r="HT126" i="14"/>
  <c r="HT125" i="14"/>
  <c r="HT124" i="14"/>
  <c r="HT123" i="14"/>
  <c r="HT122" i="14"/>
  <c r="HT121" i="14"/>
  <c r="HT120" i="14"/>
  <c r="HT119" i="14"/>
  <c r="HT112" i="14"/>
  <c r="HT111" i="14"/>
  <c r="HT108" i="14"/>
  <c r="HT106" i="14"/>
  <c r="HT102" i="14"/>
  <c r="HT101" i="14"/>
  <c r="HR101" i="14" s="1"/>
  <c r="HT100" i="14"/>
  <c r="HR100" i="14" s="1"/>
  <c r="HT99" i="14"/>
  <c r="HR99" i="14" s="1"/>
  <c r="HT98" i="14"/>
  <c r="HT97" i="14"/>
  <c r="HR97" i="14" s="1"/>
  <c r="HT95" i="14"/>
  <c r="HR95" i="14" s="1"/>
  <c r="HT91" i="14"/>
  <c r="HR91" i="14" s="1"/>
  <c r="HT90" i="14"/>
  <c r="HR90" i="14" s="1"/>
  <c r="HT89" i="14"/>
  <c r="HT88" i="14"/>
  <c r="HR88" i="14" s="1"/>
  <c r="HT87" i="14"/>
  <c r="HR87" i="14" s="1"/>
  <c r="HT86" i="14"/>
  <c r="HR86" i="14" s="1"/>
  <c r="HT85" i="14"/>
  <c r="HT84" i="14"/>
  <c r="HR84" i="14" s="1"/>
  <c r="HT83" i="14"/>
  <c r="HR83" i="14" s="1"/>
  <c r="HT82" i="14"/>
  <c r="HT74" i="14"/>
  <c r="HT73" i="14"/>
  <c r="HT69" i="14"/>
  <c r="HT66" i="14"/>
  <c r="HT63" i="14"/>
  <c r="HT59" i="14"/>
  <c r="HT57" i="14"/>
  <c r="HT50" i="14"/>
  <c r="HT41" i="14"/>
  <c r="HT39" i="14"/>
  <c r="HT35" i="14"/>
  <c r="HT27" i="14"/>
  <c r="HT10" i="14"/>
  <c r="HT8" i="14"/>
  <c r="HT5" i="14"/>
  <c r="KW165" i="14"/>
  <c r="KU165" i="14"/>
  <c r="KV164" i="14"/>
  <c r="KV159" i="14"/>
  <c r="KV158" i="14"/>
  <c r="KW157" i="14"/>
  <c r="KW163" i="14" s="1"/>
  <c r="KU157" i="14"/>
  <c r="KW150" i="14"/>
  <c r="KU150" i="14"/>
  <c r="KV149" i="14"/>
  <c r="KV142" i="14"/>
  <c r="KV139" i="14"/>
  <c r="KV134" i="14"/>
  <c r="KV130" i="14"/>
  <c r="KW128" i="14"/>
  <c r="KU128" i="14"/>
  <c r="KV127" i="14"/>
  <c r="KV126" i="14"/>
  <c r="KV125" i="14"/>
  <c r="KV124" i="14"/>
  <c r="KV123" i="14"/>
  <c r="KV122" i="14"/>
  <c r="KV121" i="14"/>
  <c r="KV120" i="14"/>
  <c r="KV119" i="14"/>
  <c r="KV117" i="14"/>
  <c r="KV114" i="14"/>
  <c r="KV113" i="14"/>
  <c r="KV112" i="14"/>
  <c r="KV111" i="14"/>
  <c r="KV106" i="14"/>
  <c r="KW104" i="14"/>
  <c r="KU104" i="14"/>
  <c r="KV102" i="14"/>
  <c r="KV100" i="14"/>
  <c r="KV98" i="14"/>
  <c r="KV97" i="14"/>
  <c r="KV95" i="14"/>
  <c r="KV90" i="14"/>
  <c r="KV89" i="14"/>
  <c r="KV88" i="14"/>
  <c r="KV87" i="14"/>
  <c r="KV86" i="14"/>
  <c r="KV85" i="14"/>
  <c r="KV84" i="14"/>
  <c r="KV83" i="14"/>
  <c r="KV82" i="14"/>
  <c r="KV80" i="14"/>
  <c r="KW79" i="14"/>
  <c r="KU79" i="14"/>
  <c r="KV77" i="14"/>
  <c r="KW76" i="14"/>
  <c r="KU76" i="14"/>
  <c r="KV74" i="14"/>
  <c r="KV73" i="14"/>
  <c r="KW71" i="14"/>
  <c r="KV69" i="14"/>
  <c r="KW62" i="14"/>
  <c r="KU62" i="14"/>
  <c r="KV59" i="14"/>
  <c r="KV61" i="14" s="1"/>
  <c r="KV57" i="14"/>
  <c r="KV50" i="14"/>
  <c r="KV41" i="14"/>
  <c r="KW37" i="14"/>
  <c r="KW38" i="14" s="1"/>
  <c r="KU37" i="14"/>
  <c r="KT37" i="14" s="1"/>
  <c r="KV33" i="14"/>
  <c r="KV34" i="14" s="1"/>
  <c r="KV27" i="14"/>
  <c r="KV18" i="14"/>
  <c r="KV10" i="14"/>
  <c r="KV11" i="14" s="1"/>
  <c r="KV8" i="14"/>
  <c r="HV165" i="14"/>
  <c r="HV163" i="14"/>
  <c r="HV150" i="14"/>
  <c r="HR138" i="14"/>
  <c r="HV128" i="14"/>
  <c r="HV104" i="14"/>
  <c r="HV76" i="14"/>
  <c r="HV68" i="14"/>
  <c r="HV65" i="14"/>
  <c r="HV62" i="14"/>
  <c r="HV37" i="14"/>
  <c r="HV40" i="14" s="1"/>
  <c r="HV36" i="14"/>
  <c r="HV18" i="14"/>
  <c r="AD227" i="7" l="1"/>
  <c r="AC40" i="7"/>
  <c r="KW24" i="14"/>
  <c r="AC182" i="7"/>
  <c r="HN169" i="14"/>
  <c r="HD169" i="14"/>
  <c r="HF169" i="14"/>
  <c r="AC197" i="7"/>
  <c r="AC203" i="7" s="1"/>
  <c r="AC180" i="7"/>
  <c r="AC225" i="7"/>
  <c r="AC5" i="7"/>
  <c r="AD7" i="7" s="1"/>
  <c r="HV166" i="14"/>
  <c r="AC101" i="7"/>
  <c r="AH14" i="9"/>
  <c r="AG14" i="9"/>
  <c r="AD34" i="7"/>
  <c r="AC132" i="7"/>
  <c r="AZ36" i="11"/>
  <c r="R52" i="11"/>
  <c r="AC102" i="7"/>
  <c r="AD31" i="7"/>
  <c r="AC62" i="7"/>
  <c r="AC61" i="7" s="1"/>
  <c r="AD37" i="7"/>
  <c r="AC36" i="13"/>
  <c r="AC230" i="7"/>
  <c r="AD53" i="7"/>
  <c r="AD228" i="7"/>
  <c r="AC96" i="7"/>
  <c r="AD29" i="7"/>
  <c r="AC165" i="13"/>
  <c r="AC163" i="13" s="1"/>
  <c r="AC161" i="13" s="1"/>
  <c r="AC183" i="13"/>
  <c r="AC151" i="7"/>
  <c r="AC155" i="7" s="1"/>
  <c r="AC251" i="13"/>
  <c r="AC217" i="7"/>
  <c r="AC149" i="13"/>
  <c r="AC142" i="7" s="1"/>
  <c r="AC141" i="7"/>
  <c r="AC203" i="13"/>
  <c r="AC212" i="13" s="1"/>
  <c r="AC227" i="13"/>
  <c r="AC209" i="7"/>
  <c r="AC211" i="7" s="1"/>
  <c r="AF211" i="7" s="1"/>
  <c r="AC86" i="7"/>
  <c r="AE92" i="7" s="1"/>
  <c r="AC79" i="13"/>
  <c r="AC81" i="7" s="1"/>
  <c r="AC89" i="7"/>
  <c r="AC24" i="7"/>
  <c r="AC103" i="7"/>
  <c r="HU163" i="14"/>
  <c r="HS157" i="14"/>
  <c r="HL79" i="14"/>
  <c r="R56" i="11"/>
  <c r="HU79" i="14"/>
  <c r="HU17" i="14"/>
  <c r="R51" i="11"/>
  <c r="AZ51" i="11" s="1"/>
  <c r="HG128" i="14"/>
  <c r="KT42" i="14"/>
  <c r="HG76" i="14"/>
  <c r="KT51" i="14"/>
  <c r="HG62" i="14"/>
  <c r="HG71" i="14"/>
  <c r="KT6" i="14"/>
  <c r="HG37" i="14"/>
  <c r="IG24" i="14"/>
  <c r="HG18" i="14"/>
  <c r="KU163" i="14"/>
  <c r="KT157" i="14"/>
  <c r="KT163" i="14" s="1"/>
  <c r="KT34" i="14"/>
  <c r="HG104" i="14"/>
  <c r="KT28" i="14"/>
  <c r="KV51" i="14"/>
  <c r="KV70" i="14"/>
  <c r="KV129" i="14"/>
  <c r="KV81" i="14"/>
  <c r="HL40" i="14"/>
  <c r="HG40" i="14" s="1"/>
  <c r="AU94" i="9"/>
  <c r="ID128" i="14"/>
  <c r="KV105" i="14"/>
  <c r="KV28" i="14"/>
  <c r="KV42" i="14"/>
  <c r="KV151" i="14"/>
  <c r="KV6" i="14"/>
  <c r="AU185" i="9"/>
  <c r="AU235" i="9"/>
  <c r="AU72" i="9"/>
  <c r="AU224" i="9"/>
  <c r="AU237" i="9"/>
  <c r="AU242" i="9" s="1"/>
  <c r="AU231" i="9"/>
  <c r="KV79" i="14"/>
  <c r="KV150" i="14"/>
  <c r="KU40" i="14"/>
  <c r="KT40" i="14" s="1"/>
  <c r="KU38" i="14"/>
  <c r="KV19" i="14"/>
  <c r="KV24" i="14" s="1"/>
  <c r="AU189" i="9"/>
  <c r="HT105" i="14"/>
  <c r="Q43" i="11"/>
  <c r="HT104" i="14"/>
  <c r="AC129" i="13"/>
  <c r="AC127" i="13" s="1"/>
  <c r="AC106" i="13"/>
  <c r="AC107" i="13"/>
  <c r="AC127" i="7" s="1"/>
  <c r="AC148" i="13"/>
  <c r="AC56" i="13"/>
  <c r="AU152" i="9"/>
  <c r="KV165" i="14"/>
  <c r="KV104" i="14"/>
  <c r="HT128" i="14"/>
  <c r="HV79" i="14"/>
  <c r="KV128" i="14"/>
  <c r="KV17" i="14"/>
  <c r="KV143" i="14"/>
  <c r="KV62" i="14"/>
  <c r="KV76" i="14"/>
  <c r="KV157" i="14"/>
  <c r="KV71" i="14"/>
  <c r="KW40" i="14"/>
  <c r="KV37" i="14"/>
  <c r="HT76" i="14"/>
  <c r="HT71" i="14"/>
  <c r="HT150" i="14"/>
  <c r="HT165" i="14"/>
  <c r="HT62" i="14"/>
  <c r="AG211" i="7" l="1"/>
  <c r="AH211" i="7" s="1"/>
  <c r="AI211" i="7" s="1"/>
  <c r="AJ211" i="7" s="1"/>
  <c r="AZ56" i="11"/>
  <c r="AC128" i="7"/>
  <c r="HV168" i="14"/>
  <c r="AH47" i="9"/>
  <c r="AH45" i="9" s="1"/>
  <c r="AD55" i="7"/>
  <c r="AC220" i="7"/>
  <c r="AC6" i="7"/>
  <c r="AC187" i="7"/>
  <c r="AC184" i="7"/>
  <c r="AD189" i="7"/>
  <c r="AC160" i="13"/>
  <c r="AC146" i="7"/>
  <c r="AC143" i="7"/>
  <c r="AC186" i="7"/>
  <c r="AC126" i="13"/>
  <c r="AC137" i="7"/>
  <c r="KV38" i="14"/>
  <c r="KV40" i="14"/>
  <c r="KT38" i="14"/>
  <c r="KT19" i="14"/>
  <c r="KT24" i="14" s="1"/>
  <c r="IF24" i="14"/>
  <c r="HG17" i="14"/>
  <c r="HG77" i="14" s="1"/>
  <c r="KV163" i="14"/>
  <c r="AU244" i="9"/>
  <c r="AC188" i="7" l="1"/>
  <c r="AC147" i="7"/>
  <c r="AC148" i="7" s="1"/>
  <c r="HF168" i="14"/>
  <c r="HN168" i="14"/>
  <c r="HD168" i="14"/>
  <c r="HV170" i="14"/>
  <c r="AC138" i="7"/>
  <c r="AC185" i="7"/>
  <c r="HG79" i="14"/>
  <c r="KT81" i="14"/>
  <c r="HN170" i="14" l="1"/>
  <c r="HD170" i="14"/>
  <c r="HD166" i="14" s="1"/>
  <c r="HF170" i="14"/>
  <c r="AC160" i="7"/>
  <c r="ID70" i="14"/>
  <c r="ID164" i="14" l="1"/>
  <c r="HN126" i="14" l="1"/>
  <c r="HR126" i="14" s="1"/>
  <c r="HN125" i="14"/>
  <c r="HR125" i="14" s="1"/>
  <c r="HN124" i="14"/>
  <c r="HR124" i="14" s="1"/>
  <c r="HN122" i="14"/>
  <c r="HR122" i="14" s="1"/>
  <c r="HN121" i="14"/>
  <c r="HR121" i="14" s="1"/>
  <c r="HN120" i="14"/>
  <c r="HR120" i="14" s="1"/>
  <c r="HP88" i="14"/>
  <c r="HP87" i="14"/>
  <c r="HP86" i="14"/>
  <c r="HP100" i="14" l="1"/>
  <c r="HP99" i="14"/>
  <c r="HP97" i="14"/>
  <c r="HP90" i="14"/>
  <c r="HP95" i="14"/>
  <c r="KX21" i="14" l="1"/>
  <c r="KX22" i="14"/>
  <c r="KX23" i="14"/>
  <c r="HP84" i="14"/>
  <c r="HP83" i="14"/>
  <c r="HN111" i="14" l="1"/>
  <c r="HR111" i="14" s="1"/>
  <c r="HN108" i="14"/>
  <c r="HR108" i="14" s="1"/>
  <c r="HN164" i="14" l="1"/>
  <c r="HK164" i="14"/>
  <c r="HN162" i="14"/>
  <c r="HR162" i="14" s="1"/>
  <c r="HN161" i="14"/>
  <c r="HR161" i="14" s="1"/>
  <c r="HN160" i="14"/>
  <c r="HR160" i="14" s="1"/>
  <c r="HN159" i="14"/>
  <c r="HN158" i="14"/>
  <c r="HJ150" i="14"/>
  <c r="HN149" i="14"/>
  <c r="HK149" i="14"/>
  <c r="HN142" i="14"/>
  <c r="HK142" i="14"/>
  <c r="HN139" i="14"/>
  <c r="HN137" i="14"/>
  <c r="HN134" i="14"/>
  <c r="HN130" i="14"/>
  <c r="HJ128" i="14"/>
  <c r="HN127" i="14"/>
  <c r="HR127" i="14" s="1"/>
  <c r="HK127" i="14"/>
  <c r="HN123" i="14"/>
  <c r="HR123" i="14" s="1"/>
  <c r="HN119" i="14"/>
  <c r="HR119" i="14" s="1"/>
  <c r="HN112" i="14"/>
  <c r="HR112" i="14" s="1"/>
  <c r="HN106" i="14"/>
  <c r="HJ104" i="14"/>
  <c r="HN102" i="14"/>
  <c r="HK102" i="14"/>
  <c r="HN98" i="14"/>
  <c r="HR98" i="14" s="1"/>
  <c r="HN89" i="14"/>
  <c r="HR89" i="14" s="1"/>
  <c r="HN85" i="14"/>
  <c r="HR85" i="14" s="1"/>
  <c r="HN82" i="14"/>
  <c r="HR82" i="14" s="1"/>
  <c r="HJ76" i="14"/>
  <c r="HN74" i="14"/>
  <c r="HR74" i="14" s="1"/>
  <c r="HN73" i="14"/>
  <c r="HK73" i="14"/>
  <c r="HN69" i="14"/>
  <c r="HK69" i="14"/>
  <c r="HJ69" i="14"/>
  <c r="HN66" i="14"/>
  <c r="HK66" i="14"/>
  <c r="HN63" i="14"/>
  <c r="HK63" i="14"/>
  <c r="HJ62" i="14"/>
  <c r="HN59" i="14"/>
  <c r="HK59" i="14"/>
  <c r="HN57" i="14"/>
  <c r="HK57" i="14"/>
  <c r="HN50" i="14"/>
  <c r="HK50" i="14"/>
  <c r="HN41" i="14"/>
  <c r="HK41" i="14"/>
  <c r="HN39" i="14"/>
  <c r="HR39" i="14" s="1"/>
  <c r="HN27" i="14"/>
  <c r="HK27" i="14"/>
  <c r="HN10" i="14"/>
  <c r="HN8" i="14"/>
  <c r="HK8" i="14"/>
  <c r="HN5" i="14"/>
  <c r="HK5" i="14"/>
  <c r="HJ5" i="14"/>
  <c r="HP151" i="14"/>
  <c r="HP143" i="14"/>
  <c r="HP129" i="14"/>
  <c r="HP105" i="14"/>
  <c r="HP70" i="14"/>
  <c r="HP61" i="14"/>
  <c r="HP51" i="14"/>
  <c r="HP42" i="14"/>
  <c r="HP28" i="14"/>
  <c r="HP6" i="14"/>
  <c r="HP165" i="14"/>
  <c r="HP157" i="14"/>
  <c r="HP150" i="14"/>
  <c r="HP128" i="14"/>
  <c r="HP104" i="14"/>
  <c r="HP77" i="14"/>
  <c r="IH81" i="14" s="1"/>
  <c r="IM81" i="14" s="1"/>
  <c r="HP76" i="14"/>
  <c r="HP71" i="14"/>
  <c r="HP68" i="14"/>
  <c r="HP65" i="14"/>
  <c r="HP62" i="14"/>
  <c r="HN165" i="14" l="1"/>
  <c r="HN166" i="14"/>
  <c r="HR5" i="14"/>
  <c r="HR10" i="14"/>
  <c r="HR130" i="14"/>
  <c r="HR27" i="14"/>
  <c r="HR57" i="14"/>
  <c r="HJ71" i="14"/>
  <c r="HR106" i="14"/>
  <c r="HR134" i="14"/>
  <c r="HR142" i="14"/>
  <c r="HR50" i="14"/>
  <c r="HK71" i="14"/>
  <c r="HR73" i="14"/>
  <c r="HR137" i="14"/>
  <c r="HR158" i="14"/>
  <c r="HR164" i="14"/>
  <c r="HR8" i="14"/>
  <c r="HN128" i="14"/>
  <c r="HR41" i="14"/>
  <c r="HR59" i="14"/>
  <c r="HR69" i="14"/>
  <c r="HN104" i="14"/>
  <c r="HR102" i="14"/>
  <c r="HR139" i="14"/>
  <c r="HR149" i="14"/>
  <c r="HR159" i="14"/>
  <c r="HP163" i="14"/>
  <c r="HP79" i="14"/>
  <c r="HN65" i="14"/>
  <c r="HN105" i="14"/>
  <c r="HR105" i="14" s="1"/>
  <c r="HN68" i="14"/>
  <c r="HN76" i="14"/>
  <c r="HN62" i="14"/>
  <c r="HN150" i="14"/>
  <c r="HN71" i="14"/>
  <c r="HR104" i="14" l="1"/>
  <c r="HR128" i="14"/>
  <c r="HR165" i="14"/>
  <c r="HR150" i="14"/>
  <c r="HR71" i="14"/>
  <c r="HR76" i="14"/>
  <c r="HR62" i="14"/>
  <c r="AK7" i="8" l="1"/>
  <c r="HW150" i="14" l="1"/>
  <c r="HW19" i="14"/>
  <c r="KY141" i="14" l="1"/>
  <c r="KX141" i="14" s="1"/>
  <c r="KY140" i="14"/>
  <c r="KX140" i="14" s="1"/>
  <c r="HF111" i="14"/>
  <c r="HF108" i="14"/>
  <c r="KY137" i="14" l="1"/>
  <c r="KX137" i="14" s="1"/>
  <c r="HF39" i="14"/>
  <c r="HF35" i="14"/>
  <c r="KY164" i="14" l="1"/>
  <c r="KX164" i="14" s="1"/>
  <c r="KY159" i="14"/>
  <c r="KX159" i="14" s="1"/>
  <c r="KY158" i="14"/>
  <c r="KX158" i="14" s="1"/>
  <c r="KY149" i="14"/>
  <c r="KX149" i="14" s="1"/>
  <c r="KY142" i="14"/>
  <c r="KX142" i="14" s="1"/>
  <c r="KY139" i="14"/>
  <c r="KX139" i="14" s="1"/>
  <c r="KY134" i="14"/>
  <c r="KX134" i="14" s="1"/>
  <c r="KY130" i="14"/>
  <c r="KX130" i="14" s="1"/>
  <c r="KY127" i="14"/>
  <c r="KX127" i="14" s="1"/>
  <c r="KY126" i="14"/>
  <c r="KX126" i="14" s="1"/>
  <c r="KY125" i="14"/>
  <c r="KX125" i="14" s="1"/>
  <c r="KY124" i="14"/>
  <c r="KX124" i="14" s="1"/>
  <c r="KY123" i="14"/>
  <c r="KX123" i="14" s="1"/>
  <c r="KY122" i="14"/>
  <c r="KX122" i="14" s="1"/>
  <c r="KY121" i="14"/>
  <c r="KX121" i="14" s="1"/>
  <c r="KY120" i="14"/>
  <c r="KX120" i="14" s="1"/>
  <c r="KY119" i="14"/>
  <c r="KX119" i="14" s="1"/>
  <c r="KY117" i="14"/>
  <c r="KX117" i="14" s="1"/>
  <c r="KY114" i="14"/>
  <c r="KX114" i="14" s="1"/>
  <c r="KY113" i="14"/>
  <c r="KX113" i="14" s="1"/>
  <c r="KY112" i="14"/>
  <c r="KX112" i="14" s="1"/>
  <c r="KY111" i="14"/>
  <c r="KX111" i="14" s="1"/>
  <c r="KY108" i="14"/>
  <c r="KX108" i="14" s="1"/>
  <c r="KY106" i="14"/>
  <c r="KX106" i="14" s="1"/>
  <c r="KY102" i="14"/>
  <c r="KX102" i="14" s="1"/>
  <c r="KY100" i="14"/>
  <c r="KX100" i="14" s="1"/>
  <c r="KY98" i="14"/>
  <c r="KX98" i="14" s="1"/>
  <c r="KY97" i="14"/>
  <c r="KX97" i="14" s="1"/>
  <c r="KY95" i="14"/>
  <c r="KX95" i="14" s="1"/>
  <c r="KY90" i="14"/>
  <c r="KX90" i="14" s="1"/>
  <c r="KY89" i="14"/>
  <c r="KX89" i="14" s="1"/>
  <c r="KY88" i="14"/>
  <c r="KX88" i="14" s="1"/>
  <c r="KY87" i="14"/>
  <c r="KX87" i="14" s="1"/>
  <c r="KY86" i="14"/>
  <c r="KX86" i="14" s="1"/>
  <c r="KY85" i="14"/>
  <c r="KX85" i="14" s="1"/>
  <c r="KY84" i="14"/>
  <c r="KX84" i="14" s="1"/>
  <c r="KY83" i="14"/>
  <c r="KX83" i="14" s="1"/>
  <c r="KY82" i="14"/>
  <c r="KX82" i="14" s="1"/>
  <c r="KY74" i="14"/>
  <c r="KX74" i="14" s="1"/>
  <c r="KY73" i="14"/>
  <c r="KX73" i="14" s="1"/>
  <c r="KY69" i="14"/>
  <c r="KX69" i="14" s="1"/>
  <c r="KY59" i="14"/>
  <c r="KX59" i="14" s="1"/>
  <c r="KY57" i="14"/>
  <c r="KX57" i="14" s="1"/>
  <c r="KY50" i="14"/>
  <c r="KX50" i="14" s="1"/>
  <c r="KY41" i="14"/>
  <c r="KX41" i="14" s="1"/>
  <c r="KY27" i="14"/>
  <c r="KX27" i="14" s="1"/>
  <c r="KY10" i="14"/>
  <c r="KY8" i="14"/>
  <c r="KX8" i="14" s="1"/>
  <c r="KY5" i="14"/>
  <c r="KX5" i="14" s="1"/>
  <c r="KY44" i="14"/>
  <c r="KX44" i="14" s="1"/>
  <c r="AJ85" i="7" l="1"/>
  <c r="KX10" i="14"/>
  <c r="KX76" i="14" s="1"/>
  <c r="KX71" i="14"/>
  <c r="KX150" i="14"/>
  <c r="KX165" i="14"/>
  <c r="KX128" i="14"/>
  <c r="KX104" i="14"/>
  <c r="KX62" i="14" l="1"/>
  <c r="KZ18" i="14"/>
  <c r="BQ23" i="11"/>
  <c r="BQ24" i="11"/>
  <c r="BQ26" i="11"/>
  <c r="BQ27" i="11"/>
  <c r="BQ28" i="11"/>
  <c r="BQ30" i="11"/>
  <c r="BQ31" i="11"/>
  <c r="BQ32" i="11"/>
  <c r="BQ33" i="11"/>
  <c r="BQ43" i="11"/>
  <c r="BQ42" i="11"/>
  <c r="BQ41" i="11"/>
  <c r="BQ39" i="11"/>
  <c r="BQ38" i="11"/>
  <c r="BQ37" i="11"/>
  <c r="BQ35" i="11"/>
  <c r="BQ34" i="11"/>
  <c r="BQ29" i="11"/>
  <c r="BQ25" i="11"/>
  <c r="BQ22" i="11"/>
  <c r="BQ21" i="11"/>
  <c r="BQ20" i="11"/>
  <c r="AJ51" i="9" l="1"/>
  <c r="AI48" i="11"/>
  <c r="BQ48" i="11" s="1"/>
  <c r="AI45" i="11"/>
  <c r="BQ45" i="11" s="1"/>
  <c r="AI49" i="11"/>
  <c r="BQ49" i="11" s="1"/>
  <c r="AI46" i="11"/>
  <c r="BQ46" i="11" s="1"/>
  <c r="AI50" i="11"/>
  <c r="BQ50" i="11" s="1"/>
  <c r="BQ40" i="11"/>
  <c r="AI47" i="11"/>
  <c r="BQ47" i="11" s="1"/>
  <c r="HI151" i="14"/>
  <c r="HI143" i="14"/>
  <c r="HI129" i="14"/>
  <c r="HI105" i="14"/>
  <c r="HI70" i="14"/>
  <c r="HI61" i="14"/>
  <c r="HI51" i="14"/>
  <c r="HI42" i="14"/>
  <c r="HI28" i="14"/>
  <c r="HI6" i="14"/>
  <c r="HF164" i="14"/>
  <c r="HF162" i="14"/>
  <c r="HF161" i="14"/>
  <c r="HF160" i="14"/>
  <c r="HF159" i="14"/>
  <c r="HF158" i="14"/>
  <c r="HF149" i="14"/>
  <c r="HF142" i="14"/>
  <c r="HF139" i="14"/>
  <c r="HF138" i="14"/>
  <c r="HF137" i="14"/>
  <c r="HF134" i="14"/>
  <c r="HF130" i="14"/>
  <c r="HF127" i="14"/>
  <c r="HF126" i="14"/>
  <c r="HF125" i="14"/>
  <c r="HF124" i="14"/>
  <c r="HF123" i="14"/>
  <c r="HF122" i="14"/>
  <c r="HF121" i="14"/>
  <c r="HF120" i="14"/>
  <c r="HF119" i="14"/>
  <c r="HF112" i="14"/>
  <c r="HF106" i="14"/>
  <c r="HF102" i="14"/>
  <c r="HF101" i="14"/>
  <c r="HF100" i="14"/>
  <c r="HF99" i="14"/>
  <c r="HF98" i="14"/>
  <c r="HF97" i="14"/>
  <c r="HF95" i="14"/>
  <c r="HF90" i="14"/>
  <c r="HF89" i="14"/>
  <c r="HF88" i="14"/>
  <c r="HF87" i="14"/>
  <c r="HF86" i="14"/>
  <c r="HF85" i="14"/>
  <c r="HF84" i="14"/>
  <c r="HF83" i="14"/>
  <c r="HF82" i="14"/>
  <c r="HF74" i="14"/>
  <c r="HF73" i="14"/>
  <c r="HF69" i="14"/>
  <c r="HF66" i="14"/>
  <c r="HF63" i="14"/>
  <c r="HF59" i="14"/>
  <c r="HF57" i="14"/>
  <c r="HF50" i="14"/>
  <c r="HF41" i="14"/>
  <c r="HF27" i="14"/>
  <c r="HF10" i="14"/>
  <c r="HF8" i="14"/>
  <c r="HF5" i="14"/>
  <c r="HI165" i="14"/>
  <c r="HJ164" i="14" s="1"/>
  <c r="HI157" i="14"/>
  <c r="HI150" i="14"/>
  <c r="HI128" i="14"/>
  <c r="HI104" i="14"/>
  <c r="HI77" i="14"/>
  <c r="HI76" i="14"/>
  <c r="HI71" i="14"/>
  <c r="HI68" i="14"/>
  <c r="HJ66" i="14" s="1"/>
  <c r="HO68" i="14" s="1"/>
  <c r="HI65" i="14"/>
  <c r="HJ63" i="14" s="1"/>
  <c r="HO65" i="14" s="1"/>
  <c r="HI62" i="14"/>
  <c r="HI18" i="14"/>
  <c r="HF166" i="14" l="1"/>
  <c r="HT77" i="14"/>
  <c r="HJ79" i="14"/>
  <c r="KY77" i="14"/>
  <c r="HT157" i="14"/>
  <c r="HJ163" i="14"/>
  <c r="HN157" i="14"/>
  <c r="HF128" i="14"/>
  <c r="HT129" i="14"/>
  <c r="HN129" i="14"/>
  <c r="HT18" i="14"/>
  <c r="HN18" i="14"/>
  <c r="KY18" i="14"/>
  <c r="HR66" i="14"/>
  <c r="HR68" i="14" s="1"/>
  <c r="HT68" i="14"/>
  <c r="HR63" i="14"/>
  <c r="HR65" i="14" s="1"/>
  <c r="HT65" i="14"/>
  <c r="HI79" i="14"/>
  <c r="HF104" i="14"/>
  <c r="HF71" i="14"/>
  <c r="HF68" i="14"/>
  <c r="HF165" i="14"/>
  <c r="HF150" i="14"/>
  <c r="HI163" i="14"/>
  <c r="HF65" i="14"/>
  <c r="HF76" i="14"/>
  <c r="HF62" i="14"/>
  <c r="HR166" i="14" l="1"/>
  <c r="IH24" i="14"/>
  <c r="KX18" i="14"/>
  <c r="KX17" i="14" s="1"/>
  <c r="HR157" i="14"/>
  <c r="HR163" i="14" s="1"/>
  <c r="HT163" i="14"/>
  <c r="HR18" i="14"/>
  <c r="IM19" i="14" s="1"/>
  <c r="HT17" i="14"/>
  <c r="HN163" i="14"/>
  <c r="HT79" i="14"/>
  <c r="HR129" i="14"/>
  <c r="HN17" i="14"/>
  <c r="HN77" i="14" s="1"/>
  <c r="IM24" i="14" l="1"/>
  <c r="HN79" i="14"/>
  <c r="KX77" i="14"/>
  <c r="KX79" i="14" s="1"/>
  <c r="HR17" i="14"/>
  <c r="HR77" i="14" s="1"/>
  <c r="KZ151" i="14"/>
  <c r="KZ143" i="14"/>
  <c r="KY143" i="14" s="1"/>
  <c r="KZ129" i="14"/>
  <c r="KZ105" i="14"/>
  <c r="KZ61" i="14"/>
  <c r="KY61" i="14" s="1"/>
  <c r="KZ51" i="14"/>
  <c r="KZ42" i="14"/>
  <c r="KZ34" i="14"/>
  <c r="KZ28" i="14"/>
  <c r="KZ6" i="14"/>
  <c r="KZ165" i="14"/>
  <c r="KZ157" i="14"/>
  <c r="KZ150" i="14"/>
  <c r="KZ128" i="14"/>
  <c r="KZ104" i="14"/>
  <c r="KY80" i="14"/>
  <c r="KX80" i="14" s="1"/>
  <c r="KZ79" i="14"/>
  <c r="KZ76" i="14"/>
  <c r="KY76" i="14"/>
  <c r="KZ71" i="14"/>
  <c r="KZ62" i="14"/>
  <c r="KY150" i="14"/>
  <c r="KZ37" i="14"/>
  <c r="KY71" i="14"/>
  <c r="HR79" i="14" l="1"/>
  <c r="KY157" i="14"/>
  <c r="KX157" i="14" s="1"/>
  <c r="KX163" i="14" s="1"/>
  <c r="KZ163" i="14"/>
  <c r="KY165" i="14"/>
  <c r="KY128" i="14"/>
  <c r="KY104" i="14"/>
  <c r="KY17" i="14"/>
  <c r="KY62" i="14"/>
  <c r="KY79" i="14"/>
  <c r="KZ40" i="14"/>
  <c r="KY163" i="14" l="1"/>
  <c r="AN317" i="9" l="1"/>
  <c r="AN366" i="9" s="1"/>
  <c r="AN406" i="9" s="1"/>
  <c r="AN24" i="9"/>
  <c r="AH217" i="7"/>
  <c r="AH198" i="7"/>
  <c r="AH197" i="7"/>
  <c r="AH192" i="7"/>
  <c r="AH122" i="7"/>
  <c r="AH93" i="7"/>
  <c r="AH12" i="7"/>
  <c r="GL35" i="14" l="1"/>
  <c r="AG142" i="9" l="1"/>
  <c r="AH142" i="9" s="1"/>
  <c r="AH138" i="9" s="1"/>
  <c r="AG141" i="9"/>
  <c r="AH231" i="9" l="1"/>
  <c r="AI141" i="9"/>
  <c r="AI142" i="9"/>
  <c r="AJ142" i="9" s="1"/>
  <c r="AJ141" i="9" l="1"/>
  <c r="AT139" i="9"/>
  <c r="HD157" i="14" l="1"/>
  <c r="HD70" i="14"/>
  <c r="HD151" i="14"/>
  <c r="HF151" i="14" s="1"/>
  <c r="HD143" i="14"/>
  <c r="HD129" i="14"/>
  <c r="HF129" i="14" s="1"/>
  <c r="HD105" i="14"/>
  <c r="HF105" i="14" s="1"/>
  <c r="HD61" i="14"/>
  <c r="HD51" i="14"/>
  <c r="HD42" i="14"/>
  <c r="HD28" i="14"/>
  <c r="HD6" i="14"/>
  <c r="HD165" i="14"/>
  <c r="HD150" i="14"/>
  <c r="HD128" i="14"/>
  <c r="HD104" i="14"/>
  <c r="HD77" i="14"/>
  <c r="HD76" i="14"/>
  <c r="HD71" i="14"/>
  <c r="HD68" i="14"/>
  <c r="HD65" i="14"/>
  <c r="HD62" i="14"/>
  <c r="HD18" i="14"/>
  <c r="ID18" i="14" s="1"/>
  <c r="ID79" i="14" l="1"/>
  <c r="ID10" i="14"/>
  <c r="HK77" i="14"/>
  <c r="HF143" i="14"/>
  <c r="HF18" i="14"/>
  <c r="HK18" i="14"/>
  <c r="HD163" i="14"/>
  <c r="HK157" i="14"/>
  <c r="HF157" i="14"/>
  <c r="HF163" i="14" s="1"/>
  <c r="HD79" i="14"/>
  <c r="HB50" i="14"/>
  <c r="HB41" i="14"/>
  <c r="HB27" i="14"/>
  <c r="ID76" i="14" l="1"/>
  <c r="ID11" i="14"/>
  <c r="HK79" i="14"/>
  <c r="HK74" i="14"/>
  <c r="HJ74" i="14" s="1"/>
  <c r="HF17" i="14"/>
  <c r="HF77" i="14" s="1"/>
  <c r="GU155" i="14"/>
  <c r="GT155" i="14" s="1"/>
  <c r="GU154" i="14"/>
  <c r="GU153" i="14"/>
  <c r="GU152" i="14"/>
  <c r="GU148" i="14"/>
  <c r="GU147" i="14"/>
  <c r="GU146" i="14"/>
  <c r="GU145" i="14"/>
  <c r="GT145" i="14" s="1"/>
  <c r="LB126" i="14"/>
  <c r="LB125" i="14"/>
  <c r="LB124" i="14"/>
  <c r="GU120" i="14"/>
  <c r="GT120" i="14" s="1"/>
  <c r="GU122" i="14"/>
  <c r="GT122" i="14" s="1"/>
  <c r="GU118" i="14"/>
  <c r="GT118" i="14" s="1"/>
  <c r="GU117" i="14"/>
  <c r="GT117" i="14" s="1"/>
  <c r="GU114" i="14"/>
  <c r="GT114" i="14" s="1"/>
  <c r="LB100" i="14"/>
  <c r="LB97" i="14"/>
  <c r="LB95" i="14"/>
  <c r="LB90" i="14"/>
  <c r="LB88" i="14"/>
  <c r="LB87" i="14"/>
  <c r="LB86" i="14"/>
  <c r="GV113" i="14"/>
  <c r="GR39" i="14"/>
  <c r="LB83" i="14"/>
  <c r="LB84" i="14"/>
  <c r="HF79" i="14" l="1"/>
  <c r="AB219" i="13" l="1"/>
  <c r="P42" i="11" l="1"/>
  <c r="P41" i="11"/>
  <c r="P40" i="11"/>
  <c r="P39" i="11"/>
  <c r="P38" i="11"/>
  <c r="P37" i="11"/>
  <c r="P35" i="11"/>
  <c r="P34" i="11"/>
  <c r="P29" i="11"/>
  <c r="P25" i="11"/>
  <c r="P22" i="11"/>
  <c r="P21" i="11"/>
  <c r="P20" i="11"/>
  <c r="P47" i="11" l="1"/>
  <c r="P48" i="11"/>
  <c r="P49" i="11"/>
  <c r="P45" i="11"/>
  <c r="P46" i="11"/>
  <c r="P50" i="11"/>
  <c r="AB219" i="7"/>
  <c r="AB218" i="7"/>
  <c r="AB215" i="7"/>
  <c r="AB212" i="7"/>
  <c r="AB210" i="7"/>
  <c r="AB206" i="7"/>
  <c r="AB204" i="7"/>
  <c r="AB202" i="7"/>
  <c r="AB201" i="7"/>
  <c r="AB200" i="7"/>
  <c r="AB198" i="7"/>
  <c r="AB192" i="7"/>
  <c r="AB178" i="7"/>
  <c r="AB177" i="7"/>
  <c r="AB174" i="7"/>
  <c r="AB173" i="7"/>
  <c r="AB170" i="7"/>
  <c r="AB169" i="7"/>
  <c r="AB166" i="7"/>
  <c r="AB165" i="7"/>
  <c r="AB157" i="7"/>
  <c r="AB156" i="7"/>
  <c r="AB154" i="7"/>
  <c r="AB153" i="7"/>
  <c r="AB152" i="7"/>
  <c r="AB150" i="7"/>
  <c r="AB134" i="7"/>
  <c r="AB133" i="7"/>
  <c r="AB122" i="7"/>
  <c r="AB93" i="7"/>
  <c r="AB90" i="7"/>
  <c r="AB88" i="7"/>
  <c r="GV169" i="14" s="1"/>
  <c r="AB87" i="7"/>
  <c r="AB85" i="7"/>
  <c r="AB84" i="7"/>
  <c r="AB76" i="7"/>
  <c r="AB75" i="7"/>
  <c r="AB74" i="7"/>
  <c r="AB73" i="7"/>
  <c r="AB71" i="7"/>
  <c r="AB68" i="7"/>
  <c r="AB66" i="7"/>
  <c r="AB65" i="7"/>
  <c r="AB64" i="7"/>
  <c r="AB54" i="7"/>
  <c r="AB52" i="7"/>
  <c r="AB35" i="7"/>
  <c r="AB33" i="7"/>
  <c r="AB27" i="7"/>
  <c r="AB26" i="7"/>
  <c r="AB19" i="7"/>
  <c r="AB21" i="7" s="1"/>
  <c r="AB14" i="7"/>
  <c r="AB12" i="7"/>
  <c r="AB240" i="13"/>
  <c r="AB216" i="7" s="1"/>
  <c r="AB99" i="13"/>
  <c r="AB126" i="7" s="1"/>
  <c r="AB22" i="13"/>
  <c r="AB24" i="13" s="1"/>
  <c r="AB255" i="13"/>
  <c r="AB245" i="13"/>
  <c r="AB217" i="7" s="1"/>
  <c r="AB223" i="13"/>
  <c r="AB209" i="7" s="1"/>
  <c r="AB210" i="13"/>
  <c r="AB202" i="13"/>
  <c r="AB201" i="13"/>
  <c r="AB199" i="13"/>
  <c r="AB197" i="13"/>
  <c r="AB189" i="13"/>
  <c r="AB165" i="13" s="1"/>
  <c r="AB163" i="13" s="1"/>
  <c r="AB179" i="13"/>
  <c r="AB173" i="13"/>
  <c r="AB151" i="7" s="1"/>
  <c r="AB157" i="13"/>
  <c r="AB145" i="7" s="1"/>
  <c r="AB145" i="13"/>
  <c r="AB141" i="7" s="1"/>
  <c r="AB141" i="13"/>
  <c r="AB140" i="7" s="1"/>
  <c r="AB131" i="13"/>
  <c r="AB123" i="13"/>
  <c r="AB136" i="7" s="1"/>
  <c r="AB119" i="13"/>
  <c r="AB114" i="13"/>
  <c r="AB113" i="13" s="1"/>
  <c r="AB130" i="7" s="1"/>
  <c r="AB103" i="13"/>
  <c r="AB125" i="7" s="1"/>
  <c r="AB97" i="13"/>
  <c r="AB124" i="7" s="1"/>
  <c r="AB88" i="13"/>
  <c r="AB79" i="13" s="1"/>
  <c r="AB81" i="7" s="1"/>
  <c r="AB78" i="13"/>
  <c r="AB80" i="7" s="1"/>
  <c r="AB54" i="13"/>
  <c r="AB60" i="7" s="1"/>
  <c r="AB50" i="13"/>
  <c r="AB57" i="7" s="1"/>
  <c r="AB40" i="13"/>
  <c r="AB44" i="13" s="1"/>
  <c r="AB33" i="13"/>
  <c r="AB29" i="13" s="1"/>
  <c r="AB30" i="7" s="1"/>
  <c r="AB13" i="13"/>
  <c r="AB16" i="13" s="1"/>
  <c r="AB23" i="7" s="1"/>
  <c r="GU111" i="14"/>
  <c r="GT111" i="14" s="1"/>
  <c r="GU108" i="14"/>
  <c r="GT108" i="14" s="1"/>
  <c r="LD151" i="14"/>
  <c r="LD143" i="14"/>
  <c r="LD129" i="14"/>
  <c r="LD105" i="14"/>
  <c r="LD81" i="14"/>
  <c r="LD70" i="14"/>
  <c r="LD61" i="14"/>
  <c r="LD51" i="14"/>
  <c r="LD42" i="14"/>
  <c r="LD34" i="14"/>
  <c r="LD28" i="14"/>
  <c r="LD19" i="14"/>
  <c r="LD24" i="14" s="1"/>
  <c r="LD6" i="14"/>
  <c r="LD165" i="14"/>
  <c r="LD157" i="14"/>
  <c r="LD163" i="14" s="1"/>
  <c r="LD150" i="14"/>
  <c r="LD128" i="14"/>
  <c r="LD113" i="14"/>
  <c r="LD104" i="14"/>
  <c r="LD79" i="14"/>
  <c r="LD76" i="14"/>
  <c r="LD71" i="14"/>
  <c r="LD62" i="14"/>
  <c r="LD37" i="14"/>
  <c r="LD40" i="14" s="1"/>
  <c r="LC151" i="14"/>
  <c r="LC143" i="14"/>
  <c r="LC129" i="14"/>
  <c r="LC105" i="14"/>
  <c r="LC61" i="14"/>
  <c r="LC51" i="14"/>
  <c r="LC42" i="14"/>
  <c r="LC34" i="14"/>
  <c r="LC28" i="14"/>
  <c r="LC6" i="14"/>
  <c r="LA151" i="14"/>
  <c r="LA143" i="14"/>
  <c r="LA129" i="14"/>
  <c r="LA105" i="14"/>
  <c r="LA70" i="14"/>
  <c r="LA61" i="14"/>
  <c r="LA51" i="14"/>
  <c r="LA42" i="14"/>
  <c r="LA28" i="14"/>
  <c r="LA6" i="14"/>
  <c r="LC165" i="14"/>
  <c r="LA165" i="14"/>
  <c r="LB164" i="14"/>
  <c r="LB159" i="14"/>
  <c r="LB158" i="14"/>
  <c r="LC157" i="14"/>
  <c r="LA157" i="14"/>
  <c r="LA163" i="14" s="1"/>
  <c r="LC150" i="14"/>
  <c r="LA150" i="14"/>
  <c r="LB149" i="14"/>
  <c r="LB142" i="14"/>
  <c r="LB139" i="14"/>
  <c r="LB134" i="14"/>
  <c r="LB130" i="14"/>
  <c r="LC128" i="14"/>
  <c r="LA128" i="14"/>
  <c r="LB127" i="14"/>
  <c r="LD126" i="14"/>
  <c r="LD125" i="14"/>
  <c r="LD124" i="14"/>
  <c r="LB123" i="14"/>
  <c r="LB122" i="14"/>
  <c r="LB121" i="14"/>
  <c r="LB120" i="14"/>
  <c r="LB119" i="14"/>
  <c r="LA117" i="14"/>
  <c r="LB117" i="14" s="1"/>
  <c r="LB114" i="14"/>
  <c r="LB113" i="14"/>
  <c r="LB112" i="14"/>
  <c r="LB111" i="14"/>
  <c r="LB108" i="14"/>
  <c r="LB106" i="14"/>
  <c r="LC104" i="14"/>
  <c r="LA104" i="14"/>
  <c r="LB102" i="14"/>
  <c r="LB98" i="14"/>
  <c r="LD97" i="14"/>
  <c r="LD95" i="14"/>
  <c r="LD90" i="14"/>
  <c r="LB89" i="14"/>
  <c r="LD88" i="14"/>
  <c r="LD87" i="14"/>
  <c r="LD86" i="14"/>
  <c r="LB85" i="14"/>
  <c r="LD84" i="14"/>
  <c r="LD83" i="14"/>
  <c r="LB82" i="14"/>
  <c r="LB80" i="14"/>
  <c r="LC79" i="14"/>
  <c r="LB77" i="14"/>
  <c r="LC76" i="14"/>
  <c r="LA76" i="14"/>
  <c r="LB74" i="14"/>
  <c r="LB73" i="14"/>
  <c r="LC71" i="14"/>
  <c r="LA71" i="14"/>
  <c r="LB69" i="14"/>
  <c r="LC62" i="14"/>
  <c r="LA62" i="14"/>
  <c r="LB59" i="14"/>
  <c r="LB57" i="14"/>
  <c r="LB50" i="14"/>
  <c r="LB41" i="14"/>
  <c r="LC37" i="14"/>
  <c r="LA37" i="14"/>
  <c r="LB33" i="14"/>
  <c r="LB27" i="14"/>
  <c r="LA79" i="14"/>
  <c r="LB10" i="14"/>
  <c r="LB8" i="14"/>
  <c r="LB5" i="14"/>
  <c r="GU164" i="14"/>
  <c r="GU162" i="14"/>
  <c r="GU161" i="14"/>
  <c r="GU160" i="14"/>
  <c r="GU159" i="14"/>
  <c r="GU158" i="14"/>
  <c r="GU149" i="14"/>
  <c r="GU142" i="14"/>
  <c r="GU139" i="14"/>
  <c r="GU137" i="14"/>
  <c r="GU134" i="14"/>
  <c r="GU130" i="14"/>
  <c r="GU127" i="14"/>
  <c r="KY129" i="14" s="1"/>
  <c r="GU126" i="14"/>
  <c r="GT126" i="14" s="1"/>
  <c r="GU125" i="14"/>
  <c r="GT125" i="14" s="1"/>
  <c r="GU124" i="14"/>
  <c r="GT124" i="14" s="1"/>
  <c r="GU123" i="14"/>
  <c r="GU121" i="14"/>
  <c r="GT121" i="14" s="1"/>
  <c r="GU119" i="14"/>
  <c r="GU112" i="14"/>
  <c r="GU106" i="14"/>
  <c r="GU102" i="14"/>
  <c r="KY105" i="14" s="1"/>
  <c r="GU101" i="14"/>
  <c r="GT101" i="14" s="1"/>
  <c r="GU100" i="14"/>
  <c r="GT100" i="14" s="1"/>
  <c r="GU99" i="14"/>
  <c r="GT99" i="14" s="1"/>
  <c r="GU98" i="14"/>
  <c r="GU97" i="14"/>
  <c r="GT97" i="14" s="1"/>
  <c r="GU95" i="14"/>
  <c r="GT95" i="14" s="1"/>
  <c r="GU91" i="14"/>
  <c r="GT91" i="14" s="1"/>
  <c r="GU90" i="14"/>
  <c r="GT90" i="14" s="1"/>
  <c r="GU89" i="14"/>
  <c r="GU88" i="14"/>
  <c r="GT88" i="14" s="1"/>
  <c r="GU87" i="14"/>
  <c r="GT87" i="14" s="1"/>
  <c r="GU86" i="14"/>
  <c r="GT86" i="14" s="1"/>
  <c r="GU85" i="14"/>
  <c r="GU84" i="14"/>
  <c r="GT84" i="14" s="1"/>
  <c r="GU83" i="14"/>
  <c r="GT83" i="14" s="1"/>
  <c r="GU82" i="14"/>
  <c r="GU74" i="14"/>
  <c r="GU73" i="14"/>
  <c r="GU66" i="14"/>
  <c r="GU63" i="14"/>
  <c r="GU59" i="14"/>
  <c r="HT61" i="14" s="1"/>
  <c r="GU57" i="14"/>
  <c r="GU50" i="14"/>
  <c r="GU41" i="14"/>
  <c r="GU39" i="14"/>
  <c r="GT39" i="14" s="1"/>
  <c r="GU35" i="14"/>
  <c r="GU27" i="14"/>
  <c r="GU10" i="14"/>
  <c r="GU8" i="14"/>
  <c r="GU5" i="14"/>
  <c r="GT138" i="14"/>
  <c r="GV151" i="14"/>
  <c r="GV143" i="14"/>
  <c r="GV129" i="14"/>
  <c r="GV105" i="14"/>
  <c r="GV61" i="14"/>
  <c r="GV51" i="14"/>
  <c r="GV42" i="14"/>
  <c r="GV34" i="14"/>
  <c r="GV28" i="14"/>
  <c r="GV6" i="14"/>
  <c r="GV157" i="14"/>
  <c r="GV150" i="14"/>
  <c r="GV128" i="14"/>
  <c r="GV104" i="14"/>
  <c r="GV77" i="14"/>
  <c r="GV76" i="14"/>
  <c r="GV68" i="14"/>
  <c r="GV65" i="14"/>
  <c r="GV62" i="14"/>
  <c r="GV37" i="14"/>
  <c r="GV18" i="14"/>
  <c r="AF14" i="9" l="1"/>
  <c r="AE16" i="7"/>
  <c r="AB5" i="7"/>
  <c r="AC7" i="7" s="1"/>
  <c r="GV166" i="14"/>
  <c r="AB207" i="7"/>
  <c r="AC31" i="7"/>
  <c r="AB6" i="7"/>
  <c r="AC69" i="7"/>
  <c r="AC15" i="7"/>
  <c r="AB230" i="13"/>
  <c r="AB195" i="7"/>
  <c r="AB197" i="7"/>
  <c r="AC34" i="7"/>
  <c r="AB111" i="7"/>
  <c r="GR169" i="14"/>
  <c r="GL169" i="14"/>
  <c r="GO169" i="14"/>
  <c r="AB63" i="13"/>
  <c r="LB11" i="14"/>
  <c r="HT11" i="14"/>
  <c r="KY11" i="14"/>
  <c r="AB203" i="13"/>
  <c r="AB56" i="7"/>
  <c r="AB131" i="7"/>
  <c r="AB221" i="7"/>
  <c r="AB225" i="7" s="1"/>
  <c r="AB183" i="13"/>
  <c r="AB72" i="7"/>
  <c r="AB230" i="7"/>
  <c r="AC53" i="7"/>
  <c r="AC228" i="7"/>
  <c r="AC55" i="7"/>
  <c r="AC77" i="7"/>
  <c r="HT143" i="14"/>
  <c r="HV81" i="14"/>
  <c r="KZ81" i="14"/>
  <c r="P43" i="11"/>
  <c r="HT42" i="14"/>
  <c r="KY42" i="14"/>
  <c r="HT151" i="14"/>
  <c r="KY151" i="14"/>
  <c r="HV19" i="14"/>
  <c r="KZ19" i="14"/>
  <c r="KZ24" i="14" s="1"/>
  <c r="HT28" i="14"/>
  <c r="KY28" i="14"/>
  <c r="HT51" i="14"/>
  <c r="KY51" i="14"/>
  <c r="HV38" i="14"/>
  <c r="KZ38" i="14"/>
  <c r="HT6" i="14"/>
  <c r="KY6" i="14"/>
  <c r="AB89" i="7"/>
  <c r="AB86" i="7"/>
  <c r="AB158" i="7"/>
  <c r="AB168" i="7"/>
  <c r="AB176" i="7"/>
  <c r="P16" i="11"/>
  <c r="AB164" i="7"/>
  <c r="AB172" i="7"/>
  <c r="AB194" i="7"/>
  <c r="P17" i="11"/>
  <c r="AB199" i="7"/>
  <c r="AB36" i="7"/>
  <c r="P12" i="11"/>
  <c r="AB28" i="7"/>
  <c r="LC163" i="14"/>
  <c r="LB61" i="14"/>
  <c r="LC40" i="14"/>
  <c r="AB211" i="7"/>
  <c r="AB75" i="13"/>
  <c r="AB101" i="7"/>
  <c r="AB181" i="7"/>
  <c r="AB187" i="7"/>
  <c r="AB155" i="7"/>
  <c r="AB99" i="7"/>
  <c r="AB105" i="7"/>
  <c r="AB214" i="7"/>
  <c r="AB135" i="7"/>
  <c r="AB182" i="7"/>
  <c r="AB100" i="7"/>
  <c r="AB180" i="7"/>
  <c r="AB196" i="7"/>
  <c r="AB215" i="13"/>
  <c r="AB24" i="7"/>
  <c r="AB97" i="7"/>
  <c r="AB186" i="7"/>
  <c r="AB226" i="7"/>
  <c r="AB104" i="7"/>
  <c r="AB98" i="7"/>
  <c r="AB102" i="7"/>
  <c r="AB106" i="7"/>
  <c r="AB107" i="7"/>
  <c r="AB251" i="13"/>
  <c r="AB227" i="13"/>
  <c r="AB161" i="13"/>
  <c r="AB107" i="13"/>
  <c r="AB127" i="7" s="1"/>
  <c r="AB149" i="13"/>
  <c r="AB142" i="7" s="1"/>
  <c r="AB129" i="13"/>
  <c r="AB127" i="13" s="1"/>
  <c r="AB106" i="13"/>
  <c r="AB212" i="13"/>
  <c r="AB148" i="13"/>
  <c r="AB56" i="13"/>
  <c r="LD38" i="14"/>
  <c r="LB42" i="14"/>
  <c r="LB150" i="14"/>
  <c r="LB165" i="14"/>
  <c r="LC19" i="14"/>
  <c r="LC24" i="14" s="1"/>
  <c r="LB151" i="14"/>
  <c r="LC81" i="14"/>
  <c r="LB105" i="14"/>
  <c r="LB51" i="14"/>
  <c r="LC38" i="14"/>
  <c r="LB28" i="14"/>
  <c r="LB128" i="14"/>
  <c r="LB129" i="14"/>
  <c r="LB104" i="14"/>
  <c r="LB76" i="14"/>
  <c r="LB62" i="14"/>
  <c r="LB6" i="14"/>
  <c r="LB143" i="14"/>
  <c r="LB18" i="14"/>
  <c r="LB37" i="14"/>
  <c r="LB157" i="14"/>
  <c r="LB163" i="14" s="1"/>
  <c r="LA40" i="14"/>
  <c r="LB71" i="14"/>
  <c r="GV79" i="14"/>
  <c r="GU65" i="14"/>
  <c r="GU128" i="14"/>
  <c r="GV36" i="14"/>
  <c r="GV40" i="14"/>
  <c r="GU68" i="14"/>
  <c r="GU105" i="14"/>
  <c r="GU76" i="14"/>
  <c r="GU150" i="14"/>
  <c r="GU62" i="14"/>
  <c r="GU104" i="14"/>
  <c r="AF83" i="9"/>
  <c r="AK105" i="9"/>
  <c r="AG105" i="9"/>
  <c r="AB188" i="7" l="1"/>
  <c r="AB40" i="7"/>
  <c r="AC227" i="7"/>
  <c r="HV24" i="14"/>
  <c r="AE38" i="7"/>
  <c r="AB190" i="13"/>
  <c r="AB261" i="13"/>
  <c r="AB143" i="7"/>
  <c r="GV168" i="14"/>
  <c r="AB256" i="13"/>
  <c r="AB220" i="7"/>
  <c r="AC37" i="7"/>
  <c r="AE51" i="7" s="1"/>
  <c r="GV69" i="14"/>
  <c r="AB128" i="7"/>
  <c r="AB132" i="7"/>
  <c r="AB103" i="7"/>
  <c r="LB40" i="14"/>
  <c r="AB62" i="7"/>
  <c r="AB61" i="7" s="1"/>
  <c r="AB184" i="7"/>
  <c r="AC189" i="7"/>
  <c r="AB96" i="7"/>
  <c r="AC29" i="7"/>
  <c r="AB36" i="13"/>
  <c r="AB203" i="7"/>
  <c r="AB126" i="13"/>
  <c r="AB137" i="7"/>
  <c r="AB160" i="13"/>
  <c r="AB146" i="7"/>
  <c r="P19" i="11"/>
  <c r="P14" i="11"/>
  <c r="LB79" i="14"/>
  <c r="LB17" i="14"/>
  <c r="AB185" i="7" l="1"/>
  <c r="AB147" i="7"/>
  <c r="HZ70" i="14"/>
  <c r="HV70" i="14"/>
  <c r="KZ70" i="14"/>
  <c r="LC70" i="14"/>
  <c r="GU69" i="14"/>
  <c r="GV71" i="14"/>
  <c r="GV165" i="14"/>
  <c r="GV163" i="14"/>
  <c r="AB138" i="7"/>
  <c r="GO168" i="14"/>
  <c r="GR168" i="14"/>
  <c r="GL168" i="14"/>
  <c r="GV170" i="14"/>
  <c r="P36" i="11"/>
  <c r="P55" i="11"/>
  <c r="IB17" i="14"/>
  <c r="HY17" i="14" s="1"/>
  <c r="HB51" i="14"/>
  <c r="HB42" i="14"/>
  <c r="HB28" i="14"/>
  <c r="HK51" i="14"/>
  <c r="HB163" i="14"/>
  <c r="HB150" i="14"/>
  <c r="HB128" i="14"/>
  <c r="GR170" i="14" l="1"/>
  <c r="GL170" i="14"/>
  <c r="GL166" i="14" s="1"/>
  <c r="GO170" i="14"/>
  <c r="AB160" i="7"/>
  <c r="AB134" i="13"/>
  <c r="KY70" i="14"/>
  <c r="GU165" i="14"/>
  <c r="GU71" i="14"/>
  <c r="LB70" i="14"/>
  <c r="HT70" i="14"/>
  <c r="AB148" i="7"/>
  <c r="P56" i="11"/>
  <c r="P51" i="11"/>
  <c r="HK163" i="14"/>
  <c r="HK150" i="14"/>
  <c r="GS122" i="14"/>
  <c r="GS121" i="14"/>
  <c r="GS120" i="14"/>
  <c r="GR113" i="14"/>
  <c r="GP113" i="14"/>
  <c r="GU113" i="14" s="1"/>
  <c r="GS117" i="14"/>
  <c r="GS114" i="14"/>
  <c r="GS101" i="14"/>
  <c r="GS100" i="14"/>
  <c r="GS99" i="14"/>
  <c r="GS97" i="14"/>
  <c r="GS95" i="14"/>
  <c r="GS90" i="14"/>
  <c r="GS88" i="14"/>
  <c r="GS87" i="14"/>
  <c r="GS86" i="14"/>
  <c r="GS84" i="14"/>
  <c r="GS83" i="14"/>
  <c r="GR154" i="14"/>
  <c r="GT154" i="14" s="1"/>
  <c r="GR153" i="14"/>
  <c r="GT153" i="14" s="1"/>
  <c r="GR152" i="14"/>
  <c r="GT152" i="14" s="1"/>
  <c r="GR148" i="14"/>
  <c r="GT148" i="14" s="1"/>
  <c r="GR147" i="14"/>
  <c r="GT147" i="14" s="1"/>
  <c r="GR146" i="14"/>
  <c r="GT146" i="14" s="1"/>
  <c r="LE88" i="14"/>
  <c r="LE87" i="14"/>
  <c r="LE86" i="14"/>
  <c r="LE23" i="14"/>
  <c r="LE22" i="14"/>
  <c r="LE21" i="14"/>
  <c r="GS113" i="14" l="1"/>
  <c r="GT113" i="14"/>
  <c r="AF120" i="9" l="1"/>
  <c r="GS126" i="14" l="1"/>
  <c r="GS125" i="14"/>
  <c r="GS124" i="14"/>
  <c r="GR164" i="14" l="1"/>
  <c r="GR162" i="14"/>
  <c r="GT162" i="14" s="1"/>
  <c r="GR161" i="14"/>
  <c r="GT161" i="14" s="1"/>
  <c r="GR160" i="14"/>
  <c r="GT160" i="14" s="1"/>
  <c r="GR159" i="14"/>
  <c r="GT159" i="14" s="1"/>
  <c r="GR158" i="14"/>
  <c r="GT158" i="14" s="1"/>
  <c r="GR149" i="14"/>
  <c r="GR142" i="14"/>
  <c r="GR139" i="14"/>
  <c r="GT139" i="14" s="1"/>
  <c r="GR137" i="14"/>
  <c r="GT137" i="14" s="1"/>
  <c r="GR134" i="14"/>
  <c r="GT134" i="14" s="1"/>
  <c r="GR130" i="14"/>
  <c r="GT130" i="14" s="1"/>
  <c r="GR127" i="14"/>
  <c r="GR123" i="14"/>
  <c r="GT123" i="14" s="1"/>
  <c r="GR119" i="14"/>
  <c r="GT119" i="14" s="1"/>
  <c r="GR112" i="14"/>
  <c r="GT112" i="14" s="1"/>
  <c r="GR106" i="14"/>
  <c r="GT106" i="14" s="1"/>
  <c r="GR102" i="14"/>
  <c r="GR98" i="14"/>
  <c r="GT98" i="14" s="1"/>
  <c r="GR89" i="14"/>
  <c r="GT89" i="14" s="1"/>
  <c r="GR85" i="14"/>
  <c r="GT85" i="14" s="1"/>
  <c r="GR82" i="14"/>
  <c r="GT82" i="14" s="1"/>
  <c r="GR74" i="14"/>
  <c r="GT74" i="14" s="1"/>
  <c r="GR73" i="14"/>
  <c r="GT73" i="14" s="1"/>
  <c r="GR69" i="14"/>
  <c r="GR66" i="14"/>
  <c r="GT66" i="14" s="1"/>
  <c r="GR63" i="14"/>
  <c r="GT63" i="14" s="1"/>
  <c r="GR59" i="14"/>
  <c r="GR57" i="14"/>
  <c r="GT57" i="14" s="1"/>
  <c r="GR50" i="14"/>
  <c r="GR41" i="14"/>
  <c r="GR27" i="14"/>
  <c r="GR10" i="14"/>
  <c r="GR8" i="14"/>
  <c r="GR5" i="14"/>
  <c r="GS151" i="14"/>
  <c r="GS143" i="14"/>
  <c r="GS129" i="14"/>
  <c r="GS105" i="14"/>
  <c r="GS70" i="14"/>
  <c r="GS61" i="14"/>
  <c r="GS51" i="14"/>
  <c r="GS42" i="14"/>
  <c r="GS28" i="14"/>
  <c r="GS6" i="14"/>
  <c r="GS165" i="14"/>
  <c r="GS157" i="14"/>
  <c r="GS163" i="14" s="1"/>
  <c r="GS150" i="14"/>
  <c r="GS128" i="14"/>
  <c r="GS104" i="14"/>
  <c r="GS77" i="14"/>
  <c r="GS76" i="14"/>
  <c r="GS71" i="14"/>
  <c r="GS68" i="14"/>
  <c r="GS65" i="14"/>
  <c r="GS62" i="14"/>
  <c r="GS18" i="14"/>
  <c r="GR166" i="14" l="1"/>
  <c r="GT10" i="14"/>
  <c r="GT76" i="14" s="1"/>
  <c r="HN11" i="14"/>
  <c r="HP81" i="14"/>
  <c r="HQ81" i="14"/>
  <c r="HO81" i="14" s="1"/>
  <c r="HP19" i="14"/>
  <c r="HP24" i="14" s="1"/>
  <c r="HQ19" i="14"/>
  <c r="HO19" i="14"/>
  <c r="HO24" i="14" s="1"/>
  <c r="HN28" i="14"/>
  <c r="HW27" i="14"/>
  <c r="GT59" i="14"/>
  <c r="HR61" i="14" s="1"/>
  <c r="HN61" i="14"/>
  <c r="KX61" i="14" s="1"/>
  <c r="GT142" i="14"/>
  <c r="HN143" i="14"/>
  <c r="GT5" i="14"/>
  <c r="HN6" i="14"/>
  <c r="HN42" i="14"/>
  <c r="HW41" i="14"/>
  <c r="GT149" i="14"/>
  <c r="GT150" i="14" s="1"/>
  <c r="HN151" i="14"/>
  <c r="GT8" i="14"/>
  <c r="HW8" i="14"/>
  <c r="HN51" i="14"/>
  <c r="HW50" i="14"/>
  <c r="GT102" i="14"/>
  <c r="KX105" i="14" s="1"/>
  <c r="HW102" i="14"/>
  <c r="GT69" i="14"/>
  <c r="HN70" i="14"/>
  <c r="GT127" i="14"/>
  <c r="KX129" i="14" s="1"/>
  <c r="HW129" i="14"/>
  <c r="GT41" i="14"/>
  <c r="GT164" i="14"/>
  <c r="GT50" i="14"/>
  <c r="GT27" i="14"/>
  <c r="GR76" i="14"/>
  <c r="GR71" i="14"/>
  <c r="GR128" i="14"/>
  <c r="GR65" i="14"/>
  <c r="GR105" i="14"/>
  <c r="GT105" i="14" s="1"/>
  <c r="GR68" i="14"/>
  <c r="GS79" i="14"/>
  <c r="GR165" i="14"/>
  <c r="GR104" i="14"/>
  <c r="GR150" i="14"/>
  <c r="GR62" i="14"/>
  <c r="GT65" i="14" l="1"/>
  <c r="GT71" i="14"/>
  <c r="HR11" i="14"/>
  <c r="KX11" i="14"/>
  <c r="GT128" i="14"/>
  <c r="GT165" i="14"/>
  <c r="HR70" i="14"/>
  <c r="KX70" i="14"/>
  <c r="HW104" i="14"/>
  <c r="HR151" i="14"/>
  <c r="KX151" i="14"/>
  <c r="HR6" i="14"/>
  <c r="KX6" i="14"/>
  <c r="HR28" i="14"/>
  <c r="KX28" i="14"/>
  <c r="GT68" i="14"/>
  <c r="HW128" i="14"/>
  <c r="HW42" i="14"/>
  <c r="KX143" i="14"/>
  <c r="HR143" i="14"/>
  <c r="HW28" i="14"/>
  <c r="HR51" i="14"/>
  <c r="KX51" i="14"/>
  <c r="HR42" i="14"/>
  <c r="KX42" i="14"/>
  <c r="HW51" i="14"/>
  <c r="GT62" i="14"/>
  <c r="GT104" i="14"/>
  <c r="GQ128" i="14" l="1"/>
  <c r="GQ104" i="14"/>
  <c r="LF156" i="14" l="1"/>
  <c r="LE156" i="14" s="1"/>
  <c r="LF155" i="14"/>
  <c r="LE155" i="14" s="1"/>
  <c r="LF154" i="14"/>
  <c r="LE154" i="14" s="1"/>
  <c r="LF153" i="14"/>
  <c r="LE153" i="14" s="1"/>
  <c r="LF152" i="14"/>
  <c r="LE152" i="14" s="1"/>
  <c r="GO101" i="14"/>
  <c r="GO100" i="14"/>
  <c r="GO99" i="14"/>
  <c r="GO126" i="14"/>
  <c r="GO125" i="14"/>
  <c r="GO124" i="14"/>
  <c r="GO122" i="14"/>
  <c r="GO120" i="14"/>
  <c r="GO121" i="14"/>
  <c r="GO145" i="14"/>
  <c r="GO146" i="14"/>
  <c r="GO147" i="14"/>
  <c r="GO148" i="14"/>
  <c r="GO152" i="14"/>
  <c r="GO153" i="14"/>
  <c r="GO154" i="14"/>
  <c r="LF148" i="14" l="1"/>
  <c r="LE148" i="14" s="1"/>
  <c r="LF147" i="14"/>
  <c r="LE147" i="14" s="1"/>
  <c r="LF146" i="14"/>
  <c r="LE146" i="14" s="1"/>
  <c r="LF145" i="14"/>
  <c r="LE145" i="14" s="1"/>
  <c r="LF111" i="14"/>
  <c r="LE111" i="14" s="1"/>
  <c r="LF108" i="14"/>
  <c r="LE108" i="14" s="1"/>
  <c r="LF122" i="14"/>
  <c r="LE122" i="14" s="1"/>
  <c r="LF120" i="14"/>
  <c r="LE120" i="14" s="1"/>
  <c r="LF121" i="14"/>
  <c r="LE121" i="14" s="1"/>
  <c r="LF114" i="14"/>
  <c r="LE114" i="14" s="1"/>
  <c r="GO97" i="14"/>
  <c r="GO95" i="14"/>
  <c r="LF97" i="14"/>
  <c r="LE97" i="14" s="1"/>
  <c r="LF95" i="14"/>
  <c r="LE95" i="14" s="1"/>
  <c r="LF90" i="14"/>
  <c r="LE90" i="14" s="1"/>
  <c r="GO90" i="14"/>
  <c r="LF84" i="14"/>
  <c r="LE84" i="14" s="1"/>
  <c r="Z31" i="11" l="1"/>
  <c r="AC31" i="11"/>
  <c r="BK31" i="11" s="1"/>
  <c r="LF44" i="14"/>
  <c r="LE44" i="14" s="1"/>
  <c r="LG151" i="14"/>
  <c r="LG143" i="14"/>
  <c r="LG129" i="14"/>
  <c r="LG105" i="14"/>
  <c r="LG61" i="14"/>
  <c r="LG51" i="14"/>
  <c r="LG42" i="14"/>
  <c r="LG34" i="14"/>
  <c r="LG28" i="14"/>
  <c r="LG6" i="14"/>
  <c r="LF164" i="14"/>
  <c r="LE164" i="14" s="1"/>
  <c r="LF159" i="14"/>
  <c r="LE159" i="14" s="1"/>
  <c r="LF158" i="14"/>
  <c r="LE158" i="14" s="1"/>
  <c r="LF149" i="14"/>
  <c r="LE149" i="14" s="1"/>
  <c r="LF142" i="14"/>
  <c r="LE142" i="14" s="1"/>
  <c r="LF139" i="14"/>
  <c r="LE139" i="14" s="1"/>
  <c r="LF134" i="14"/>
  <c r="LE134" i="14" s="1"/>
  <c r="LF130" i="14"/>
  <c r="LE130" i="14" s="1"/>
  <c r="LF127" i="14"/>
  <c r="LE127" i="14" s="1"/>
  <c r="LF123" i="14"/>
  <c r="LE123" i="14" s="1"/>
  <c r="LF119" i="14"/>
  <c r="LE119" i="14" s="1"/>
  <c r="LF112" i="14"/>
  <c r="LE112" i="14" s="1"/>
  <c r="LF106" i="14"/>
  <c r="LE106" i="14" s="1"/>
  <c r="LF102" i="14"/>
  <c r="LE102" i="14" s="1"/>
  <c r="LF98" i="14"/>
  <c r="LE98" i="14" s="1"/>
  <c r="LF89" i="14"/>
  <c r="LE89" i="14" s="1"/>
  <c r="LF85" i="14"/>
  <c r="LE85" i="14" s="1"/>
  <c r="LF82" i="14"/>
  <c r="LE82" i="14" s="1"/>
  <c r="LF74" i="14"/>
  <c r="LE74" i="14" s="1"/>
  <c r="LF73" i="14"/>
  <c r="LE73" i="14" s="1"/>
  <c r="LF69" i="14"/>
  <c r="LE69" i="14" s="1"/>
  <c r="LF59" i="14"/>
  <c r="LE59" i="14" s="1"/>
  <c r="LF57" i="14"/>
  <c r="LE57" i="14" s="1"/>
  <c r="LF50" i="14"/>
  <c r="LE50" i="14" s="1"/>
  <c r="LF41" i="14"/>
  <c r="LE41" i="14" s="1"/>
  <c r="LF27" i="14"/>
  <c r="LE27" i="14" s="1"/>
  <c r="LF10" i="14"/>
  <c r="LF8" i="14"/>
  <c r="LE8" i="14" s="1"/>
  <c r="LF5" i="14"/>
  <c r="LE5" i="14" s="1"/>
  <c r="LF80" i="14"/>
  <c r="LE80" i="14" s="1"/>
  <c r="LG165" i="14"/>
  <c r="LG157" i="14"/>
  <c r="LG163" i="14" s="1"/>
  <c r="LG150" i="14"/>
  <c r="LG128" i="14"/>
  <c r="LG104" i="14"/>
  <c r="LG79" i="14"/>
  <c r="LG76" i="14"/>
  <c r="LG71" i="14"/>
  <c r="LG62" i="14"/>
  <c r="LG37" i="14"/>
  <c r="LG17" i="14"/>
  <c r="GP33" i="14"/>
  <c r="GP37" i="14"/>
  <c r="BH31" i="11" l="1"/>
  <c r="LE10" i="14"/>
  <c r="LE76" i="14" s="1"/>
  <c r="AB31" i="11"/>
  <c r="BJ31" i="11" s="1"/>
  <c r="HI33" i="14"/>
  <c r="HI37" i="14"/>
  <c r="AA31" i="11"/>
  <c r="BI31" i="11" s="1"/>
  <c r="GP40" i="14"/>
  <c r="LA38" i="14"/>
  <c r="GU37" i="14"/>
  <c r="GP36" i="14"/>
  <c r="GU33" i="14"/>
  <c r="LA34" i="14"/>
  <c r="LE71" i="14"/>
  <c r="LE128" i="14"/>
  <c r="LE165" i="14"/>
  <c r="LE150" i="14"/>
  <c r="LE104" i="14"/>
  <c r="LF33" i="14"/>
  <c r="LF37" i="14"/>
  <c r="LG40" i="14"/>
  <c r="LF150" i="14"/>
  <c r="LF128" i="14"/>
  <c r="LE62" i="14" l="1"/>
  <c r="LF40" i="14"/>
  <c r="HT37" i="14"/>
  <c r="HI38" i="14"/>
  <c r="HI40" i="14"/>
  <c r="KY37" i="14"/>
  <c r="KY38" i="14" s="1"/>
  <c r="HT33" i="14"/>
  <c r="KY33" i="14"/>
  <c r="HI36" i="14"/>
  <c r="HI34" i="14"/>
  <c r="GU40" i="14"/>
  <c r="LB38" i="14"/>
  <c r="LB34" i="14"/>
  <c r="GU36" i="14"/>
  <c r="GP151" i="14"/>
  <c r="GP143" i="14"/>
  <c r="LF143" i="14" s="1"/>
  <c r="GP129" i="14"/>
  <c r="GP105" i="14"/>
  <c r="GP70" i="14"/>
  <c r="GP61" i="14"/>
  <c r="LF61" i="14" s="1"/>
  <c r="GP51" i="14"/>
  <c r="GP42" i="14"/>
  <c r="GP38" i="14"/>
  <c r="GP34" i="14"/>
  <c r="GP28" i="14"/>
  <c r="GP6" i="14"/>
  <c r="GO164" i="14"/>
  <c r="GO162" i="14"/>
  <c r="GO161" i="14"/>
  <c r="GO160" i="14"/>
  <c r="GO159" i="14"/>
  <c r="GO158" i="14"/>
  <c r="GO149" i="14"/>
  <c r="GO142" i="14"/>
  <c r="GO139" i="14"/>
  <c r="GO138" i="14"/>
  <c r="GO137" i="14"/>
  <c r="GO134" i="14"/>
  <c r="GO130" i="14"/>
  <c r="GO127" i="14"/>
  <c r="GO123" i="14"/>
  <c r="GO119" i="14"/>
  <c r="GO112" i="14"/>
  <c r="GO106" i="14"/>
  <c r="GO102" i="14"/>
  <c r="GO98" i="14"/>
  <c r="GO89" i="14"/>
  <c r="GO88" i="14"/>
  <c r="GO87" i="14"/>
  <c r="GO86" i="14"/>
  <c r="GO85" i="14"/>
  <c r="GO83" i="14"/>
  <c r="GO82" i="14"/>
  <c r="GO74" i="14"/>
  <c r="GO73" i="14"/>
  <c r="GO69" i="14"/>
  <c r="GO66" i="14"/>
  <c r="GO63" i="14"/>
  <c r="GO59" i="14"/>
  <c r="HF61" i="14" s="1"/>
  <c r="GO57" i="14"/>
  <c r="GO50" i="14"/>
  <c r="GO41" i="14"/>
  <c r="GO27" i="14"/>
  <c r="GO10" i="14"/>
  <c r="GO8" i="14"/>
  <c r="GO5" i="14"/>
  <c r="GP165" i="14"/>
  <c r="GP157" i="14"/>
  <c r="GU157" i="14" s="1"/>
  <c r="GP150" i="14"/>
  <c r="GP128" i="14"/>
  <c r="GP104" i="14"/>
  <c r="GP77" i="14"/>
  <c r="GP76" i="14"/>
  <c r="GP71" i="14"/>
  <c r="GP68" i="14"/>
  <c r="GP65" i="14"/>
  <c r="GP62" i="14"/>
  <c r="GP18" i="14"/>
  <c r="GO166" i="14" l="1"/>
  <c r="HJ11" i="14"/>
  <c r="HF11" i="14"/>
  <c r="HJ70" i="14"/>
  <c r="HF70" i="14"/>
  <c r="HJ28" i="14"/>
  <c r="HF28" i="14"/>
  <c r="HJ27" i="14"/>
  <c r="KY34" i="14"/>
  <c r="KY40" i="14"/>
  <c r="HI19" i="14"/>
  <c r="HI24" i="14" s="1"/>
  <c r="HJ6" i="14"/>
  <c r="HF6" i="14"/>
  <c r="HJ42" i="14"/>
  <c r="HF42" i="14"/>
  <c r="HT36" i="14"/>
  <c r="HT34" i="14"/>
  <c r="HI81" i="14"/>
  <c r="HJ51" i="14"/>
  <c r="HF51" i="14"/>
  <c r="HJ102" i="14"/>
  <c r="HT40" i="14"/>
  <c r="HT38" i="14"/>
  <c r="HJ41" i="14"/>
  <c r="GU163" i="14"/>
  <c r="GR129" i="14"/>
  <c r="GU129" i="14"/>
  <c r="LF77" i="14"/>
  <c r="LA81" i="14"/>
  <c r="GU77" i="14"/>
  <c r="KY81" i="14" s="1"/>
  <c r="GU18" i="14"/>
  <c r="LA19" i="14"/>
  <c r="LA24" i="14" s="1"/>
  <c r="LB24" i="14" s="1"/>
  <c r="LF18" i="14"/>
  <c r="GR18" i="14"/>
  <c r="LF157" i="14"/>
  <c r="GR157" i="14"/>
  <c r="GR163" i="14" s="1"/>
  <c r="GO128" i="14"/>
  <c r="GO165" i="14"/>
  <c r="GP163" i="14"/>
  <c r="GO76" i="14"/>
  <c r="GO68" i="14"/>
  <c r="GO104" i="14"/>
  <c r="GO150" i="14"/>
  <c r="GO62" i="14"/>
  <c r="GP79" i="14"/>
  <c r="GO65" i="14"/>
  <c r="GO71" i="14"/>
  <c r="AF93" i="7"/>
  <c r="AG93" i="7"/>
  <c r="AG217" i="7"/>
  <c r="AG198" i="7"/>
  <c r="AG197" i="7"/>
  <c r="AG192" i="7"/>
  <c r="AG122" i="7"/>
  <c r="AG12" i="7"/>
  <c r="AM317" i="9"/>
  <c r="AM366" i="9" s="1"/>
  <c r="AM406" i="9" s="1"/>
  <c r="AM24" i="9"/>
  <c r="GT166" i="14" l="1"/>
  <c r="HT19" i="14"/>
  <c r="HT24" i="14" s="1"/>
  <c r="KY19" i="14"/>
  <c r="GT129" i="14"/>
  <c r="HW18" i="14"/>
  <c r="HN19" i="14"/>
  <c r="HT81" i="14"/>
  <c r="HN81" i="14"/>
  <c r="HJ19" i="14"/>
  <c r="KY24" i="14"/>
  <c r="LB81" i="14"/>
  <c r="GU79" i="14"/>
  <c r="GT18" i="14"/>
  <c r="GU17" i="14"/>
  <c r="LB19" i="14"/>
  <c r="GT157" i="14"/>
  <c r="GT163" i="14" s="1"/>
  <c r="LE157" i="14"/>
  <c r="LE163" i="14" s="1"/>
  <c r="GR17" i="14"/>
  <c r="GR77" i="14" s="1"/>
  <c r="HW77" i="14" s="1"/>
  <c r="LE18" i="14"/>
  <c r="HN24" i="14" l="1"/>
  <c r="KX24" i="14"/>
  <c r="HR81" i="14"/>
  <c r="HW74" i="14"/>
  <c r="HW79" i="14"/>
  <c r="KX19" i="14"/>
  <c r="HR19" i="14"/>
  <c r="HW10" i="14"/>
  <c r="HW11" i="14" s="1"/>
  <c r="HK128" i="14"/>
  <c r="HK42" i="14"/>
  <c r="GT17" i="14"/>
  <c r="GT77" i="14" s="1"/>
  <c r="LE17" i="14"/>
  <c r="LE77" i="14"/>
  <c r="GR79" i="14"/>
  <c r="HR24" i="14" l="1"/>
  <c r="GT79" i="14"/>
  <c r="KX81" i="14"/>
  <c r="HW69" i="14"/>
  <c r="LE79" i="14"/>
  <c r="GL84" i="14"/>
  <c r="GO84" i="14" s="1"/>
  <c r="GN149" i="14" l="1"/>
  <c r="GN142" i="14"/>
  <c r="GN127" i="14"/>
  <c r="GN102" i="14"/>
  <c r="GN74" i="14"/>
  <c r="GN73" i="14"/>
  <c r="GN59" i="14"/>
  <c r="GN57" i="14"/>
  <c r="GN50" i="14"/>
  <c r="GN41" i="14"/>
  <c r="GN8" i="14"/>
  <c r="GL157" i="14"/>
  <c r="GO157" i="14" s="1"/>
  <c r="GO163" i="14" s="1"/>
  <c r="GL76" i="14"/>
  <c r="GN157" i="14" l="1"/>
  <c r="GM163" i="14" l="1"/>
  <c r="GK163" i="14"/>
  <c r="GN17" i="14"/>
  <c r="GK27" i="14"/>
  <c r="GK150" i="14" l="1"/>
  <c r="GL150" i="14"/>
  <c r="GK128" i="14"/>
  <c r="GM128" i="14"/>
  <c r="GK104" i="14"/>
  <c r="GL70" i="14"/>
  <c r="GZ17" i="14"/>
  <c r="GY17" i="14" s="1"/>
  <c r="GZ158" i="14" l="1"/>
  <c r="GY158" i="14" s="1"/>
  <c r="GM150" i="14"/>
  <c r="GN51" i="14"/>
  <c r="GN150" i="14"/>
  <c r="GL151" i="14"/>
  <c r="GO151" i="14" s="1"/>
  <c r="GL143" i="14"/>
  <c r="GO143" i="14" s="1"/>
  <c r="GL129" i="14"/>
  <c r="GO129" i="14" s="1"/>
  <c r="GL105" i="14"/>
  <c r="GO105" i="14" s="1"/>
  <c r="GL61" i="14"/>
  <c r="GO61" i="14" s="1"/>
  <c r="GL51" i="14"/>
  <c r="GL42" i="14"/>
  <c r="GL28" i="14"/>
  <c r="GL6" i="14"/>
  <c r="GK51" i="14"/>
  <c r="GK42" i="14"/>
  <c r="GK28" i="14"/>
  <c r="GL165" i="14"/>
  <c r="GL163" i="14"/>
  <c r="GL128" i="14"/>
  <c r="GL104" i="14"/>
  <c r="GL77" i="14"/>
  <c r="HD81" i="14" s="1"/>
  <c r="GL71" i="14"/>
  <c r="GL68" i="14"/>
  <c r="GL65" i="14"/>
  <c r="GL62" i="14"/>
  <c r="GL18" i="14"/>
  <c r="HK81" i="14" l="1"/>
  <c r="HF81" i="14"/>
  <c r="HD19" i="14"/>
  <c r="HB18" i="14"/>
  <c r="HB19" i="14" s="1"/>
  <c r="GO18" i="14"/>
  <c r="GN163" i="14"/>
  <c r="GN42" i="14"/>
  <c r="GN128" i="14"/>
  <c r="GL79" i="14"/>
  <c r="GC100" i="14"/>
  <c r="GC126" i="14"/>
  <c r="GC125" i="14"/>
  <c r="GC124" i="14"/>
  <c r="GC121" i="14"/>
  <c r="HD24" i="14" l="1"/>
  <c r="HJ18" i="14"/>
  <c r="HF19" i="14"/>
  <c r="GO17" i="14"/>
  <c r="GO77" i="14" s="1"/>
  <c r="GB91" i="14"/>
  <c r="GC91" i="14"/>
  <c r="GC97" i="14"/>
  <c r="GC95" i="14"/>
  <c r="GC101" i="14"/>
  <c r="GC99" i="14"/>
  <c r="GC88" i="14"/>
  <c r="GC87" i="14"/>
  <c r="GC86" i="14"/>
  <c r="GC84" i="14"/>
  <c r="GC83" i="14"/>
  <c r="HF24" i="14" l="1"/>
  <c r="GO79" i="14"/>
  <c r="HJ77" i="14"/>
  <c r="GA97" i="14"/>
  <c r="GB97" i="14" s="1"/>
  <c r="GA95" i="14"/>
  <c r="GB95" i="14" s="1"/>
  <c r="GA90" i="14"/>
  <c r="GC90" i="14"/>
  <c r="GD39" i="14"/>
  <c r="GD35" i="14"/>
  <c r="Z7" i="8" l="1"/>
  <c r="Z8" i="8"/>
  <c r="AA7" i="8"/>
  <c r="AB7" i="8"/>
  <c r="AA8" i="8"/>
  <c r="AD8" i="8"/>
  <c r="IP24" i="14" s="1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I19" i="8" l="1"/>
  <c r="AG8" i="8"/>
  <c r="AF8" i="8"/>
  <c r="JH24" i="14" s="1"/>
  <c r="AK8" i="8" l="1"/>
  <c r="AK19" i="8"/>
  <c r="AI8" i="8"/>
  <c r="AJ8" i="8"/>
  <c r="AJ19" i="8"/>
  <c r="AH8" i="8"/>
  <c r="GD37" i="14" l="1"/>
  <c r="LG38" i="14" l="1"/>
  <c r="GV38" i="14"/>
  <c r="N42" i="11"/>
  <c r="N41" i="11"/>
  <c r="N40" i="11"/>
  <c r="N39" i="11"/>
  <c r="N38" i="11"/>
  <c r="N37" i="11"/>
  <c r="N35" i="11"/>
  <c r="N34" i="11"/>
  <c r="N29" i="11"/>
  <c r="N25" i="11"/>
  <c r="N22" i="11"/>
  <c r="N21" i="11"/>
  <c r="N20" i="11"/>
  <c r="O42" i="11"/>
  <c r="O41" i="11"/>
  <c r="O40" i="11"/>
  <c r="O39" i="11"/>
  <c r="O38" i="11"/>
  <c r="O37" i="11"/>
  <c r="O35" i="11"/>
  <c r="O34" i="11"/>
  <c r="O29" i="11"/>
  <c r="O25" i="11"/>
  <c r="O22" i="11"/>
  <c r="O21" i="11"/>
  <c r="O20" i="11"/>
  <c r="AA219" i="7"/>
  <c r="AA218" i="7"/>
  <c r="AA215" i="7"/>
  <c r="AA212" i="7"/>
  <c r="AA210" i="7"/>
  <c r="AA204" i="7"/>
  <c r="AA202" i="7"/>
  <c r="AA201" i="7"/>
  <c r="AA200" i="7"/>
  <c r="AA198" i="7"/>
  <c r="AA192" i="7"/>
  <c r="AA178" i="7"/>
  <c r="AA177" i="7"/>
  <c r="AA174" i="7"/>
  <c r="AA173" i="7"/>
  <c r="AA170" i="7"/>
  <c r="AA169" i="7"/>
  <c r="AA166" i="7"/>
  <c r="AA165" i="7"/>
  <c r="AA157" i="7"/>
  <c r="AA156" i="7"/>
  <c r="AA154" i="7"/>
  <c r="AA153" i="7"/>
  <c r="AA152" i="7"/>
  <c r="AA150" i="7"/>
  <c r="AA134" i="7"/>
  <c r="AA133" i="7"/>
  <c r="AA122" i="7"/>
  <c r="AA93" i="7"/>
  <c r="AA90" i="7"/>
  <c r="AA89" i="7"/>
  <c r="AA88" i="7"/>
  <c r="GD169" i="14" s="1"/>
  <c r="AA87" i="7"/>
  <c r="AA85" i="7"/>
  <c r="AA84" i="7"/>
  <c r="AA76" i="7"/>
  <c r="AA75" i="7"/>
  <c r="AA74" i="7"/>
  <c r="AA73" i="7"/>
  <c r="AA71" i="7"/>
  <c r="AA68" i="7"/>
  <c r="AA66" i="7"/>
  <c r="AA65" i="7"/>
  <c r="AA64" i="7"/>
  <c r="AA54" i="7"/>
  <c r="AA52" i="7"/>
  <c r="AA35" i="7"/>
  <c r="AA33" i="7"/>
  <c r="AA27" i="7"/>
  <c r="AA26" i="7"/>
  <c r="AA19" i="7"/>
  <c r="AA21" i="7" s="1"/>
  <c r="AA14" i="7"/>
  <c r="AA12" i="7"/>
  <c r="AA240" i="13"/>
  <c r="AA216" i="7" s="1"/>
  <c r="AA219" i="13"/>
  <c r="AA206" i="7" s="1"/>
  <c r="AA99" i="13"/>
  <c r="AA126" i="7" s="1"/>
  <c r="M89" i="13"/>
  <c r="M88" i="13" s="1"/>
  <c r="N89" i="13"/>
  <c r="N88" i="13" s="1"/>
  <c r="AD16" i="7" l="1"/>
  <c r="FV169" i="14"/>
  <c r="FZ169" i="14"/>
  <c r="FS169" i="14"/>
  <c r="AA207" i="7"/>
  <c r="GD168" i="14"/>
  <c r="AB69" i="7"/>
  <c r="AA195" i="7"/>
  <c r="AA135" i="7"/>
  <c r="AB15" i="7"/>
  <c r="AB77" i="7"/>
  <c r="AA194" i="7"/>
  <c r="AA168" i="7"/>
  <c r="AA199" i="7"/>
  <c r="AA196" i="7"/>
  <c r="AA164" i="7"/>
  <c r="AA176" i="7"/>
  <c r="AA99" i="7"/>
  <c r="AA172" i="7"/>
  <c r="AA36" i="7"/>
  <c r="AA214" i="7"/>
  <c r="AA100" i="7"/>
  <c r="AA181" i="7"/>
  <c r="AA28" i="7"/>
  <c r="AB29" i="7" s="1"/>
  <c r="AA72" i="7"/>
  <c r="AA104" i="7"/>
  <c r="AA111" i="7"/>
  <c r="AA97" i="7"/>
  <c r="AA105" i="7"/>
  <c r="AA226" i="7"/>
  <c r="AA56" i="7"/>
  <c r="AA98" i="7"/>
  <c r="AA106" i="7"/>
  <c r="AA107" i="7"/>
  <c r="AB227" i="7" l="1"/>
  <c r="AA40" i="7"/>
  <c r="AD38" i="7"/>
  <c r="GD69" i="14"/>
  <c r="GD170" i="14"/>
  <c r="FS168" i="14"/>
  <c r="FV168" i="14"/>
  <c r="FZ168" i="14"/>
  <c r="AB37" i="7"/>
  <c r="AA103" i="7"/>
  <c r="AA62" i="7"/>
  <c r="AA96" i="7"/>
  <c r="GV70" i="14" l="1"/>
  <c r="LG70" i="14"/>
  <c r="FV170" i="14"/>
  <c r="FZ170" i="14"/>
  <c r="FS170" i="14"/>
  <c r="FS166" i="14" s="1"/>
  <c r="AA22" i="13"/>
  <c r="AA255" i="13"/>
  <c r="AA221" i="7" s="1"/>
  <c r="AA245" i="13"/>
  <c r="AA217" i="7" s="1"/>
  <c r="AA230" i="13"/>
  <c r="AA223" i="13"/>
  <c r="AA209" i="7" s="1"/>
  <c r="AA211" i="7" s="1"/>
  <c r="AA215" i="13"/>
  <c r="AA210" i="13"/>
  <c r="AA202" i="13"/>
  <c r="AA201" i="13"/>
  <c r="AA199" i="13"/>
  <c r="AA197" i="13"/>
  <c r="AA189" i="13"/>
  <c r="AA158" i="7" s="1"/>
  <c r="AA179" i="13"/>
  <c r="AA173" i="13"/>
  <c r="AA151" i="7" s="1"/>
  <c r="AA155" i="7" s="1"/>
  <c r="AA157" i="13"/>
  <c r="AA145" i="7" s="1"/>
  <c r="AA145" i="13"/>
  <c r="AA141" i="7" s="1"/>
  <c r="AA141" i="13"/>
  <c r="AA140" i="7" s="1"/>
  <c r="AA131" i="13"/>
  <c r="AA123" i="13"/>
  <c r="AA136" i="7" s="1"/>
  <c r="AA119" i="13"/>
  <c r="AA114" i="13"/>
  <c r="AA131" i="7" s="1"/>
  <c r="AA103" i="13"/>
  <c r="AA125" i="7" s="1"/>
  <c r="AA97" i="13"/>
  <c r="AA124" i="7" s="1"/>
  <c r="AA79" i="13"/>
  <c r="AA81" i="7" s="1"/>
  <c r="AA78" i="13"/>
  <c r="AA80" i="7" s="1"/>
  <c r="AA75" i="13"/>
  <c r="AA63" i="13"/>
  <c r="AA54" i="13"/>
  <c r="AA60" i="7" s="1"/>
  <c r="AA50" i="13"/>
  <c r="AA57" i="7" s="1"/>
  <c r="AA40" i="13"/>
  <c r="AA44" i="13" s="1"/>
  <c r="AA36" i="13"/>
  <c r="AA33" i="13"/>
  <c r="AA29" i="13" s="1"/>
  <c r="AA30" i="7" s="1"/>
  <c r="AA24" i="13"/>
  <c r="AA13" i="13"/>
  <c r="AA16" i="13" s="1"/>
  <c r="AA23" i="7" s="1"/>
  <c r="FS77" i="14"/>
  <c r="GL81" i="14" s="1"/>
  <c r="FY77" i="14"/>
  <c r="GP81" i="14" s="1"/>
  <c r="GA77" i="14"/>
  <c r="GS81" i="14" s="1"/>
  <c r="GD77" i="14"/>
  <c r="AE14" i="9" l="1"/>
  <c r="GD166" i="14"/>
  <c r="AA197" i="7"/>
  <c r="AA6" i="7"/>
  <c r="AA180" i="7"/>
  <c r="AA227" i="13"/>
  <c r="AA113" i="13"/>
  <c r="AA130" i="7" s="1"/>
  <c r="GO81" i="14"/>
  <c r="AA61" i="7"/>
  <c r="GR81" i="14"/>
  <c r="AA102" i="7"/>
  <c r="AB31" i="7"/>
  <c r="AB53" i="7"/>
  <c r="AB228" i="7"/>
  <c r="AB55" i="7"/>
  <c r="AA184" i="7"/>
  <c r="AB189" i="7"/>
  <c r="LG81" i="14"/>
  <c r="GV81" i="14"/>
  <c r="GU81" i="14" s="1"/>
  <c r="GC77" i="14"/>
  <c r="LF81" i="14" s="1"/>
  <c r="AA5" i="7"/>
  <c r="AB7" i="7" s="1"/>
  <c r="AA86" i="7"/>
  <c r="AA182" i="7"/>
  <c r="AA24" i="7"/>
  <c r="AA101" i="7"/>
  <c r="AA230" i="7"/>
  <c r="AA225" i="7"/>
  <c r="AA220" i="7"/>
  <c r="AA186" i="7"/>
  <c r="AA187" i="7"/>
  <c r="AA149" i="13"/>
  <c r="AA142" i="7" s="1"/>
  <c r="AA183" i="13"/>
  <c r="AA148" i="13"/>
  <c r="AA129" i="13"/>
  <c r="AA127" i="13" s="1"/>
  <c r="AA137" i="7" s="1"/>
  <c r="AA203" i="13"/>
  <c r="AA212" i="13" s="1"/>
  <c r="AA165" i="13"/>
  <c r="AA163" i="13" s="1"/>
  <c r="AA107" i="13"/>
  <c r="AA127" i="7" s="1"/>
  <c r="AA106" i="13"/>
  <c r="AA251" i="13"/>
  <c r="AA56" i="13"/>
  <c r="GA151" i="14"/>
  <c r="GC39" i="14"/>
  <c r="GC37" i="14"/>
  <c r="GC33" i="14"/>
  <c r="GD151" i="14"/>
  <c r="GD143" i="14"/>
  <c r="GD129" i="14"/>
  <c r="GD105" i="14"/>
  <c r="GD81" i="14"/>
  <c r="GD61" i="14"/>
  <c r="GD51" i="14"/>
  <c r="GD42" i="14"/>
  <c r="GD38" i="14"/>
  <c r="GD36" i="14"/>
  <c r="GD34" i="14"/>
  <c r="GD28" i="14"/>
  <c r="GD6" i="14"/>
  <c r="GC164" i="14"/>
  <c r="GC162" i="14"/>
  <c r="GC161" i="14"/>
  <c r="GC160" i="14"/>
  <c r="GC159" i="14"/>
  <c r="GC158" i="14"/>
  <c r="GC149" i="14"/>
  <c r="GC142" i="14"/>
  <c r="GU143" i="14" s="1"/>
  <c r="GC139" i="14"/>
  <c r="GC137" i="14"/>
  <c r="GC134" i="14"/>
  <c r="GC130" i="14"/>
  <c r="GC127" i="14"/>
  <c r="LF129" i="14" s="1"/>
  <c r="GC123" i="14"/>
  <c r="GC119" i="14"/>
  <c r="GC112" i="14"/>
  <c r="GC106" i="14"/>
  <c r="GC102" i="14"/>
  <c r="LF105" i="14" s="1"/>
  <c r="GC98" i="14"/>
  <c r="GC89" i="14"/>
  <c r="GC85" i="14"/>
  <c r="GC82" i="14"/>
  <c r="GC74" i="14"/>
  <c r="GC73" i="14"/>
  <c r="GC69" i="14"/>
  <c r="GC66" i="14"/>
  <c r="GC63" i="14"/>
  <c r="GC59" i="14"/>
  <c r="GU61" i="14" s="1"/>
  <c r="GC57" i="14"/>
  <c r="GC50" i="14"/>
  <c r="GC41" i="14"/>
  <c r="GC27" i="14"/>
  <c r="GC10" i="14"/>
  <c r="GC8" i="14"/>
  <c r="GC5" i="14"/>
  <c r="GB164" i="14"/>
  <c r="GB162" i="14"/>
  <c r="GB161" i="14"/>
  <c r="GB160" i="14"/>
  <c r="GB159" i="14"/>
  <c r="GB158" i="14"/>
  <c r="GB149" i="14"/>
  <c r="GB142" i="14"/>
  <c r="GB139" i="14"/>
  <c r="GB138" i="14"/>
  <c r="GB137" i="14"/>
  <c r="GB134" i="14"/>
  <c r="GB130" i="14"/>
  <c r="GB127" i="14"/>
  <c r="LE129" i="14" s="1"/>
  <c r="GB123" i="14"/>
  <c r="GB119" i="14"/>
  <c r="GB112" i="14"/>
  <c r="GB106" i="14"/>
  <c r="GB102" i="14"/>
  <c r="LE105" i="14" s="1"/>
  <c r="GB98" i="14"/>
  <c r="GB90" i="14"/>
  <c r="GB89" i="14"/>
  <c r="GB85" i="14"/>
  <c r="GB82" i="14"/>
  <c r="GB74" i="14"/>
  <c r="GB73" i="14"/>
  <c r="GB69" i="14"/>
  <c r="GB66" i="14"/>
  <c r="GB63" i="14"/>
  <c r="GB59" i="14"/>
  <c r="GT61" i="14" s="1"/>
  <c r="GB57" i="14"/>
  <c r="GB50" i="14"/>
  <c r="GB41" i="14"/>
  <c r="GB27" i="14"/>
  <c r="GB10" i="14"/>
  <c r="GB8" i="14"/>
  <c r="GB5" i="14"/>
  <c r="GD165" i="14"/>
  <c r="GD157" i="14"/>
  <c r="GD150" i="14"/>
  <c r="GD128" i="14"/>
  <c r="GD104" i="14"/>
  <c r="GD76" i="14"/>
  <c r="GD71" i="14"/>
  <c r="GD68" i="14"/>
  <c r="GD65" i="14"/>
  <c r="GD62" i="14"/>
  <c r="GD40" i="14"/>
  <c r="GD18" i="14"/>
  <c r="GV19" i="14" s="1"/>
  <c r="AA188" i="7" l="1"/>
  <c r="GV24" i="14"/>
  <c r="AA128" i="7"/>
  <c r="AA143" i="7"/>
  <c r="AB34" i="7"/>
  <c r="AA203" i="7"/>
  <c r="AA132" i="7"/>
  <c r="GT11" i="14"/>
  <c r="LE11" i="14"/>
  <c r="GU11" i="14"/>
  <c r="LF11" i="14"/>
  <c r="GT81" i="14"/>
  <c r="LF28" i="14"/>
  <c r="GU28" i="14"/>
  <c r="LE6" i="14"/>
  <c r="GT6" i="14"/>
  <c r="LE51" i="14"/>
  <c r="GT51" i="14"/>
  <c r="LF6" i="14"/>
  <c r="GU6" i="14"/>
  <c r="LF42" i="14"/>
  <c r="GU42" i="14"/>
  <c r="LF151" i="14"/>
  <c r="GU151" i="14"/>
  <c r="LE151" i="14"/>
  <c r="GT151" i="14"/>
  <c r="LF51" i="14"/>
  <c r="GU51" i="14"/>
  <c r="LF34" i="14"/>
  <c r="GU34" i="14"/>
  <c r="LE42" i="14"/>
  <c r="GT42" i="14"/>
  <c r="LE70" i="14"/>
  <c r="GT70" i="14"/>
  <c r="LE28" i="14"/>
  <c r="GT28" i="14"/>
  <c r="LF70" i="14"/>
  <c r="GU70" i="14"/>
  <c r="LF38" i="14"/>
  <c r="GU38" i="14"/>
  <c r="AA126" i="13"/>
  <c r="GD79" i="14"/>
  <c r="LG19" i="14"/>
  <c r="GC40" i="14"/>
  <c r="AA161" i="13"/>
  <c r="AA146" i="7" s="1"/>
  <c r="GD163" i="14"/>
  <c r="O43" i="11"/>
  <c r="GD19" i="14"/>
  <c r="GD24" i="14" s="1"/>
  <c r="AA138" i="7" l="1"/>
  <c r="AA185" i="7"/>
  <c r="AA160" i="7"/>
  <c r="AA147" i="7"/>
  <c r="AA160" i="13"/>
  <c r="AA148" i="7" l="1"/>
  <c r="AG220" i="9"/>
  <c r="AF220" i="9"/>
  <c r="GA143" i="14" l="1"/>
  <c r="GB143" i="14" s="1"/>
  <c r="GA99" i="14"/>
  <c r="GB99" i="14" s="1"/>
  <c r="GA100" i="14"/>
  <c r="GB100" i="14" s="1"/>
  <c r="GA101" i="14"/>
  <c r="GB101" i="14" s="1"/>
  <c r="GA88" i="14"/>
  <c r="GB88" i="14" s="1"/>
  <c r="GA87" i="14"/>
  <c r="GB87" i="14" s="1"/>
  <c r="GA86" i="14"/>
  <c r="GB86" i="14" s="1"/>
  <c r="GA121" i="14"/>
  <c r="GB121" i="14" s="1"/>
  <c r="FZ35" i="14"/>
  <c r="GR35" i="14" s="1"/>
  <c r="GA61" i="14"/>
  <c r="GB61" i="14" s="1"/>
  <c r="FY61" i="14"/>
  <c r="GS35" i="14" l="1"/>
  <c r="HP35" i="14" s="1"/>
  <c r="GT35" i="14"/>
  <c r="HN35" i="14" l="1"/>
  <c r="HR35" i="14" s="1"/>
  <c r="GA124" i="14"/>
  <c r="GB124" i="14" s="1"/>
  <c r="GA125" i="14"/>
  <c r="GB125" i="14" s="1"/>
  <c r="GA126" i="14"/>
  <c r="GB126" i="14" s="1"/>
  <c r="IH35" i="14" l="1"/>
  <c r="IM35" i="14" s="1"/>
  <c r="FZ39" i="14"/>
  <c r="GA39" i="14" s="1"/>
  <c r="GB39" i="14" s="1"/>
  <c r="GA23" i="14"/>
  <c r="GA22" i="14"/>
  <c r="GA21" i="14"/>
  <c r="GA84" i="14"/>
  <c r="GB84" i="14" s="1"/>
  <c r="GA83" i="14"/>
  <c r="GB83" i="14" s="1"/>
  <c r="GA129" i="14" l="1"/>
  <c r="GB129" i="14" s="1"/>
  <c r="GA105" i="14"/>
  <c r="GB105" i="14" s="1"/>
  <c r="GA81" i="14"/>
  <c r="GB81" i="14" s="1"/>
  <c r="GA70" i="14"/>
  <c r="GA51" i="14"/>
  <c r="GA42" i="14"/>
  <c r="GA28" i="14"/>
  <c r="GA6" i="14"/>
  <c r="FZ164" i="14"/>
  <c r="FZ162" i="14"/>
  <c r="FZ161" i="14"/>
  <c r="FZ160" i="14"/>
  <c r="FZ159" i="14"/>
  <c r="FZ158" i="14"/>
  <c r="FZ149" i="14"/>
  <c r="GR151" i="14" s="1"/>
  <c r="FZ142" i="14"/>
  <c r="GR143" i="14" s="1"/>
  <c r="FZ139" i="14"/>
  <c r="FZ137" i="14"/>
  <c r="FZ134" i="14"/>
  <c r="FZ130" i="14"/>
  <c r="FZ127" i="14"/>
  <c r="FZ123" i="14"/>
  <c r="FZ119" i="14"/>
  <c r="FZ112" i="14"/>
  <c r="FZ106" i="14"/>
  <c r="FZ102" i="14"/>
  <c r="FZ98" i="14"/>
  <c r="FZ89" i="14"/>
  <c r="FZ85" i="14"/>
  <c r="FZ82" i="14"/>
  <c r="FZ74" i="14"/>
  <c r="FZ77" i="14" s="1"/>
  <c r="FZ73" i="14"/>
  <c r="FZ69" i="14"/>
  <c r="FZ66" i="14"/>
  <c r="FZ63" i="14"/>
  <c r="FZ59" i="14"/>
  <c r="GR61" i="14" s="1"/>
  <c r="FZ57" i="14"/>
  <c r="FZ50" i="14"/>
  <c r="FZ41" i="14"/>
  <c r="FZ27" i="14"/>
  <c r="FZ10" i="14"/>
  <c r="FZ8" i="14"/>
  <c r="FZ5" i="14"/>
  <c r="GA165" i="14"/>
  <c r="GA157" i="14"/>
  <c r="GB157" i="14" s="1"/>
  <c r="GA150" i="14"/>
  <c r="GA128" i="14"/>
  <c r="GA104" i="14"/>
  <c r="GA76" i="14"/>
  <c r="GA71" i="14"/>
  <c r="GA68" i="14"/>
  <c r="GA65" i="14"/>
  <c r="GA62" i="14"/>
  <c r="GA18" i="14"/>
  <c r="GS19" i="14" s="1"/>
  <c r="GS24" i="14" s="1"/>
  <c r="FZ166" i="14" l="1"/>
  <c r="GR11" i="14"/>
  <c r="LE61" i="14"/>
  <c r="LE143" i="14"/>
  <c r="GT143" i="14"/>
  <c r="GR6" i="14"/>
  <c r="GR28" i="14"/>
  <c r="GQ28" i="14"/>
  <c r="GR42" i="14"/>
  <c r="GQ42" i="14"/>
  <c r="GR51" i="14"/>
  <c r="GQ51" i="14"/>
  <c r="GR70" i="14"/>
  <c r="GB18" i="14"/>
  <c r="LG24" i="14"/>
  <c r="FZ104" i="14"/>
  <c r="FZ76" i="14"/>
  <c r="FZ150" i="14"/>
  <c r="GA163" i="14"/>
  <c r="GA79" i="14"/>
  <c r="FZ165" i="14"/>
  <c r="FZ128" i="14"/>
  <c r="FZ71" i="14"/>
  <c r="FZ105" i="14"/>
  <c r="FZ65" i="14"/>
  <c r="FZ68" i="14"/>
  <c r="FZ62" i="14"/>
  <c r="FB165" i="14"/>
  <c r="FE165" i="14"/>
  <c r="FR165" i="14"/>
  <c r="FY165" i="14"/>
  <c r="LE19" i="14" l="1"/>
  <c r="GT19" i="14"/>
  <c r="GT24" i="14" l="1"/>
  <c r="FV99" i="14"/>
  <c r="FY35" i="14"/>
  <c r="GA35" i="14" l="1"/>
  <c r="GB35" i="14" s="1"/>
  <c r="GC35" i="14"/>
  <c r="GC36" i="14" s="1"/>
  <c r="GI159" i="14" l="1"/>
  <c r="GH159" i="14" s="1"/>
  <c r="GI158" i="14"/>
  <c r="GH158" i="14" s="1"/>
  <c r="FY151" i="14"/>
  <c r="FS151" i="14"/>
  <c r="FV151" i="14" l="1"/>
  <c r="FY143" i="14"/>
  <c r="FS143" i="14"/>
  <c r="FV143" i="14" l="1"/>
  <c r="GH17" i="14"/>
  <c r="FV88" i="14" l="1"/>
  <c r="FV5" i="14"/>
  <c r="GO6" i="14" l="1"/>
  <c r="FV164" i="14"/>
  <c r="FV162" i="14"/>
  <c r="FV161" i="14"/>
  <c r="FV160" i="14"/>
  <c r="FV159" i="14"/>
  <c r="FV158" i="14"/>
  <c r="FV149" i="14"/>
  <c r="FV142" i="14"/>
  <c r="FV139" i="14"/>
  <c r="FV138" i="14"/>
  <c r="FV137" i="14"/>
  <c r="FV134" i="14"/>
  <c r="FV130" i="14"/>
  <c r="FV127" i="14"/>
  <c r="FV126" i="14"/>
  <c r="FV125" i="14"/>
  <c r="FV124" i="14"/>
  <c r="FV123" i="14"/>
  <c r="FV121" i="14"/>
  <c r="FV119" i="14"/>
  <c r="FV112" i="14"/>
  <c r="FV106" i="14"/>
  <c r="FV102" i="14"/>
  <c r="FV98" i="14"/>
  <c r="FV97" i="14"/>
  <c r="FV95" i="14"/>
  <c r="FV90" i="14"/>
  <c r="FV89" i="14"/>
  <c r="FV87" i="14"/>
  <c r="FV86" i="14"/>
  <c r="FV85" i="14"/>
  <c r="FV84" i="14"/>
  <c r="FV83" i="14"/>
  <c r="FV82" i="14"/>
  <c r="FV74" i="14"/>
  <c r="FV73" i="14"/>
  <c r="FV69" i="14"/>
  <c r="FV66" i="14"/>
  <c r="FV63" i="14"/>
  <c r="FV59" i="14"/>
  <c r="FV57" i="14"/>
  <c r="FV50" i="14"/>
  <c r="GO51" i="14" s="1"/>
  <c r="FV41" i="14"/>
  <c r="GO42" i="14" s="1"/>
  <c r="FV27" i="14"/>
  <c r="FV10" i="14"/>
  <c r="FV8" i="14"/>
  <c r="FB157" i="14"/>
  <c r="FV166" i="14" l="1"/>
  <c r="GO70" i="14"/>
  <c r="GO11" i="14"/>
  <c r="GO28" i="14"/>
  <c r="GM27" i="14"/>
  <c r="GM51" i="14"/>
  <c r="GM42" i="14"/>
  <c r="FV165" i="14"/>
  <c r="GB166" i="14" l="1"/>
  <c r="LF104" i="14"/>
  <c r="GN27" i="14"/>
  <c r="GM28" i="14"/>
  <c r="GM104" i="14"/>
  <c r="FA163" i="14"/>
  <c r="FB163" i="14"/>
  <c r="FD163" i="14"/>
  <c r="FF163" i="14"/>
  <c r="FR163" i="14"/>
  <c r="FY129" i="14"/>
  <c r="GC129" i="14" s="1"/>
  <c r="FY105" i="14"/>
  <c r="FY81" i="14"/>
  <c r="GC81" i="14" s="1"/>
  <c r="FY70" i="14"/>
  <c r="FY51" i="14"/>
  <c r="FY42" i="14"/>
  <c r="FY38" i="14"/>
  <c r="FY34" i="14"/>
  <c r="FY28" i="14"/>
  <c r="FY6" i="14"/>
  <c r="FV47" i="14"/>
  <c r="FY157" i="14"/>
  <c r="GC157" i="14" s="1"/>
  <c r="FY150" i="14"/>
  <c r="FY128" i="14"/>
  <c r="FY104" i="14"/>
  <c r="FY76" i="14"/>
  <c r="FY71" i="14"/>
  <c r="FY68" i="14"/>
  <c r="FY65" i="14"/>
  <c r="FY62" i="14"/>
  <c r="FY40" i="14"/>
  <c r="FY36" i="14"/>
  <c r="FY18" i="14"/>
  <c r="FV76" i="14"/>
  <c r="FV68" i="14"/>
  <c r="FV65" i="14"/>
  <c r="FV62" i="14"/>
  <c r="GY40" i="14" l="1"/>
  <c r="GC18" i="14"/>
  <c r="GC17" i="14" s="1"/>
  <c r="GP19" i="14"/>
  <c r="GP24" i="14" s="1"/>
  <c r="LF24" i="14" s="1"/>
  <c r="GN28" i="14"/>
  <c r="GN104" i="14"/>
  <c r="FZ18" i="14"/>
  <c r="FZ129" i="14"/>
  <c r="FY163" i="14"/>
  <c r="FZ157" i="14"/>
  <c r="FZ163" i="14" s="1"/>
  <c r="FZ81" i="14"/>
  <c r="FV91" i="14"/>
  <c r="FY79" i="14"/>
  <c r="LF19" i="14" l="1"/>
  <c r="GU19" i="14"/>
  <c r="GU24" i="14" s="1"/>
  <c r="GQ18" i="14"/>
  <c r="GQ10" i="14" s="1"/>
  <c r="GQ11" i="14" s="1"/>
  <c r="GR19" i="14"/>
  <c r="FZ79" i="14"/>
  <c r="AF217" i="7"/>
  <c r="AF198" i="7"/>
  <c r="AF130" i="7" s="1"/>
  <c r="AF197" i="7"/>
  <c r="AF192" i="7"/>
  <c r="AF122" i="7"/>
  <c r="AF12" i="7"/>
  <c r="AL317" i="9"/>
  <c r="AL366" i="9" s="1"/>
  <c r="AL406" i="9" s="1"/>
  <c r="AG33" i="7" l="1"/>
  <c r="AG130" i="7"/>
  <c r="AH130" i="7" s="1"/>
  <c r="GR24" i="14"/>
  <c r="GQ76" i="14"/>
  <c r="GQ5" i="14"/>
  <c r="LE24" i="14" l="1"/>
  <c r="GQ6" i="14"/>
  <c r="GQ66" i="14"/>
  <c r="GQ63" i="14"/>
  <c r="GQ69" i="14" l="1"/>
  <c r="FU142" i="14"/>
  <c r="FW149" i="14"/>
  <c r="FV150" i="14" s="1"/>
  <c r="FW127" i="14"/>
  <c r="FV128" i="14" s="1"/>
  <c r="FW102" i="14"/>
  <c r="FV104" i="14" s="1"/>
  <c r="FW41" i="14"/>
  <c r="FW73" i="14"/>
  <c r="FW10" i="14"/>
  <c r="FS61" i="14"/>
  <c r="FV61" i="14" s="1"/>
  <c r="FW74" i="14" l="1"/>
  <c r="FU74" i="14" s="1"/>
  <c r="FW11" i="14"/>
  <c r="GQ164" i="14"/>
  <c r="GQ163" i="14"/>
  <c r="GQ71" i="14"/>
  <c r="GQ70" i="14"/>
  <c r="FU10" i="14"/>
  <c r="FU76" i="14" l="1"/>
  <c r="FS42" i="14" l="1"/>
  <c r="FS104" i="14" l="1"/>
  <c r="FS68" i="14"/>
  <c r="FS65" i="14"/>
  <c r="FS51" i="14"/>
  <c r="FS28" i="14"/>
  <c r="FS129" i="14"/>
  <c r="FV129" i="14" s="1"/>
  <c r="FS105" i="14"/>
  <c r="FV105" i="14" s="1"/>
  <c r="FS150" i="14"/>
  <c r="FB105" i="14"/>
  <c r="EK18" i="14"/>
  <c r="FS157" i="14"/>
  <c r="FS165" i="14"/>
  <c r="FS163" i="14" l="1"/>
  <c r="FV157" i="14"/>
  <c r="FV163" i="14" s="1"/>
  <c r="FU157" i="14"/>
  <c r="EX18" i="14"/>
  <c r="FS18" i="14"/>
  <c r="FS62" i="14"/>
  <c r="EY62" i="14"/>
  <c r="FA62" i="14"/>
  <c r="FB62" i="14"/>
  <c r="FD62" i="14"/>
  <c r="FE62" i="14"/>
  <c r="FF62" i="14"/>
  <c r="FK62" i="14"/>
  <c r="FN62" i="14"/>
  <c r="FQ62" i="14"/>
  <c r="FR62" i="14"/>
  <c r="GK18" i="14" l="1"/>
  <c r="GK19" i="14" s="1"/>
  <c r="GL19" i="14"/>
  <c r="FV18" i="14"/>
  <c r="FS19" i="14"/>
  <c r="FS24" i="14" s="1"/>
  <c r="EG62" i="14"/>
  <c r="EK62" i="14"/>
  <c r="EO62" i="14"/>
  <c r="EU62" i="14"/>
  <c r="EV62" i="14"/>
  <c r="EW62" i="14"/>
  <c r="EX62" i="14"/>
  <c r="GL24" i="14" l="1"/>
  <c r="GM18" i="14"/>
  <c r="GO19" i="14"/>
  <c r="FV17" i="14"/>
  <c r="FV77" i="14" s="1"/>
  <c r="FU59" i="14"/>
  <c r="FU57" i="14"/>
  <c r="FU50" i="14"/>
  <c r="FU18" i="14"/>
  <c r="FU8" i="14"/>
  <c r="FS81" i="14"/>
  <c r="FV81" i="14" s="1"/>
  <c r="FS6" i="14"/>
  <c r="FS128" i="14"/>
  <c r="FS79" i="14"/>
  <c r="FS76" i="14"/>
  <c r="FS71" i="14"/>
  <c r="GO24" i="14" l="1"/>
  <c r="LF79" i="14"/>
  <c r="FV79" i="14"/>
  <c r="GN18" i="14"/>
  <c r="GM19" i="14"/>
  <c r="GN10" i="14" l="1"/>
  <c r="GN11" i="14" s="1"/>
  <c r="GN19" i="14"/>
  <c r="FW51" i="14" l="1"/>
  <c r="FT41" i="14"/>
  <c r="FT18" i="14"/>
  <c r="FT19" i="14" s="1"/>
  <c r="FT50" i="14"/>
  <c r="FT51" i="14" s="1"/>
  <c r="FT27" i="14"/>
  <c r="FT28" i="14" s="1"/>
  <c r="FT10" i="14" l="1"/>
  <c r="FW42" i="14"/>
  <c r="FT42" i="14"/>
  <c r="FT74" i="14" l="1"/>
  <c r="FT69" i="14" s="1"/>
  <c r="FT163" i="14" s="1"/>
  <c r="FT11" i="14"/>
  <c r="FT5" i="14"/>
  <c r="FU69" i="14"/>
  <c r="FU163" i="14" s="1"/>
  <c r="FT70" i="14" l="1"/>
  <c r="FT164" i="14"/>
  <c r="FT71" i="14"/>
  <c r="FT6" i="14"/>
  <c r="FU164" i="14"/>
  <c r="FW164" i="14" s="1"/>
  <c r="FW69" i="14"/>
  <c r="AB8" i="8"/>
  <c r="FV71" i="14" l="1"/>
  <c r="FW165" i="14"/>
  <c r="FW70" i="14"/>
  <c r="AE146" i="9" l="1"/>
  <c r="Z74" i="8" l="1"/>
  <c r="AE117" i="9" l="1"/>
  <c r="AJ146" i="9" l="1"/>
  <c r="AJ147" i="9" l="1"/>
  <c r="AJ235" i="9"/>
  <c r="AT147" i="9"/>
  <c r="FI84" i="14"/>
  <c r="FI83" i="14"/>
  <c r="FI122" i="14"/>
  <c r="FG122" i="14" s="1"/>
  <c r="FI121" i="14"/>
  <c r="FG121" i="14" s="1"/>
  <c r="FI120" i="14"/>
  <c r="FG120" i="14" s="1"/>
  <c r="FI35" i="14"/>
  <c r="FG35" i="14" s="1"/>
  <c r="FG88" i="14"/>
  <c r="FJ88" i="14"/>
  <c r="FI88" i="14"/>
  <c r="FI87" i="14"/>
  <c r="FI86" i="14"/>
  <c r="FI99" i="14"/>
  <c r="JH57" i="14" l="1"/>
  <c r="JX57" i="14"/>
  <c r="JW57" i="14" s="1"/>
  <c r="JU57" i="14" s="1"/>
  <c r="BB34" i="11"/>
  <c r="FI126" i="14"/>
  <c r="FI125" i="14"/>
  <c r="FI124" i="14"/>
  <c r="FK36" i="14"/>
  <c r="FI90" i="14"/>
  <c r="Z219" i="7"/>
  <c r="Z218" i="7"/>
  <c r="Z215" i="7"/>
  <c r="Z212" i="7"/>
  <c r="Z210" i="7"/>
  <c r="Z204" i="7"/>
  <c r="Z202" i="7"/>
  <c r="Z201" i="7"/>
  <c r="Z200" i="7"/>
  <c r="Z198" i="7"/>
  <c r="Z178" i="7"/>
  <c r="Z177" i="7"/>
  <c r="Z174" i="7"/>
  <c r="Z173" i="7"/>
  <c r="Z170" i="7"/>
  <c r="Z169" i="7"/>
  <c r="Z166" i="7"/>
  <c r="Z165" i="7"/>
  <c r="Z157" i="7"/>
  <c r="Z156" i="7"/>
  <c r="Z154" i="7"/>
  <c r="Z153" i="7"/>
  <c r="Z152" i="7"/>
  <c r="Z150" i="7"/>
  <c r="Z134" i="7"/>
  <c r="Z133" i="7"/>
  <c r="Z90" i="7"/>
  <c r="Z88" i="7"/>
  <c r="FK169" i="14" s="1"/>
  <c r="Z87" i="7"/>
  <c r="Z85" i="7"/>
  <c r="Z84" i="7"/>
  <c r="Z76" i="7"/>
  <c r="Z75" i="7"/>
  <c r="Z74" i="7"/>
  <c r="Z73" i="7"/>
  <c r="Z71" i="7"/>
  <c r="Z68" i="7"/>
  <c r="Z66" i="7"/>
  <c r="Z65" i="7"/>
  <c r="Z64" i="7"/>
  <c r="Z54" i="7"/>
  <c r="Z52" i="7"/>
  <c r="Z35" i="7"/>
  <c r="Z33" i="7"/>
  <c r="Z27" i="7"/>
  <c r="Z26" i="7"/>
  <c r="Z19" i="7"/>
  <c r="Z21" i="7" s="1"/>
  <c r="Z14" i="7"/>
  <c r="AM146" i="9" l="1"/>
  <c r="AE17" i="7"/>
  <c r="AC16" i="7"/>
  <c r="FC169" i="14"/>
  <c r="EX169" i="14"/>
  <c r="EZ169" i="14"/>
  <c r="AA69" i="7"/>
  <c r="JH150" i="14"/>
  <c r="AA77" i="7"/>
  <c r="AA15" i="7"/>
  <c r="Z172" i="7"/>
  <c r="Z194" i="7"/>
  <c r="Z199" i="7"/>
  <c r="Z164" i="7"/>
  <c r="Y34" i="11"/>
  <c r="BG34" i="11" s="1"/>
  <c r="AL147" i="9"/>
  <c r="Z135" i="7"/>
  <c r="Z28" i="7"/>
  <c r="AA29" i="7" s="1"/>
  <c r="Z56" i="7"/>
  <c r="Z72" i="7"/>
  <c r="Z195" i="7"/>
  <c r="Z226" i="7"/>
  <c r="Z36" i="7"/>
  <c r="Z176" i="7"/>
  <c r="Z196" i="7"/>
  <c r="Z214" i="7"/>
  <c r="Z168" i="7"/>
  <c r="FI139" i="14"/>
  <c r="FH139" i="14"/>
  <c r="FI137" i="14"/>
  <c r="FH137" i="14"/>
  <c r="FI134" i="14"/>
  <c r="FH134" i="14"/>
  <c r="FI130" i="14"/>
  <c r="FK129" i="14"/>
  <c r="FK105" i="14"/>
  <c r="FK107" i="14"/>
  <c r="FI106" i="14"/>
  <c r="FI112" i="14"/>
  <c r="FI119" i="14"/>
  <c r="FI123" i="14"/>
  <c r="ES35" i="14"/>
  <c r="EX91" i="14"/>
  <c r="FB91" i="14"/>
  <c r="FI91" i="14" s="1"/>
  <c r="FI82" i="14"/>
  <c r="FH82" i="14"/>
  <c r="FI85" i="14"/>
  <c r="FH85" i="14"/>
  <c r="FI89" i="14"/>
  <c r="FH89" i="14"/>
  <c r="FI98" i="14"/>
  <c r="FI66" i="14"/>
  <c r="FE150" i="14"/>
  <c r="FK81" i="14"/>
  <c r="FI77" i="14"/>
  <c r="FG77" i="14"/>
  <c r="FI73" i="14"/>
  <c r="FG73" i="14"/>
  <c r="FI162" i="14"/>
  <c r="FH162" i="14"/>
  <c r="FI161" i="14"/>
  <c r="FH161" i="14"/>
  <c r="FI160" i="14"/>
  <c r="FH160" i="14"/>
  <c r="FI159" i="14"/>
  <c r="FI158" i="14"/>
  <c r="FI39" i="14"/>
  <c r="FK38" i="14"/>
  <c r="FK34" i="14"/>
  <c r="FI37" i="14"/>
  <c r="FI33" i="14"/>
  <c r="GC34" i="14" s="1"/>
  <c r="AA227" i="7" l="1"/>
  <c r="Z40" i="7"/>
  <c r="AN146" i="9"/>
  <c r="AE39" i="7"/>
  <c r="AC38" i="7"/>
  <c r="FK69" i="14"/>
  <c r="AM147" i="9"/>
  <c r="Z34" i="11"/>
  <c r="GC38" i="14"/>
  <c r="AA37" i="7"/>
  <c r="Z62" i="7"/>
  <c r="AO146" i="9" l="1"/>
  <c r="AO147" i="9" s="1"/>
  <c r="GD70" i="14"/>
  <c r="FK165" i="14"/>
  <c r="BH34" i="11"/>
  <c r="AN147" i="9"/>
  <c r="AA34" i="11"/>
  <c r="BI34" i="11" s="1"/>
  <c r="BU34" i="11" s="1"/>
  <c r="FG63" i="14"/>
  <c r="FG10" i="14"/>
  <c r="FG8" i="14"/>
  <c r="FG5" i="14"/>
  <c r="FK71" i="14"/>
  <c r="FK65" i="14"/>
  <c r="FK28" i="14"/>
  <c r="FK42" i="14"/>
  <c r="FK6" i="14"/>
  <c r="FI41" i="14"/>
  <c r="FI10" i="14"/>
  <c r="FI8" i="14"/>
  <c r="FK76" i="14"/>
  <c r="FK51" i="14"/>
  <c r="Z240" i="13"/>
  <c r="Z216" i="7" s="1"/>
  <c r="Z219" i="13"/>
  <c r="Z206" i="7" s="1"/>
  <c r="Z114" i="13"/>
  <c r="Z99" i="13"/>
  <c r="Z126" i="7" s="1"/>
  <c r="Z22" i="13"/>
  <c r="Z24" i="13" s="1"/>
  <c r="Z13" i="13"/>
  <c r="Z16" i="13" s="1"/>
  <c r="Z23" i="7" s="1"/>
  <c r="FK157" i="14"/>
  <c r="FK150" i="14"/>
  <c r="FK128" i="14"/>
  <c r="FK104" i="14"/>
  <c r="FK68" i="14"/>
  <c r="FI61" i="14"/>
  <c r="FK40" i="14"/>
  <c r="FG164" i="14"/>
  <c r="FG149" i="14"/>
  <c r="FG142" i="14"/>
  <c r="FG127" i="14"/>
  <c r="FG102" i="14"/>
  <c r="FG97" i="14"/>
  <c r="FG96" i="14"/>
  <c r="FG95" i="14"/>
  <c r="FG92" i="14"/>
  <c r="FG74" i="14"/>
  <c r="FG69" i="14"/>
  <c r="FG66" i="14"/>
  <c r="FG61" i="14"/>
  <c r="FG59" i="14"/>
  <c r="FG57" i="14"/>
  <c r="FG50" i="14"/>
  <c r="FG41" i="14"/>
  <c r="FG27" i="14"/>
  <c r="FI164" i="14"/>
  <c r="FI149" i="14"/>
  <c r="FI142" i="14"/>
  <c r="GC143" i="14" s="1"/>
  <c r="FI127" i="14"/>
  <c r="FI102" i="14"/>
  <c r="FI74" i="14"/>
  <c r="FI69" i="14"/>
  <c r="GC70" i="14" s="1"/>
  <c r="FI63" i="14"/>
  <c r="FI59" i="14"/>
  <c r="GC61" i="14" s="1"/>
  <c r="FI57" i="14"/>
  <c r="FI50" i="14"/>
  <c r="FI27" i="14"/>
  <c r="FI5" i="14"/>
  <c r="GC6" i="14" s="1"/>
  <c r="Z89" i="7"/>
  <c r="Z255" i="13"/>
  <c r="Z221" i="7" s="1"/>
  <c r="Z245" i="13"/>
  <c r="Z217" i="7" s="1"/>
  <c r="Z223" i="13"/>
  <c r="Z210" i="13"/>
  <c r="Z202" i="13"/>
  <c r="Z201" i="13"/>
  <c r="Z199" i="13"/>
  <c r="Z197" i="13"/>
  <c r="Z189" i="13"/>
  <c r="Z158" i="7" s="1"/>
  <c r="Z179" i="13"/>
  <c r="Z173" i="13"/>
  <c r="Z151" i="7" s="1"/>
  <c r="Z155" i="7" s="1"/>
  <c r="Z157" i="13"/>
  <c r="Z145" i="7" s="1"/>
  <c r="Z145" i="13"/>
  <c r="Z141" i="13"/>
  <c r="Z140" i="7" s="1"/>
  <c r="Z131" i="13"/>
  <c r="Z123" i="13"/>
  <c r="Z136" i="7" s="1"/>
  <c r="Z119" i="13"/>
  <c r="Z103" i="13"/>
  <c r="Z125" i="7" s="1"/>
  <c r="Z97" i="13"/>
  <c r="Z124" i="7" s="1"/>
  <c r="Z78" i="13"/>
  <c r="Z80" i="7" s="1"/>
  <c r="Z54" i="13"/>
  <c r="Z60" i="7" s="1"/>
  <c r="Z50" i="13"/>
  <c r="Z57" i="7" s="1"/>
  <c r="Z40" i="13"/>
  <c r="Z33" i="13"/>
  <c r="Z29" i="13" s="1"/>
  <c r="Z30" i="7" s="1"/>
  <c r="AB34" i="11" l="1"/>
  <c r="BJ34" i="11" s="1"/>
  <c r="AP146" i="9"/>
  <c r="FK166" i="14"/>
  <c r="FK168" i="14"/>
  <c r="Z24" i="7"/>
  <c r="AD14" i="9"/>
  <c r="AA31" i="7"/>
  <c r="GB11" i="14"/>
  <c r="GC11" i="14"/>
  <c r="Z56" i="13"/>
  <c r="Z165" i="13"/>
  <c r="Z163" i="13" s="1"/>
  <c r="Z161" i="13" s="1"/>
  <c r="AA189" i="7"/>
  <c r="Z227" i="13"/>
  <c r="Z209" i="7"/>
  <c r="Z211" i="7" s="1"/>
  <c r="Z203" i="13"/>
  <c r="Z212" i="13" s="1"/>
  <c r="Z225" i="7"/>
  <c r="Z220" i="7"/>
  <c r="Z113" i="13"/>
  <c r="Z130" i="7" s="1"/>
  <c r="Z131" i="7"/>
  <c r="GC151" i="14"/>
  <c r="GC28" i="14"/>
  <c r="GB151" i="14"/>
  <c r="FK163" i="14"/>
  <c r="N43" i="11"/>
  <c r="GC42" i="14"/>
  <c r="GC51" i="14"/>
  <c r="FG165" i="14"/>
  <c r="AA53" i="7"/>
  <c r="AA228" i="7"/>
  <c r="Z197" i="7"/>
  <c r="Z183" i="13"/>
  <c r="Z149" i="13"/>
  <c r="Z142" i="7" s="1"/>
  <c r="Z141" i="7"/>
  <c r="Z61" i="7"/>
  <c r="FG62" i="14"/>
  <c r="FI68" i="14"/>
  <c r="FI62" i="14"/>
  <c r="FI165" i="14"/>
  <c r="FG71" i="14"/>
  <c r="FG150" i="14"/>
  <c r="FI71" i="14"/>
  <c r="FI104" i="14"/>
  <c r="FI65" i="14"/>
  <c r="FI76" i="14"/>
  <c r="FI128" i="14"/>
  <c r="FI150" i="14"/>
  <c r="FG68" i="14"/>
  <c r="FG76" i="14"/>
  <c r="FG128" i="14"/>
  <c r="FG65" i="14"/>
  <c r="FG104" i="14"/>
  <c r="FK79" i="14"/>
  <c r="Z148" i="13"/>
  <c r="Z129" i="13"/>
  <c r="Z127" i="13" s="1"/>
  <c r="Z107" i="13"/>
  <c r="Z127" i="7" s="1"/>
  <c r="Z106" i="13"/>
  <c r="Z79" i="13"/>
  <c r="Z81" i="7" s="1"/>
  <c r="Z44" i="13"/>
  <c r="Z251" i="13"/>
  <c r="AC34" i="11" l="1"/>
  <c r="BK34" i="11" s="1"/>
  <c r="AP147" i="9"/>
  <c r="Z203" i="7"/>
  <c r="AA34" i="7"/>
  <c r="EZ168" i="14"/>
  <c r="FC168" i="14"/>
  <c r="EX168" i="14"/>
  <c r="FK170" i="14"/>
  <c r="Z132" i="7"/>
  <c r="Z143" i="7"/>
  <c r="Z128" i="7"/>
  <c r="AA55" i="7"/>
  <c r="Z160" i="13"/>
  <c r="Z146" i="7"/>
  <c r="Z126" i="13"/>
  <c r="Z137" i="7"/>
  <c r="FE126" i="14"/>
  <c r="FG126" i="14" s="1"/>
  <c r="FE125" i="14"/>
  <c r="FG125" i="14" s="1"/>
  <c r="FE124" i="14"/>
  <c r="FG124" i="14" s="1"/>
  <c r="FE121" i="14"/>
  <c r="FE120" i="14"/>
  <c r="FE35" i="14"/>
  <c r="FE90" i="14"/>
  <c r="FG90" i="14" s="1"/>
  <c r="FE87" i="14"/>
  <c r="FG87" i="14" s="1"/>
  <c r="FE86" i="14"/>
  <c r="FG86" i="14" s="1"/>
  <c r="FC170" i="14" l="1"/>
  <c r="EX170" i="14"/>
  <c r="EX166" i="14" s="1"/>
  <c r="EZ170" i="14"/>
  <c r="Z138" i="7"/>
  <c r="Z147" i="7"/>
  <c r="FE39" i="14"/>
  <c r="FG39" i="14" s="1"/>
  <c r="FO23" i="14"/>
  <c r="FO22" i="14"/>
  <c r="FO21" i="14"/>
  <c r="Z148" i="7" l="1"/>
  <c r="FC69" i="14"/>
  <c r="FZ70" i="14" l="1"/>
  <c r="FE83" i="14"/>
  <c r="FG83" i="14" s="1"/>
  <c r="FE84" i="14"/>
  <c r="FG84" i="14" s="1"/>
  <c r="AD7" i="8" l="1"/>
  <c r="IP21" i="14" s="1"/>
  <c r="IN21" i="14" s="1"/>
  <c r="IL21" i="14" s="1"/>
  <c r="FE81" i="14" l="1"/>
  <c r="FC10" i="14" l="1"/>
  <c r="FC8" i="14"/>
  <c r="FC5" i="14"/>
  <c r="FO164" i="14"/>
  <c r="FO159" i="14"/>
  <c r="FP159" i="14"/>
  <c r="FO158" i="14"/>
  <c r="FP158" i="14"/>
  <c r="FO149" i="14"/>
  <c r="FO142" i="14"/>
  <c r="FO139" i="14"/>
  <c r="FO137" i="14"/>
  <c r="FO134" i="14"/>
  <c r="FO130" i="14"/>
  <c r="FP130" i="14"/>
  <c r="FO112" i="14"/>
  <c r="FP112" i="14"/>
  <c r="FP123" i="14"/>
  <c r="FP124" i="14"/>
  <c r="FO124" i="14" s="1"/>
  <c r="FO123" i="14"/>
  <c r="FO119" i="14"/>
  <c r="FO106" i="14"/>
  <c r="FP106" i="14"/>
  <c r="FO98" i="14"/>
  <c r="FO84" i="14"/>
  <c r="FO90" i="14"/>
  <c r="FO89" i="14"/>
  <c r="FO87" i="14"/>
  <c r="FO86" i="14"/>
  <c r="FO85" i="14"/>
  <c r="FO83" i="14"/>
  <c r="FO82" i="14"/>
  <c r="FP82" i="14"/>
  <c r="FP77" i="14"/>
  <c r="FE76" i="14"/>
  <c r="FO74" i="14"/>
  <c r="FO73" i="14"/>
  <c r="FO69" i="14"/>
  <c r="FO39" i="14"/>
  <c r="FE28" i="14"/>
  <c r="FO27" i="14"/>
  <c r="FE18" i="14"/>
  <c r="GA19" i="14" s="1"/>
  <c r="GA24" i="14" s="1"/>
  <c r="EO18" i="14"/>
  <c r="FO10" i="14"/>
  <c r="FO8" i="14"/>
  <c r="FO5" i="14"/>
  <c r="FC57" i="14"/>
  <c r="FC50" i="14"/>
  <c r="FC41" i="14"/>
  <c r="FC27" i="14"/>
  <c r="EO81" i="14"/>
  <c r="FE157" i="14"/>
  <c r="FI157" i="14"/>
  <c r="FI163" i="14" s="1"/>
  <c r="FE105" i="14"/>
  <c r="FE51" i="14"/>
  <c r="FE42" i="14"/>
  <c r="FE6" i="14"/>
  <c r="FO127" i="14"/>
  <c r="FO59" i="14"/>
  <c r="FO57" i="14"/>
  <c r="FO50" i="14"/>
  <c r="FO41" i="14"/>
  <c r="FZ11" i="14" l="1"/>
  <c r="GF51" i="14"/>
  <c r="FZ51" i="14"/>
  <c r="FZ6" i="14"/>
  <c r="FG157" i="14"/>
  <c r="FG163" i="14" s="1"/>
  <c r="FE163" i="14"/>
  <c r="GF27" i="14"/>
  <c r="FZ28" i="14"/>
  <c r="FO62" i="14"/>
  <c r="GF42" i="14"/>
  <c r="FZ42" i="14"/>
  <c r="FO71" i="14"/>
  <c r="FO76" i="14"/>
  <c r="FO128" i="14"/>
  <c r="FE19" i="14"/>
  <c r="FE24" i="14" s="1"/>
  <c r="HB104" i="14" l="1"/>
  <c r="GF28" i="14"/>
  <c r="FB150" i="14" l="1"/>
  <c r="AF117" i="9"/>
  <c r="FP39" i="14"/>
  <c r="FQ40" i="14"/>
  <c r="FB40" i="14"/>
  <c r="FI40" i="14" s="1"/>
  <c r="EU40" i="14"/>
  <c r="EZ126" i="14" l="1"/>
  <c r="EZ125" i="14"/>
  <c r="EZ124" i="14"/>
  <c r="EZ121" i="14"/>
  <c r="FB36" i="14"/>
  <c r="FI36" i="14" s="1"/>
  <c r="FQ150" i="14"/>
  <c r="EX150" i="14"/>
  <c r="EH150" i="14"/>
  <c r="EJ150" i="14"/>
  <c r="EK150" i="14"/>
  <c r="EN150" i="14"/>
  <c r="EO150" i="14"/>
  <c r="EU150" i="14"/>
  <c r="EG150" i="14"/>
  <c r="EZ77" i="14" l="1"/>
  <c r="FP164" i="14" l="1"/>
  <c r="FP149" i="14"/>
  <c r="FP142" i="14"/>
  <c r="FP139" i="14"/>
  <c r="FP138" i="14"/>
  <c r="FP137" i="14"/>
  <c r="FP134" i="14"/>
  <c r="FP127" i="14"/>
  <c r="FP121" i="14"/>
  <c r="FP120" i="14"/>
  <c r="FP126" i="14"/>
  <c r="FP125" i="14"/>
  <c r="FO125" i="14" s="1"/>
  <c r="FP122" i="14"/>
  <c r="FP119" i="14"/>
  <c r="FP102" i="14"/>
  <c r="FP98" i="14"/>
  <c r="FP90" i="14"/>
  <c r="FP89" i="14"/>
  <c r="FP87" i="14"/>
  <c r="FP86" i="14"/>
  <c r="FP85" i="14"/>
  <c r="FP84" i="14"/>
  <c r="FP83" i="14"/>
  <c r="FP74" i="14"/>
  <c r="FP73" i="14"/>
  <c r="FP69" i="14"/>
  <c r="FP59" i="14"/>
  <c r="FP57" i="14"/>
  <c r="FP50" i="14"/>
  <c r="FP41" i="14"/>
  <c r="FP33" i="14"/>
  <c r="FP27" i="14"/>
  <c r="FP10" i="14"/>
  <c r="FP150" i="14" l="1"/>
  <c r="FP118" i="14"/>
  <c r="FP113" i="14"/>
  <c r="FP72" i="14"/>
  <c r="FP37" i="14"/>
  <c r="FP40" i="14" s="1"/>
  <c r="FP8" i="14"/>
  <c r="FP5" i="14"/>
  <c r="FB18" i="14"/>
  <c r="FC162" i="14"/>
  <c r="FG162" i="14" s="1"/>
  <c r="FC161" i="14"/>
  <c r="FG161" i="14" s="1"/>
  <c r="FC160" i="14"/>
  <c r="FG160" i="14" s="1"/>
  <c r="EZ164" i="14"/>
  <c r="EZ162" i="14"/>
  <c r="EZ161" i="14"/>
  <c r="EZ160" i="14"/>
  <c r="EZ159" i="14"/>
  <c r="EZ158" i="14"/>
  <c r="EZ149" i="14"/>
  <c r="EZ142" i="14"/>
  <c r="EZ139" i="14"/>
  <c r="EZ138" i="14"/>
  <c r="EZ137" i="14"/>
  <c r="EZ134" i="14"/>
  <c r="EZ130" i="14"/>
  <c r="EZ127" i="14"/>
  <c r="EZ123" i="14"/>
  <c r="EZ119" i="14"/>
  <c r="EZ112" i="14"/>
  <c r="EZ102" i="14"/>
  <c r="EZ98" i="14"/>
  <c r="EZ97" i="14"/>
  <c r="EZ96" i="14"/>
  <c r="EZ95" i="14"/>
  <c r="EZ94" i="14"/>
  <c r="EZ93" i="14"/>
  <c r="EZ92" i="14"/>
  <c r="EZ91" i="14"/>
  <c r="EZ90" i="14"/>
  <c r="EZ89" i="14"/>
  <c r="EZ87" i="14"/>
  <c r="EZ86" i="14"/>
  <c r="EZ85" i="14"/>
  <c r="EZ84" i="14"/>
  <c r="EZ83" i="14"/>
  <c r="EZ82" i="14"/>
  <c r="EZ73" i="14"/>
  <c r="EZ59" i="14"/>
  <c r="EZ57" i="14"/>
  <c r="EZ50" i="14"/>
  <c r="EZ41" i="14"/>
  <c r="EZ27" i="14"/>
  <c r="EZ18" i="14"/>
  <c r="EZ8" i="14"/>
  <c r="EZ5" i="14"/>
  <c r="EZ69" i="14"/>
  <c r="EZ166" i="14" l="1"/>
  <c r="FP62" i="14"/>
  <c r="FV6" i="14"/>
  <c r="FU42" i="14"/>
  <c r="FV42" i="14"/>
  <c r="FV70" i="14"/>
  <c r="FU51" i="14"/>
  <c r="FV51" i="14"/>
  <c r="FU27" i="14"/>
  <c r="FV28" i="14"/>
  <c r="FU19" i="14"/>
  <c r="FV19" i="14"/>
  <c r="FV24" i="14" s="1"/>
  <c r="FW19" i="14"/>
  <c r="FY19" i="14"/>
  <c r="FY24" i="14" s="1"/>
  <c r="FU70" i="14"/>
  <c r="FI18" i="14"/>
  <c r="FP18" i="14"/>
  <c r="FC18" i="14"/>
  <c r="EZ150" i="14"/>
  <c r="GC19" i="14" l="1"/>
  <c r="FU5" i="14"/>
  <c r="FW5" i="14" s="1"/>
  <c r="FW27" i="14"/>
  <c r="FU104" i="14"/>
  <c r="GF18" i="14"/>
  <c r="FZ19" i="14"/>
  <c r="FZ24" i="14" s="1"/>
  <c r="FU28" i="14"/>
  <c r="FG18" i="14"/>
  <c r="FI79" i="14"/>
  <c r="FO18" i="14"/>
  <c r="EZ74" i="14"/>
  <c r="HB10" i="14" l="1"/>
  <c r="HB11" i="14" s="1"/>
  <c r="FU71" i="14"/>
  <c r="FU6" i="14"/>
  <c r="GK10" i="14"/>
  <c r="GF10" i="14"/>
  <c r="GF11" i="14" s="1"/>
  <c r="GF19" i="14"/>
  <c r="FW104" i="14"/>
  <c r="FW28" i="14"/>
  <c r="FW6" i="14"/>
  <c r="FW71" i="14"/>
  <c r="FG79" i="14"/>
  <c r="GM10" i="14" l="1"/>
  <c r="GM11" i="14" s="1"/>
  <c r="GK11" i="14"/>
  <c r="HB5" i="14"/>
  <c r="HB76" i="14"/>
  <c r="LF17" i="14"/>
  <c r="LF76" i="14"/>
  <c r="GK5" i="14"/>
  <c r="GF5" i="14"/>
  <c r="GF6" i="14" s="1"/>
  <c r="GF74" i="14"/>
  <c r="HB6" i="14" l="1"/>
  <c r="HB63" i="14"/>
  <c r="HB62" i="14"/>
  <c r="HB66" i="14"/>
  <c r="GK66" i="14"/>
  <c r="GK63" i="14"/>
  <c r="GK6" i="14"/>
  <c r="GK62" i="14"/>
  <c r="GF69" i="14"/>
  <c r="GF164" i="14" s="1"/>
  <c r="AF199" i="9"/>
  <c r="FB81" i="14"/>
  <c r="AG199" i="9" l="1"/>
  <c r="HB69" i="14"/>
  <c r="HB164" i="14" s="1"/>
  <c r="GF70" i="14"/>
  <c r="GF163" i="14"/>
  <c r="GK69" i="14"/>
  <c r="GK164" i="14" s="1"/>
  <c r="AI199" i="9" l="1"/>
  <c r="AK199" i="9" s="1"/>
  <c r="AH199" i="9"/>
  <c r="HB71" i="14"/>
  <c r="HB70" i="14"/>
  <c r="AE192" i="7"/>
  <c r="AE122" i="7"/>
  <c r="AE93" i="7"/>
  <c r="AE12" i="7"/>
  <c r="AK317" i="9"/>
  <c r="AK366" i="9" s="1"/>
  <c r="AK406" i="9" s="1"/>
  <c r="AK24" i="9"/>
  <c r="AF19" i="8"/>
  <c r="AK197" i="9" l="1"/>
  <c r="AJ199" i="9"/>
  <c r="AK45" i="9"/>
  <c r="AL560" i="9" l="1"/>
  <c r="D6" i="59" s="1"/>
  <c r="AM199" i="9"/>
  <c r="AN199" i="9" s="1"/>
  <c r="AO199" i="9" s="1"/>
  <c r="AP199" i="9" s="1"/>
  <c r="AD237" i="9"/>
  <c r="JW110" i="14" l="1"/>
  <c r="JU110" i="14" s="1"/>
  <c r="FM23" i="14"/>
  <c r="FM22" i="14"/>
  <c r="JX106" i="14" l="1"/>
  <c r="JW106" i="14" s="1"/>
  <c r="JU106" i="14" s="1"/>
  <c r="EX107" i="14"/>
  <c r="EX81" i="14"/>
  <c r="EZ81" i="14" s="1"/>
  <c r="EX157" i="14"/>
  <c r="EZ157" i="14" s="1"/>
  <c r="EZ163" i="14" s="1"/>
  <c r="EX105" i="14"/>
  <c r="EZ105" i="14" s="1"/>
  <c r="FM90" i="14"/>
  <c r="FM18" i="14" l="1"/>
  <c r="FN128" i="14"/>
  <c r="FM102" i="14"/>
  <c r="FP104" i="14"/>
  <c r="FN104" i="14"/>
  <c r="FM162" i="14"/>
  <c r="FM161" i="14"/>
  <c r="FM160" i="14"/>
  <c r="FM159" i="14"/>
  <c r="FM158" i="14"/>
  <c r="FM149" i="14"/>
  <c r="FM142" i="14"/>
  <c r="FM139" i="14"/>
  <c r="FM137" i="14"/>
  <c r="FM134" i="14"/>
  <c r="FM130" i="14"/>
  <c r="FM127" i="14"/>
  <c r="FM126" i="14"/>
  <c r="FM125" i="14"/>
  <c r="FM124" i="14"/>
  <c r="FM123" i="14"/>
  <c r="FM122" i="14"/>
  <c r="FM121" i="14"/>
  <c r="FM120" i="14"/>
  <c r="FM119" i="14"/>
  <c r="FM118" i="14"/>
  <c r="FM113" i="14"/>
  <c r="FM112" i="14"/>
  <c r="FM111" i="14"/>
  <c r="FM108" i="14"/>
  <c r="FM107" i="14"/>
  <c r="FM106" i="14"/>
  <c r="FM98" i="14"/>
  <c r="FM89" i="14"/>
  <c r="FM87" i="14"/>
  <c r="FM86" i="14"/>
  <c r="FM85" i="14"/>
  <c r="FM84" i="14"/>
  <c r="FM83" i="14"/>
  <c r="FM82" i="14"/>
  <c r="FM77" i="14"/>
  <c r="FM74" i="14"/>
  <c r="FM73" i="14"/>
  <c r="FM69" i="14"/>
  <c r="FM59" i="14"/>
  <c r="FM57" i="14"/>
  <c r="FM50" i="14"/>
  <c r="FM41" i="14"/>
  <c r="FM27" i="14"/>
  <c r="FM10" i="14"/>
  <c r="FM8" i="14"/>
  <c r="FM5" i="14"/>
  <c r="FM79" i="14" l="1"/>
  <c r="FM62" i="14"/>
  <c r="FM17" i="14"/>
  <c r="FM128" i="14"/>
  <c r="FM104" i="14"/>
  <c r="FM76" i="14"/>
  <c r="FM71" i="14"/>
  <c r="T54" i="7" l="1"/>
  <c r="EX76" i="14" l="1"/>
  <c r="FB79" i="14"/>
  <c r="EX79" i="14"/>
  <c r="FN105" i="14"/>
  <c r="FC112" i="14"/>
  <c r="FG112" i="14" s="1"/>
  <c r="FE129" i="14"/>
  <c r="FB129" i="14"/>
  <c r="EX129" i="14"/>
  <c r="FB128" i="14"/>
  <c r="EX128" i="14"/>
  <c r="FE128" i="14" l="1"/>
  <c r="FC159" i="14"/>
  <c r="FG159" i="14" s="1"/>
  <c r="FC158" i="14"/>
  <c r="FG158" i="14" s="1"/>
  <c r="FC149" i="14"/>
  <c r="FC142" i="14"/>
  <c r="FZ143" i="14" s="1"/>
  <c r="FJ139" i="14"/>
  <c r="FC139" i="14"/>
  <c r="FG139" i="14" s="1"/>
  <c r="FJ137" i="14"/>
  <c r="FC137" i="14"/>
  <c r="FG137" i="14" s="1"/>
  <c r="FJ134" i="14"/>
  <c r="FC134" i="14"/>
  <c r="FG134" i="14" s="1"/>
  <c r="FJ130" i="14"/>
  <c r="FH130" i="14"/>
  <c r="FC130" i="14"/>
  <c r="FG130" i="14" s="1"/>
  <c r="FC129" i="14"/>
  <c r="EZ129" i="14"/>
  <c r="FC127" i="14"/>
  <c r="EZ128" i="14"/>
  <c r="FC123" i="14"/>
  <c r="FG123" i="14" s="1"/>
  <c r="FC119" i="14"/>
  <c r="FG119" i="14" s="1"/>
  <c r="FJ98" i="14"/>
  <c r="FH98" i="14"/>
  <c r="FC98" i="14"/>
  <c r="FG98" i="14" s="1"/>
  <c r="FJ97" i="14"/>
  <c r="FH97" i="14"/>
  <c r="FC97" i="14"/>
  <c r="FJ96" i="14"/>
  <c r="FH96" i="14"/>
  <c r="FC96" i="14"/>
  <c r="FJ95" i="14"/>
  <c r="FH95" i="14"/>
  <c r="FC95" i="14"/>
  <c r="FJ92" i="14"/>
  <c r="FH92" i="14"/>
  <c r="FJ91" i="14"/>
  <c r="FJ90" i="14"/>
  <c r="FH90" i="14"/>
  <c r="FJ89" i="14"/>
  <c r="FC89" i="14"/>
  <c r="FG89" i="14" s="1"/>
  <c r="FJ87" i="14"/>
  <c r="FH87" i="14"/>
  <c r="FJ86" i="14"/>
  <c r="FH86" i="14"/>
  <c r="FJ85" i="14"/>
  <c r="FC85" i="14"/>
  <c r="FG85" i="14" s="1"/>
  <c r="FJ84" i="14"/>
  <c r="FH84" i="14"/>
  <c r="FJ83" i="14"/>
  <c r="FH83" i="14"/>
  <c r="FJ82" i="14"/>
  <c r="FC82" i="14"/>
  <c r="FG82" i="14" s="1"/>
  <c r="FC81" i="14"/>
  <c r="FC77" i="14"/>
  <c r="FO77" i="14" s="1"/>
  <c r="FC74" i="14"/>
  <c r="FC73" i="14"/>
  <c r="FC66" i="14"/>
  <c r="EZ66" i="14"/>
  <c r="FC63" i="14"/>
  <c r="EZ63" i="14"/>
  <c r="FJ61" i="14"/>
  <c r="FH61" i="14"/>
  <c r="FC61" i="14"/>
  <c r="EZ61" i="14"/>
  <c r="FC59" i="14"/>
  <c r="FB51" i="14"/>
  <c r="EX51" i="14"/>
  <c r="FJ47" i="14"/>
  <c r="FH47" i="14"/>
  <c r="FE47" i="14"/>
  <c r="FC47" i="14"/>
  <c r="FB47" i="14"/>
  <c r="EZ47" i="14"/>
  <c r="FJ44" i="14"/>
  <c r="FH44" i="14"/>
  <c r="FE44" i="14"/>
  <c r="FC44" i="14"/>
  <c r="FB44" i="14"/>
  <c r="EZ44" i="14"/>
  <c r="FB34" i="14"/>
  <c r="EX28" i="14"/>
  <c r="FC150" i="14" l="1"/>
  <c r="FZ151" i="14"/>
  <c r="FZ61" i="14"/>
  <c r="FC62" i="14"/>
  <c r="FO79" i="14"/>
  <c r="FB76" i="14"/>
  <c r="EZ10" i="14"/>
  <c r="EZ79" i="14"/>
  <c r="FC128" i="14"/>
  <c r="EX68" i="14"/>
  <c r="EX42" i="14"/>
  <c r="FB42" i="14"/>
  <c r="FB28" i="14"/>
  <c r="EZ62" i="14" l="1"/>
  <c r="FV11" i="14"/>
  <c r="FU11" i="14"/>
  <c r="EZ76" i="14"/>
  <c r="EZ17" i="14"/>
  <c r="EX65" i="14"/>
  <c r="EX6" i="14"/>
  <c r="FB65" i="14"/>
  <c r="FB68" i="14"/>
  <c r="FB6" i="14"/>
  <c r="EZ65" i="14" l="1"/>
  <c r="EZ68" i="14"/>
  <c r="FQ61" i="14"/>
  <c r="FO61" i="14" s="1"/>
  <c r="ES122" i="14"/>
  <c r="ES121" i="14"/>
  <c r="ES120" i="14"/>
  <c r="EU36" i="14"/>
  <c r="EU61" i="14" l="1"/>
  <c r="EO61" i="14"/>
  <c r="AJ56" i="7" l="1"/>
  <c r="AJ62" i="7" s="1"/>
  <c r="AI56" i="7"/>
  <c r="AH56" i="7"/>
  <c r="AG56" i="7"/>
  <c r="AF56" i="7"/>
  <c r="AL24" i="9" s="1"/>
  <c r="Z207" i="7" l="1"/>
  <c r="AC216" i="9" l="1"/>
  <c r="AI130" i="7" l="1"/>
  <c r="AJ130" i="7" s="1"/>
  <c r="AD216" i="9"/>
  <c r="AC117" i="9"/>
  <c r="AE216" i="9" l="1"/>
  <c r="AF216" i="9" s="1"/>
  <c r="X47" i="8"/>
  <c r="X8" i="8" l="1"/>
  <c r="X7" i="8"/>
  <c r="FN129" i="14"/>
  <c r="FM129" i="14" s="1"/>
  <c r="FN157" i="14"/>
  <c r="FQ81" i="14"/>
  <c r="FP81" i="14" s="1"/>
  <c r="FN81" i="14"/>
  <c r="FM81" i="14" s="1"/>
  <c r="FN79" i="14"/>
  <c r="FN76" i="14"/>
  <c r="FN28" i="14"/>
  <c r="FN17" i="14"/>
  <c r="FQ129" i="14"/>
  <c r="FP129" i="14" s="1"/>
  <c r="FQ107" i="14"/>
  <c r="FM157" i="14" l="1"/>
  <c r="FM163" i="14" s="1"/>
  <c r="FN163" i="14"/>
  <c r="FQ157" i="14"/>
  <c r="FQ163" i="14" s="1"/>
  <c r="FP157" i="14" l="1"/>
  <c r="FP163" i="14" s="1"/>
  <c r="FO157" i="14"/>
  <c r="Z4" i="9"/>
  <c r="AA4" i="9" s="1"/>
  <c r="AB4" i="9" s="1"/>
  <c r="AC4" i="9" s="1"/>
  <c r="EU129" i="14"/>
  <c r="EU128" i="14"/>
  <c r="JH127" i="14" l="1"/>
  <c r="Y219" i="7"/>
  <c r="Y218" i="7"/>
  <c r="Y215" i="7"/>
  <c r="Y212" i="7"/>
  <c r="Y210" i="7"/>
  <c r="Y206" i="7"/>
  <c r="Y204" i="7"/>
  <c r="Y202" i="7"/>
  <c r="Y201" i="7"/>
  <c r="Y200" i="7"/>
  <c r="Y198" i="7"/>
  <c r="Y178" i="7"/>
  <c r="Y177" i="7"/>
  <c r="Y174" i="7"/>
  <c r="Y173" i="7"/>
  <c r="Y170" i="7"/>
  <c r="Y169" i="7"/>
  <c r="Y166" i="7"/>
  <c r="Y165" i="7"/>
  <c r="Y157" i="7"/>
  <c r="Y156" i="7"/>
  <c r="Y154" i="7"/>
  <c r="Y153" i="7"/>
  <c r="Y152" i="7"/>
  <c r="Y150" i="7"/>
  <c r="Y134" i="7"/>
  <c r="Y133" i="7"/>
  <c r="Y116" i="7"/>
  <c r="Y114" i="7"/>
  <c r="Y113" i="7"/>
  <c r="Y112" i="7"/>
  <c r="Y111" i="7"/>
  <c r="Y90" i="7"/>
  <c r="Y88" i="7"/>
  <c r="EU169" i="14" s="1"/>
  <c r="Y87" i="7"/>
  <c r="Y85" i="7"/>
  <c r="Y84" i="7"/>
  <c r="Y76" i="7"/>
  <c r="Y75" i="7"/>
  <c r="Y74" i="7"/>
  <c r="Y73" i="7"/>
  <c r="Y71" i="7"/>
  <c r="Y68" i="7"/>
  <c r="Y66" i="7"/>
  <c r="Y65" i="7"/>
  <c r="Y64" i="7"/>
  <c r="Y54" i="7"/>
  <c r="Y52" i="7"/>
  <c r="Y35" i="7"/>
  <c r="Y33" i="7"/>
  <c r="Y27" i="7"/>
  <c r="Y26" i="7"/>
  <c r="Y19" i="7"/>
  <c r="Y21" i="7" s="1"/>
  <c r="Y14" i="7"/>
  <c r="Y3" i="7"/>
  <c r="Y240" i="13"/>
  <c r="Y216" i="7" s="1"/>
  <c r="Y173" i="13"/>
  <c r="Y151" i="7" s="1"/>
  <c r="Y114" i="13"/>
  <c r="Y131" i="7" s="1"/>
  <c r="Y99" i="13"/>
  <c r="Y126" i="7" s="1"/>
  <c r="Y22" i="13"/>
  <c r="Y24" i="13" s="1"/>
  <c r="Y117" i="7" s="1"/>
  <c r="Y255" i="13"/>
  <c r="Y221" i="7" s="1"/>
  <c r="Y245" i="13"/>
  <c r="Y217" i="7" s="1"/>
  <c r="Y223" i="13"/>
  <c r="Y227" i="13" s="1"/>
  <c r="Y210" i="13"/>
  <c r="Y202" i="13"/>
  <c r="Y201" i="13"/>
  <c r="Y199" i="13"/>
  <c r="Y197" i="13"/>
  <c r="Y189" i="13"/>
  <c r="Y165" i="13" s="1"/>
  <c r="Y163" i="13" s="1"/>
  <c r="Y179" i="13"/>
  <c r="Y157" i="13"/>
  <c r="Y145" i="7" s="1"/>
  <c r="Y145" i="13"/>
  <c r="Y141" i="13"/>
  <c r="Y140" i="7" s="1"/>
  <c r="Y131" i="13"/>
  <c r="Y123" i="13"/>
  <c r="Y136" i="7" s="1"/>
  <c r="Y119" i="13"/>
  <c r="Y103" i="13"/>
  <c r="Y125" i="7" s="1"/>
  <c r="Y97" i="13"/>
  <c r="Y124" i="7" s="1"/>
  <c r="Y79" i="13"/>
  <c r="Y81" i="7" s="1"/>
  <c r="Y78" i="13"/>
  <c r="Y80" i="7" s="1"/>
  <c r="Y54" i="13"/>
  <c r="Y60" i="7" s="1"/>
  <c r="Y50" i="13"/>
  <c r="Y57" i="7" s="1"/>
  <c r="Y40" i="13"/>
  <c r="Y33" i="13"/>
  <c r="Y29" i="13" s="1"/>
  <c r="Y30" i="7" s="1"/>
  <c r="Y13" i="13"/>
  <c r="Y16" i="13" s="1"/>
  <c r="EU157" i="14"/>
  <c r="FQ105" i="14"/>
  <c r="FP105" i="14" s="1"/>
  <c r="EU105" i="14"/>
  <c r="EU76" i="14"/>
  <c r="EU68" i="14"/>
  <c r="EU65" i="14"/>
  <c r="EU38" i="14"/>
  <c r="EU34" i="14"/>
  <c r="EU18" i="14"/>
  <c r="ES22" i="14"/>
  <c r="M42" i="11"/>
  <c r="M41" i="11"/>
  <c r="M40" i="11"/>
  <c r="M39" i="11"/>
  <c r="M38" i="11"/>
  <c r="M37" i="11"/>
  <c r="M35" i="11"/>
  <c r="M34" i="11"/>
  <c r="M29" i="11"/>
  <c r="M25" i="11"/>
  <c r="M22" i="11"/>
  <c r="M21" i="11"/>
  <c r="M20" i="11"/>
  <c r="M43" i="11" l="1"/>
  <c r="AD17" i="7"/>
  <c r="AB16" i="7"/>
  <c r="Y6" i="7"/>
  <c r="Y5" i="7"/>
  <c r="EU166" i="14"/>
  <c r="EI169" i="14"/>
  <c r="EM169" i="14"/>
  <c r="EG169" i="14"/>
  <c r="Y161" i="13"/>
  <c r="Y160" i="13" s="1"/>
  <c r="BB40" i="11"/>
  <c r="Y230" i="13"/>
  <c r="JH129" i="14"/>
  <c r="Y56" i="13"/>
  <c r="Y203" i="13"/>
  <c r="Y212" i="13" s="1"/>
  <c r="Y113" i="13"/>
  <c r="Y130" i="7" s="1"/>
  <c r="Y115" i="7"/>
  <c r="Y209" i="7"/>
  <c r="Y211" i="7" s="1"/>
  <c r="Y183" i="13"/>
  <c r="Y89" i="7"/>
  <c r="Y149" i="13"/>
  <c r="Y142" i="7" s="1"/>
  <c r="Y146" i="7"/>
  <c r="Y158" i="7"/>
  <c r="Y23" i="7"/>
  <c r="Y141" i="7"/>
  <c r="Y195" i="7"/>
  <c r="Y197" i="7"/>
  <c r="Y207" i="7"/>
  <c r="Y28" i="7"/>
  <c r="Z29" i="7" s="1"/>
  <c r="Y98" i="7"/>
  <c r="Z15" i="7"/>
  <c r="EU79" i="14"/>
  <c r="FK19" i="14"/>
  <c r="FK24" i="14" s="1"/>
  <c r="Y176" i="7"/>
  <c r="Y214" i="7"/>
  <c r="Y181" i="7"/>
  <c r="Y135" i="7"/>
  <c r="Y155" i="7"/>
  <c r="Y199" i="7"/>
  <c r="Y196" i="7"/>
  <c r="Y168" i="7"/>
  <c r="Y172" i="7"/>
  <c r="Y225" i="7"/>
  <c r="Y102" i="7"/>
  <c r="Y104" i="7"/>
  <c r="Y86" i="7"/>
  <c r="Y97" i="7"/>
  <c r="Y180" i="7"/>
  <c r="Y164" i="7"/>
  <c r="Y226" i="7"/>
  <c r="Y100" i="7"/>
  <c r="Y72" i="7"/>
  <c r="Y194" i="7"/>
  <c r="Y182" i="7"/>
  <c r="Y36" i="7"/>
  <c r="Y99" i="7"/>
  <c r="Y56" i="7"/>
  <c r="Y105" i="7"/>
  <c r="Y107" i="7"/>
  <c r="Y106" i="7"/>
  <c r="Y251" i="13"/>
  <c r="Y148" i="13"/>
  <c r="Y129" i="13"/>
  <c r="Y127" i="13" s="1"/>
  <c r="Y106" i="13"/>
  <c r="Y107" i="13"/>
  <c r="Y127" i="7" s="1"/>
  <c r="Y44" i="13"/>
  <c r="FQ51" i="14"/>
  <c r="FQ42" i="14"/>
  <c r="FQ38" i="14"/>
  <c r="FQ34" i="14"/>
  <c r="FQ28" i="14"/>
  <c r="FQ19" i="14"/>
  <c r="FQ24" i="14" s="1"/>
  <c r="FQ6" i="14"/>
  <c r="FN6" i="14"/>
  <c r="FL159" i="14"/>
  <c r="FH159" i="14" s="1"/>
  <c r="FL158" i="14"/>
  <c r="FL123" i="14"/>
  <c r="FL119" i="14"/>
  <c r="FH119" i="14" s="1"/>
  <c r="FL23" i="14"/>
  <c r="FL22" i="14"/>
  <c r="FL17" i="14"/>
  <c r="Z227" i="7" l="1"/>
  <c r="Y40" i="7"/>
  <c r="AD39" i="7"/>
  <c r="AB38" i="7"/>
  <c r="EU69" i="14"/>
  <c r="EU168" i="14"/>
  <c r="Y24" i="7"/>
  <c r="AC14" i="9"/>
  <c r="Y187" i="7"/>
  <c r="Y143" i="7"/>
  <c r="Y36" i="13"/>
  <c r="Y147" i="7"/>
  <c r="Y184" i="7"/>
  <c r="Y101" i="7"/>
  <c r="Y132" i="7"/>
  <c r="Y186" i="7"/>
  <c r="Y96" i="7"/>
  <c r="Z55" i="7"/>
  <c r="Y126" i="13"/>
  <c r="Y137" i="7"/>
  <c r="Y128" i="7"/>
  <c r="Y220" i="7"/>
  <c r="Y103" i="7"/>
  <c r="Y203" i="7"/>
  <c r="FJ159" i="14"/>
  <c r="FJ119" i="14"/>
  <c r="FJ158" i="14"/>
  <c r="FH158" i="14"/>
  <c r="Y62" i="7"/>
  <c r="Y61" i="7" s="1"/>
  <c r="FJ123" i="14"/>
  <c r="FH123" i="14"/>
  <c r="Y188" i="7" l="1"/>
  <c r="EU170" i="14"/>
  <c r="EM168" i="14"/>
  <c r="EI168" i="14"/>
  <c r="EG168" i="14"/>
  <c r="FK70" i="14"/>
  <c r="FQ70" i="14"/>
  <c r="Y148" i="7"/>
  <c r="Y185" i="7"/>
  <c r="Y138" i="7"/>
  <c r="EQ164" i="14"/>
  <c r="EQ163" i="14"/>
  <c r="EQ162" i="14"/>
  <c r="EQ161" i="14"/>
  <c r="EQ160" i="14"/>
  <c r="EQ159" i="14"/>
  <c r="EQ158" i="14"/>
  <c r="EQ149" i="14"/>
  <c r="EQ142" i="14"/>
  <c r="EQ139" i="14"/>
  <c r="EQ137" i="14"/>
  <c r="EQ134" i="14"/>
  <c r="EQ130" i="14"/>
  <c r="EQ127" i="14"/>
  <c r="FG129" i="14" s="1"/>
  <c r="EQ123" i="14"/>
  <c r="EQ119" i="14"/>
  <c r="EQ112" i="14"/>
  <c r="EQ106" i="14"/>
  <c r="EQ97" i="14"/>
  <c r="EQ102" i="14"/>
  <c r="FG105" i="14" s="1"/>
  <c r="EQ98" i="14"/>
  <c r="EQ91" i="14"/>
  <c r="EQ90" i="14"/>
  <c r="EQ89" i="14"/>
  <c r="EQ85" i="14"/>
  <c r="EQ82" i="14"/>
  <c r="EQ77" i="14"/>
  <c r="EQ74" i="14"/>
  <c r="EQ73" i="14"/>
  <c r="EQ69" i="14"/>
  <c r="EQ66" i="14"/>
  <c r="EQ63" i="14"/>
  <c r="EQ59" i="14"/>
  <c r="EQ57" i="14"/>
  <c r="EQ50" i="14"/>
  <c r="EQ41" i="14"/>
  <c r="EQ27" i="14"/>
  <c r="EQ10" i="14"/>
  <c r="EQ8" i="14"/>
  <c r="ES164" i="14"/>
  <c r="ES163" i="14"/>
  <c r="ES162" i="14"/>
  <c r="ES161" i="14"/>
  <c r="ES160" i="14"/>
  <c r="ES159" i="14"/>
  <c r="ES158" i="14"/>
  <c r="ES149" i="14"/>
  <c r="ES142" i="14"/>
  <c r="ES127" i="14"/>
  <c r="FI129" i="14" s="1"/>
  <c r="ES126" i="14"/>
  <c r="EQ126" i="14" s="1"/>
  <c r="ES125" i="14"/>
  <c r="EQ125" i="14" s="1"/>
  <c r="ES124" i="14"/>
  <c r="EQ124" i="14" s="1"/>
  <c r="ES123" i="14"/>
  <c r="ES119" i="14"/>
  <c r="ES112" i="14"/>
  <c r="ES106" i="14"/>
  <c r="ES102" i="14"/>
  <c r="FI105" i="14" s="1"/>
  <c r="ES98" i="14"/>
  <c r="ES91" i="14"/>
  <c r="ES90" i="14"/>
  <c r="ES89" i="14"/>
  <c r="ES87" i="14"/>
  <c r="ES86" i="14"/>
  <c r="ES85" i="14"/>
  <c r="ES82" i="14"/>
  <c r="ES77" i="14"/>
  <c r="FI81" i="14" s="1"/>
  <c r="ES74" i="14"/>
  <c r="ES73" i="14"/>
  <c r="ES69" i="14"/>
  <c r="FI70" i="14" s="1"/>
  <c r="ES66" i="14"/>
  <c r="ES63" i="14"/>
  <c r="ES59" i="14"/>
  <c r="ES57" i="14"/>
  <c r="ES50" i="14"/>
  <c r="FI51" i="14" s="1"/>
  <c r="ES41" i="14"/>
  <c r="FI42" i="14" s="1"/>
  <c r="ES33" i="14"/>
  <c r="FI34" i="14" s="1"/>
  <c r="ES27" i="14"/>
  <c r="ES10" i="14"/>
  <c r="ES8" i="14"/>
  <c r="ES5" i="14"/>
  <c r="EQ5" i="14"/>
  <c r="Y160" i="7" l="1"/>
  <c r="EI170" i="14"/>
  <c r="EM170" i="14"/>
  <c r="EG170" i="14"/>
  <c r="EG166" i="14" s="1"/>
  <c r="FI11" i="14"/>
  <c r="FP11" i="14"/>
  <c r="FG11" i="14"/>
  <c r="FO11" i="14"/>
  <c r="ES62" i="14"/>
  <c r="EQ62" i="14"/>
  <c r="FI28" i="14"/>
  <c r="FI107" i="14"/>
  <c r="FO81" i="14"/>
  <c r="FG81" i="14"/>
  <c r="FP6" i="14"/>
  <c r="FI6" i="14"/>
  <c r="FO6" i="14"/>
  <c r="FG6" i="14"/>
  <c r="FO28" i="14"/>
  <c r="FG28" i="14"/>
  <c r="FO51" i="14"/>
  <c r="FG51" i="14"/>
  <c r="FO42" i="14"/>
  <c r="FG42" i="14"/>
  <c r="FO70" i="14"/>
  <c r="FG70" i="14"/>
  <c r="EQ150" i="14"/>
  <c r="ES150" i="14"/>
  <c r="ES76" i="14"/>
  <c r="EQ76" i="14"/>
  <c r="ES68" i="14"/>
  <c r="EQ65" i="14"/>
  <c r="ES65" i="14"/>
  <c r="EQ68" i="14"/>
  <c r="AD212" i="9" l="1"/>
  <c r="AC212" i="9"/>
  <c r="AF90" i="7" l="1"/>
  <c r="AG90" i="7" l="1"/>
  <c r="AF87" i="7"/>
  <c r="AF84" i="7" l="1"/>
  <c r="AH90" i="7"/>
  <c r="AG87" i="7"/>
  <c r="AG84" i="7" l="1"/>
  <c r="AI90" i="7"/>
  <c r="AH87" i="7"/>
  <c r="AB114" i="9"/>
  <c r="AH84" i="7" l="1"/>
  <c r="AJ90" i="7"/>
  <c r="AI87" i="7"/>
  <c r="AI84" i="7" l="1"/>
  <c r="AJ87" i="7"/>
  <c r="AJ84" i="7" l="1"/>
  <c r="AG19" i="8"/>
  <c r="AF7" i="8"/>
  <c r="JH21" i="14" s="1"/>
  <c r="AF47" i="8"/>
  <c r="AB112" i="9"/>
  <c r="AC119" i="9"/>
  <c r="AC116" i="9" s="1"/>
  <c r="AE212" i="9"/>
  <c r="AL105" i="9" l="1"/>
  <c r="AG7" i="8"/>
  <c r="AG115" i="9"/>
  <c r="AC114" i="9"/>
  <c r="AD114" i="9" s="1"/>
  <c r="AD119" i="9"/>
  <c r="AP105" i="9" l="1"/>
  <c r="AI115" i="9"/>
  <c r="AK115" i="9" s="1"/>
  <c r="AL115" i="9" s="1"/>
  <c r="AM115" i="9" s="1"/>
  <c r="AN115" i="9" s="1"/>
  <c r="AO115" i="9" s="1"/>
  <c r="AP115" i="9" s="1"/>
  <c r="AH115" i="9"/>
  <c r="AO105" i="9"/>
  <c r="AH19" i="8"/>
  <c r="AN105" i="9"/>
  <c r="AM105" i="9"/>
  <c r="AG117" i="9"/>
  <c r="AH117" i="9" s="1"/>
  <c r="AC112" i="9"/>
  <c r="AC113" i="9" s="1"/>
  <c r="AE119" i="9"/>
  <c r="AF119" i="9" s="1"/>
  <c r="AD116" i="9"/>
  <c r="AD112" i="9" s="1"/>
  <c r="AE114" i="9"/>
  <c r="AF114" i="9" s="1"/>
  <c r="AJ115" i="9" l="1"/>
  <c r="AI117" i="9"/>
  <c r="AG114" i="9"/>
  <c r="AI114" i="9" s="1"/>
  <c r="AK114" i="9" s="1"/>
  <c r="AL114" i="9" s="1"/>
  <c r="AM114" i="9" s="1"/>
  <c r="AN114" i="9" s="1"/>
  <c r="AO114" i="9" s="1"/>
  <c r="AP114" i="9" s="1"/>
  <c r="AG119" i="9"/>
  <c r="AJ7" i="8"/>
  <c r="AI7" i="8"/>
  <c r="AF116" i="9"/>
  <c r="AF112" i="9" s="1"/>
  <c r="AE116" i="9"/>
  <c r="AE112" i="9" s="1"/>
  <c r="AD113" i="9"/>
  <c r="AJ117" i="9" l="1"/>
  <c r="AK117" i="9"/>
  <c r="AL117" i="9" s="1"/>
  <c r="AM117" i="9" s="1"/>
  <c r="AN117" i="9" s="1"/>
  <c r="AO117" i="9" s="1"/>
  <c r="AP117" i="9" s="1"/>
  <c r="AI119" i="9"/>
  <c r="AI116" i="9" s="1"/>
  <c r="AI112" i="9" s="1"/>
  <c r="AH119" i="9"/>
  <c r="AH116" i="9" s="1"/>
  <c r="AH114" i="9"/>
  <c r="AG116" i="9"/>
  <c r="AG112" i="9" s="1"/>
  <c r="AG113" i="9" s="1"/>
  <c r="AJ114" i="9"/>
  <c r="AE113" i="9"/>
  <c r="AF113" i="9"/>
  <c r="AH112" i="9" l="1"/>
  <c r="AH113" i="9" s="1"/>
  <c r="AK119" i="9"/>
  <c r="AL119" i="9" s="1"/>
  <c r="AL118" i="9" s="1"/>
  <c r="AL116" i="9" s="1"/>
  <c r="AJ119" i="9"/>
  <c r="AJ116" i="9" s="1"/>
  <c r="AJ112" i="9" s="1"/>
  <c r="AJ113" i="9" s="1"/>
  <c r="AI113" i="9"/>
  <c r="AI51" i="9"/>
  <c r="AG51" i="9"/>
  <c r="AF51" i="9"/>
  <c r="AE51" i="9"/>
  <c r="AD51" i="9"/>
  <c r="AC51" i="9"/>
  <c r="AK118" i="9" l="1"/>
  <c r="AK116" i="9" s="1"/>
  <c r="AK112" i="9" s="1"/>
  <c r="AK113" i="9" s="1"/>
  <c r="ER123" i="14"/>
  <c r="AC214" i="9"/>
  <c r="AC237" i="9"/>
  <c r="EO35" i="14" l="1"/>
  <c r="EQ35" i="14" s="1"/>
  <c r="EO126" i="14" l="1"/>
  <c r="EO125" i="14"/>
  <c r="EO124" i="14"/>
  <c r="EO23" i="14"/>
  <c r="EO22" i="14"/>
  <c r="EO21" i="14"/>
  <c r="EO87" i="14"/>
  <c r="EQ87" i="14" s="1"/>
  <c r="EO86" i="14"/>
  <c r="EQ86" i="14" s="1"/>
  <c r="EP149" i="14" l="1"/>
  <c r="EP142" i="14"/>
  <c r="EP127" i="14"/>
  <c r="EP102" i="14"/>
  <c r="EP73" i="14"/>
  <c r="EP59" i="14"/>
  <c r="EP57" i="14"/>
  <c r="EP8" i="14"/>
  <c r="EO157" i="14"/>
  <c r="EQ157" i="14" s="1"/>
  <c r="EO6" i="14"/>
  <c r="FE79" i="14" l="1"/>
  <c r="EP150" i="14"/>
  <c r="EO79" i="14"/>
  <c r="EQ18" i="14"/>
  <c r="FG19" i="14" s="1"/>
  <c r="FG24" i="14" s="1"/>
  <c r="FN138" i="14"/>
  <c r="FM138" i="14" s="1"/>
  <c r="EQ79" i="14" l="1"/>
  <c r="FO19" i="14"/>
  <c r="FC79" i="14"/>
  <c r="FC76" i="14"/>
  <c r="FP51" i="14"/>
  <c r="FN51" i="14"/>
  <c r="FP42" i="14"/>
  <c r="FN42" i="14"/>
  <c r="FP28" i="14"/>
  <c r="FN70" i="14"/>
  <c r="FP70" i="14"/>
  <c r="FN71" i="14"/>
  <c r="FE68" i="14" l="1"/>
  <c r="FE65" i="14"/>
  <c r="FC68" i="14" l="1"/>
  <c r="FC65" i="14"/>
  <c r="EO129" i="14"/>
  <c r="EQ129" i="14" s="1"/>
  <c r="EK107" i="14"/>
  <c r="EO105" i="14"/>
  <c r="EN17" i="14"/>
  <c r="EQ105" i="14" l="1"/>
  <c r="EM164" i="14"/>
  <c r="EM162" i="14"/>
  <c r="EM161" i="14"/>
  <c r="EM160" i="14"/>
  <c r="EM159" i="14"/>
  <c r="EM158" i="14"/>
  <c r="EM149" i="14"/>
  <c r="EM142" i="14"/>
  <c r="EM139" i="14"/>
  <c r="EM137" i="14"/>
  <c r="EM134" i="14"/>
  <c r="EM130" i="14"/>
  <c r="EM127" i="14"/>
  <c r="EM123" i="14"/>
  <c r="EM122" i="14"/>
  <c r="EQ122" i="14" s="1"/>
  <c r="EM121" i="14"/>
  <c r="EQ121" i="14" s="1"/>
  <c r="EM120" i="14"/>
  <c r="EQ120" i="14" s="1"/>
  <c r="EM119" i="14"/>
  <c r="EM112" i="14"/>
  <c r="EM106" i="14"/>
  <c r="EM102" i="14"/>
  <c r="EM98" i="14"/>
  <c r="EM97" i="14"/>
  <c r="EM91" i="14"/>
  <c r="EM90" i="14"/>
  <c r="EM89" i="14"/>
  <c r="EM85" i="14"/>
  <c r="EM82" i="14"/>
  <c r="EM77" i="14"/>
  <c r="EM74" i="14"/>
  <c r="EM73" i="14"/>
  <c r="EM69" i="14"/>
  <c r="EM66" i="14"/>
  <c r="EM63" i="14"/>
  <c r="EM59" i="14"/>
  <c r="EM57" i="14"/>
  <c r="EM50" i="14"/>
  <c r="FC51" i="14" s="1"/>
  <c r="EM41" i="14"/>
  <c r="FC42" i="14" s="1"/>
  <c r="EM27" i="14"/>
  <c r="FC28" i="14" s="1"/>
  <c r="EM10" i="14"/>
  <c r="EM8" i="14"/>
  <c r="EM5" i="14"/>
  <c r="EO68" i="14"/>
  <c r="EO65" i="14"/>
  <c r="EM166" i="14" l="1"/>
  <c r="FC11" i="14"/>
  <c r="EM62" i="14"/>
  <c r="FC6" i="14"/>
  <c r="EM150" i="14"/>
  <c r="EM68" i="14"/>
  <c r="EM65" i="14"/>
  <c r="AD214" i="9" l="1"/>
  <c r="EK129" i="14"/>
  <c r="EP105" i="14"/>
  <c r="ES129" i="14" l="1"/>
  <c r="EM129" i="14"/>
  <c r="AI317" i="9" l="1"/>
  <c r="AI366" i="9" s="1"/>
  <c r="AI406" i="9" s="1"/>
  <c r="AI24" i="9"/>
  <c r="AD47" i="8"/>
  <c r="AD19" i="8"/>
  <c r="AC72" i="9" l="1"/>
  <c r="EK61" i="14" l="1"/>
  <c r="EK36" i="14" l="1"/>
  <c r="ES36" i="14" s="1"/>
  <c r="EK34" i="14"/>
  <c r="EK37" i="14"/>
  <c r="FB38" i="14" s="1"/>
  <c r="EK38" i="14" l="1"/>
  <c r="ES37" i="14"/>
  <c r="FI38" i="14" s="1"/>
  <c r="EL37" i="14"/>
  <c r="X59" i="8" l="1"/>
  <c r="EK105" i="14" l="1"/>
  <c r="EK81" i="14"/>
  <c r="FQ17" i="14"/>
  <c r="FP17" i="14" l="1"/>
  <c r="FO17" i="14" s="1"/>
  <c r="ES105" i="14"/>
  <c r="EM105" i="14"/>
  <c r="EP164" i="14"/>
  <c r="EP129" i="14"/>
  <c r="EP77" i="14"/>
  <c r="EK157" i="14"/>
  <c r="EP74" i="14" l="1"/>
  <c r="ES157" i="14"/>
  <c r="EP157" i="14"/>
  <c r="EM157" i="14"/>
  <c r="EK68" i="14"/>
  <c r="EK65" i="14"/>
  <c r="EP69" i="14" l="1"/>
  <c r="FP80" i="14"/>
  <c r="FP56" i="14"/>
  <c r="FP55" i="14"/>
  <c r="FP54" i="14"/>
  <c r="FP53" i="14"/>
  <c r="FP52" i="14"/>
  <c r="FP7" i="14"/>
  <c r="EG129" i="14"/>
  <c r="EI129" i="14" s="1"/>
  <c r="EG107" i="14"/>
  <c r="EG18" i="14"/>
  <c r="EX19" i="14" s="1"/>
  <c r="EX24" i="14" s="1"/>
  <c r="EK6" i="14"/>
  <c r="EI164" i="14"/>
  <c r="EI163" i="14"/>
  <c r="EI162" i="14"/>
  <c r="EI161" i="14"/>
  <c r="EI160" i="14"/>
  <c r="EI159" i="14"/>
  <c r="EI158" i="14"/>
  <c r="EI149" i="14"/>
  <c r="EI142" i="14"/>
  <c r="EI139" i="14"/>
  <c r="EI138" i="14"/>
  <c r="EI137" i="14"/>
  <c r="EI134" i="14"/>
  <c r="EI130" i="14"/>
  <c r="EI127" i="14"/>
  <c r="EI126" i="14"/>
  <c r="EI125" i="14"/>
  <c r="EI124" i="14"/>
  <c r="EI123" i="14"/>
  <c r="EI122" i="14"/>
  <c r="EI121" i="14"/>
  <c r="EI120" i="14"/>
  <c r="EI119" i="14"/>
  <c r="EI112" i="14"/>
  <c r="EI106" i="14"/>
  <c r="EI102" i="14"/>
  <c r="EI98" i="14"/>
  <c r="EI97" i="14"/>
  <c r="EI96" i="14"/>
  <c r="EI95" i="14"/>
  <c r="EI94" i="14"/>
  <c r="EI93" i="14"/>
  <c r="EI92" i="14"/>
  <c r="EI90" i="14"/>
  <c r="EI89" i="14"/>
  <c r="EI87" i="14"/>
  <c r="EI86" i="14"/>
  <c r="EI85" i="14"/>
  <c r="EI84" i="14"/>
  <c r="EI82" i="14"/>
  <c r="EI77" i="14"/>
  <c r="EI74" i="14"/>
  <c r="EI73" i="14"/>
  <c r="EI69" i="14"/>
  <c r="EI66" i="14"/>
  <c r="EI63" i="14"/>
  <c r="EI59" i="14"/>
  <c r="EI57" i="14"/>
  <c r="EI50" i="14"/>
  <c r="EI41" i="14"/>
  <c r="EI35" i="14"/>
  <c r="EI27" i="14"/>
  <c r="EI10" i="14"/>
  <c r="EI8" i="14"/>
  <c r="EI5" i="14"/>
  <c r="EI166" i="14" l="1"/>
  <c r="FM11" i="14"/>
  <c r="EZ11" i="14"/>
  <c r="EI62" i="14"/>
  <c r="FM6" i="14"/>
  <c r="EZ6" i="14"/>
  <c r="FM28" i="14"/>
  <c r="EZ28" i="14"/>
  <c r="FM42" i="14"/>
  <c r="EZ42" i="14"/>
  <c r="FM70" i="14"/>
  <c r="EI150" i="14"/>
  <c r="FB19" i="14"/>
  <c r="FB24" i="14" s="1"/>
  <c r="FN19" i="14"/>
  <c r="FM51" i="14"/>
  <c r="EZ51" i="14"/>
  <c r="EI18" i="14"/>
  <c r="EI17" i="14" s="1"/>
  <c r="ES18" i="14"/>
  <c r="FI19" i="14" s="1"/>
  <c r="FI24" i="14" s="1"/>
  <c r="EM18" i="14"/>
  <c r="FC19" i="14" s="1"/>
  <c r="FC24" i="14" s="1"/>
  <c r="EK79" i="14"/>
  <c r="EI68" i="14"/>
  <c r="EI65" i="14"/>
  <c r="EQ166" i="14" l="1"/>
  <c r="EI79" i="14"/>
  <c r="FM19" i="14"/>
  <c r="EZ19" i="14"/>
  <c r="EZ24" i="14" s="1"/>
  <c r="FP19" i="14"/>
  <c r="FP24" i="14" s="1"/>
  <c r="FO24" i="14" s="1"/>
  <c r="ES79" i="14"/>
  <c r="EM17" i="14"/>
  <c r="EM79" i="14"/>
  <c r="EL77" i="14" l="1"/>
  <c r="EJ79" i="14"/>
  <c r="EL74" i="14" l="1"/>
  <c r="EJ74" i="14" s="1"/>
  <c r="EJ69" i="14" s="1"/>
  <c r="AC141" i="9"/>
  <c r="AD141" i="9" s="1"/>
  <c r="AE141" i="9" l="1"/>
  <c r="EJ165" i="14"/>
  <c r="AB47" i="8"/>
  <c r="AA47" i="8"/>
  <c r="Z47" i="8"/>
  <c r="Y47" i="8"/>
  <c r="AX31" i="11" l="1"/>
  <c r="EJ128" i="14" l="1"/>
  <c r="EJ104" i="14"/>
  <c r="EL164" i="14"/>
  <c r="EL149" i="14"/>
  <c r="EL142" i="14"/>
  <c r="EL127" i="14"/>
  <c r="EL102" i="14"/>
  <c r="EL73" i="14"/>
  <c r="EL59" i="14"/>
  <c r="EL57" i="14"/>
  <c r="EL50" i="14"/>
  <c r="EL41" i="14"/>
  <c r="EL27" i="14"/>
  <c r="EL18" i="14"/>
  <c r="EL8" i="14"/>
  <c r="EL150" i="14" l="1"/>
  <c r="BA31" i="11"/>
  <c r="EL10" i="14"/>
  <c r="EL79" i="14"/>
  <c r="AY31" i="11"/>
  <c r="EG81" i="14"/>
  <c r="EI81" i="14" s="1"/>
  <c r="EG157" i="14"/>
  <c r="EG165" i="14"/>
  <c r="EG128" i="14"/>
  <c r="EG105" i="14"/>
  <c r="EI105" i="14" s="1"/>
  <c r="DK105" i="14"/>
  <c r="EG104" i="14"/>
  <c r="EG76" i="14"/>
  <c r="EG68" i="14"/>
  <c r="EG65" i="14"/>
  <c r="EG6" i="14"/>
  <c r="EJ10" i="14" l="1"/>
  <c r="EL11" i="14"/>
  <c r="BB31" i="11"/>
  <c r="EI157" i="14"/>
  <c r="EL157" i="14"/>
  <c r="EL69" i="14" s="1"/>
  <c r="EJ5" i="14"/>
  <c r="EJ62" i="14" s="1"/>
  <c r="EJ76" i="14"/>
  <c r="EG79" i="14"/>
  <c r="BS31" i="11" l="1"/>
  <c r="BU31" i="11"/>
  <c r="Y31" i="11"/>
  <c r="BG31" i="11" s="1"/>
  <c r="EL5" i="14"/>
  <c r="EL62" i="14" s="1"/>
  <c r="EH27" i="14"/>
  <c r="EL6" i="14" l="1"/>
  <c r="DI22" i="14" l="1"/>
  <c r="DI23" i="14"/>
  <c r="DI21" i="14"/>
  <c r="AB214" i="9" l="1"/>
  <c r="AC143" i="9"/>
  <c r="AC140" i="9"/>
  <c r="AA141" i="9"/>
  <c r="AA143" i="9"/>
  <c r="AD134" i="9"/>
  <c r="AD107" i="9"/>
  <c r="X97" i="9"/>
  <c r="W97" i="9"/>
  <c r="DG94" i="14"/>
  <c r="DG93" i="14"/>
  <c r="AD143" i="9" l="1"/>
  <c r="AE143" i="9" s="1"/>
  <c r="AF143" i="9" s="1"/>
  <c r="AG143" i="9" s="1"/>
  <c r="AE107" i="9"/>
  <c r="AF107" i="9" s="1"/>
  <c r="AD140" i="9"/>
  <c r="AE134" i="9"/>
  <c r="DE17" i="14"/>
  <c r="DK111" i="14"/>
  <c r="DG108" i="14"/>
  <c r="DG111" i="14" s="1"/>
  <c r="AI143" i="9" l="1"/>
  <c r="AG107" i="9"/>
  <c r="AE140" i="9"/>
  <c r="BO33" i="11"/>
  <c r="BO32" i="11"/>
  <c r="BO31" i="11"/>
  <c r="BO30" i="11"/>
  <c r="BO28" i="11"/>
  <c r="BO27" i="11"/>
  <c r="BO26" i="11"/>
  <c r="BO24" i="11"/>
  <c r="BO23" i="11"/>
  <c r="AI107" i="9" l="1"/>
  <c r="AH107" i="9"/>
  <c r="AJ143" i="9"/>
  <c r="AF140" i="9"/>
  <c r="AX30" i="11" s="1"/>
  <c r="AX27" i="11"/>
  <c r="AG134" i="9"/>
  <c r="BO35" i="11"/>
  <c r="BO34" i="11"/>
  <c r="BO29" i="11"/>
  <c r="BO25" i="11"/>
  <c r="BO22" i="11"/>
  <c r="BO21" i="11"/>
  <c r="BO20" i="11"/>
  <c r="FQ79" i="14"/>
  <c r="FQ128" i="14"/>
  <c r="AK107" i="9" l="1"/>
  <c r="AJ107" i="9"/>
  <c r="AI134" i="9"/>
  <c r="AJ134" i="9" s="1"/>
  <c r="AG140" i="9"/>
  <c r="BO43" i="11"/>
  <c r="AX33" i="11"/>
  <c r="AG19" i="11"/>
  <c r="BO12" i="11"/>
  <c r="AG36" i="11"/>
  <c r="BO36" i="11" s="1"/>
  <c r="BO14" i="11"/>
  <c r="AG45" i="11"/>
  <c r="BO45" i="11" s="1"/>
  <c r="BO37" i="11"/>
  <c r="AG47" i="11"/>
  <c r="BO47" i="11" s="1"/>
  <c r="BO39" i="11"/>
  <c r="AG49" i="11"/>
  <c r="BO49" i="11" s="1"/>
  <c r="BO41" i="11"/>
  <c r="AG46" i="11"/>
  <c r="BO46" i="11" s="1"/>
  <c r="BO38" i="11"/>
  <c r="AG48" i="11"/>
  <c r="BO48" i="11" s="1"/>
  <c r="BO40" i="11"/>
  <c r="AG50" i="11"/>
  <c r="BO50" i="11" s="1"/>
  <c r="BO42" i="11"/>
  <c r="AL107" i="9" l="1"/>
  <c r="AL106" i="9" s="1"/>
  <c r="AK106" i="9"/>
  <c r="AI140" i="9"/>
  <c r="BA30" i="11"/>
  <c r="BA27" i="11"/>
  <c r="AG51" i="11"/>
  <c r="BO51" i="11" s="1"/>
  <c r="AG56" i="11"/>
  <c r="AY27" i="11"/>
  <c r="AY30" i="11"/>
  <c r="BO56" i="11"/>
  <c r="BO19" i="11"/>
  <c r="BO55" i="11" s="1"/>
  <c r="AG55" i="11"/>
  <c r="AD109" i="9"/>
  <c r="AJ140" i="9" l="1"/>
  <c r="AJ138" i="9" s="1"/>
  <c r="BB27" i="11"/>
  <c r="BS27" i="11" s="1"/>
  <c r="BB30" i="11"/>
  <c r="BS30" i="11" s="1"/>
  <c r="BA33" i="11"/>
  <c r="AY33" i="11"/>
  <c r="AE109" i="9"/>
  <c r="AJ231" i="9" l="1"/>
  <c r="AJ139" i="9"/>
  <c r="BB33" i="11"/>
  <c r="BS33" i="11" s="1"/>
  <c r="AC30" i="11"/>
  <c r="BK30" i="11" s="1"/>
  <c r="Y27" i="11"/>
  <c r="BG27" i="11" s="1"/>
  <c r="AM134" i="9"/>
  <c r="Y30" i="11"/>
  <c r="BG30" i="11" s="1"/>
  <c r="AF109" i="9"/>
  <c r="DK77" i="14"/>
  <c r="AG109" i="9" l="1"/>
  <c r="AH109" i="9" s="1"/>
  <c r="AB30" i="11"/>
  <c r="BJ30" i="11" s="1"/>
  <c r="Z30" i="11"/>
  <c r="AA30" i="11"/>
  <c r="BI30" i="11" s="1"/>
  <c r="BU30" i="11" s="1"/>
  <c r="Z27" i="11"/>
  <c r="AN134" i="9"/>
  <c r="Y33" i="11"/>
  <c r="BG33" i="11" s="1"/>
  <c r="DK81" i="14"/>
  <c r="EU81" i="14"/>
  <c r="GZ149" i="14"/>
  <c r="DS17" i="14"/>
  <c r="X119" i="13"/>
  <c r="X114" i="13"/>
  <c r="X113" i="13" s="1"/>
  <c r="X130" i="7" s="1"/>
  <c r="X99" i="13"/>
  <c r="X240" i="13"/>
  <c r="X216" i="7" s="1"/>
  <c r="X219" i="13"/>
  <c r="X22" i="13"/>
  <c r="X24" i="13" s="1"/>
  <c r="X117" i="7" s="1"/>
  <c r="X255" i="13"/>
  <c r="X245" i="13"/>
  <c r="X217" i="7" s="1"/>
  <c r="X223" i="13"/>
  <c r="X209" i="7" s="1"/>
  <c r="X210" i="13"/>
  <c r="X202" i="13"/>
  <c r="X201" i="13"/>
  <c r="X199" i="13"/>
  <c r="X197" i="13"/>
  <c r="X189" i="13"/>
  <c r="X165" i="13" s="1"/>
  <c r="X163" i="13" s="1"/>
  <c r="X179" i="13"/>
  <c r="X173" i="13"/>
  <c r="X151" i="7" s="1"/>
  <c r="X157" i="13"/>
  <c r="X145" i="7" s="1"/>
  <c r="X145" i="13"/>
  <c r="X141" i="7" s="1"/>
  <c r="X141" i="13"/>
  <c r="X140" i="7" s="1"/>
  <c r="X131" i="13"/>
  <c r="X123" i="13"/>
  <c r="X136" i="7" s="1"/>
  <c r="X103" i="13"/>
  <c r="X97" i="13"/>
  <c r="X124" i="7" s="1"/>
  <c r="X78" i="13"/>
  <c r="X80" i="7" s="1"/>
  <c r="X54" i="13"/>
  <c r="X60" i="7" s="1"/>
  <c r="X50" i="13"/>
  <c r="X57" i="7" s="1"/>
  <c r="X40" i="13"/>
  <c r="X44" i="13" s="1"/>
  <c r="X33" i="13"/>
  <c r="X29" i="13" s="1"/>
  <c r="X30" i="7" s="1"/>
  <c r="X13" i="13"/>
  <c r="X16" i="13" s="1"/>
  <c r="AB14" i="9" s="1"/>
  <c r="DK157" i="14"/>
  <c r="X4" i="7"/>
  <c r="X192" i="7" s="1"/>
  <c r="X219" i="7"/>
  <c r="X218" i="7"/>
  <c r="X215" i="7"/>
  <c r="X212" i="7"/>
  <c r="X210" i="7"/>
  <c r="X204" i="7"/>
  <c r="X202" i="7"/>
  <c r="X201" i="7"/>
  <c r="X200" i="7"/>
  <c r="X198" i="7"/>
  <c r="X178" i="7"/>
  <c r="X177" i="7"/>
  <c r="X174" i="7"/>
  <c r="X173" i="7"/>
  <c r="X170" i="7"/>
  <c r="X169" i="7"/>
  <c r="X166" i="7"/>
  <c r="X165" i="7"/>
  <c r="X157" i="7"/>
  <c r="X156" i="7"/>
  <c r="X154" i="7"/>
  <c r="X153" i="7"/>
  <c r="X152" i="7"/>
  <c r="X150" i="7"/>
  <c r="X134" i="7"/>
  <c r="X133" i="7"/>
  <c r="X126" i="7"/>
  <c r="X125" i="7"/>
  <c r="X116" i="7"/>
  <c r="X114" i="7"/>
  <c r="X113" i="7"/>
  <c r="X112" i="7"/>
  <c r="X111" i="7"/>
  <c r="X90" i="7"/>
  <c r="X88" i="7"/>
  <c r="X87" i="7"/>
  <c r="X85" i="7"/>
  <c r="X84" i="7"/>
  <c r="X76" i="7"/>
  <c r="X75" i="7"/>
  <c r="X74" i="7"/>
  <c r="X73" i="7"/>
  <c r="X71" i="7"/>
  <c r="X68" i="7"/>
  <c r="X66" i="7"/>
  <c r="X65" i="7"/>
  <c r="X64" i="7"/>
  <c r="X54" i="7"/>
  <c r="X52" i="7"/>
  <c r="X35" i="7"/>
  <c r="X33" i="7"/>
  <c r="X27" i="7"/>
  <c r="X26" i="7"/>
  <c r="X19" i="7"/>
  <c r="X14" i="7"/>
  <c r="X3" i="7"/>
  <c r="AO134" i="9" l="1"/>
  <c r="AB27" i="11" s="1"/>
  <c r="BJ27" i="11" s="1"/>
  <c r="AC17" i="7"/>
  <c r="AA16" i="7"/>
  <c r="Y31" i="7"/>
  <c r="DK166" i="14"/>
  <c r="AB46" i="9"/>
  <c r="DK169" i="14"/>
  <c r="BH30" i="11"/>
  <c r="BH27" i="11"/>
  <c r="AI109" i="9"/>
  <c r="AK109" i="9" s="1"/>
  <c r="AL109" i="9" s="1"/>
  <c r="X158" i="7"/>
  <c r="X131" i="7"/>
  <c r="X115" i="7"/>
  <c r="AA27" i="11"/>
  <c r="BI27" i="11" s="1"/>
  <c r="BU27" i="11" s="1"/>
  <c r="Z33" i="11"/>
  <c r="AC33" i="11"/>
  <c r="BK33" i="11" s="1"/>
  <c r="GY149" i="14"/>
  <c r="GX149" i="14" s="1"/>
  <c r="AX42" i="11"/>
  <c r="X251" i="13"/>
  <c r="X227" i="13"/>
  <c r="X93" i="7"/>
  <c r="X206" i="7"/>
  <c r="X149" i="13"/>
  <c r="X142" i="7" s="1"/>
  <c r="X161" i="13"/>
  <c r="X146" i="7" s="1"/>
  <c r="GZ151" i="14"/>
  <c r="GY151" i="14" s="1"/>
  <c r="X79" i="13"/>
  <c r="X81" i="7" s="1"/>
  <c r="X89" i="7"/>
  <c r="X23" i="7"/>
  <c r="X148" i="13"/>
  <c r="X183" i="13"/>
  <c r="Y15" i="7"/>
  <c r="AB51" i="9"/>
  <c r="X197" i="7"/>
  <c r="Y69" i="7"/>
  <c r="X195" i="7"/>
  <c r="X86" i="7"/>
  <c r="X230" i="13"/>
  <c r="Y34" i="7"/>
  <c r="Y55" i="7"/>
  <c r="EQ81" i="14"/>
  <c r="ES81" i="14"/>
  <c r="X12" i="7"/>
  <c r="X164" i="7"/>
  <c r="X168" i="7"/>
  <c r="X176" i="7"/>
  <c r="Y77" i="7"/>
  <c r="X122" i="7"/>
  <c r="Y4" i="7"/>
  <c r="Y228" i="7"/>
  <c r="Y53" i="7"/>
  <c r="X98" i="7"/>
  <c r="X199" i="7"/>
  <c r="X135" i="7"/>
  <c r="X105" i="7"/>
  <c r="X214" i="7"/>
  <c r="X155" i="7"/>
  <c r="X129" i="13"/>
  <c r="X127" i="13" s="1"/>
  <c r="X126" i="13" s="1"/>
  <c r="X106" i="13"/>
  <c r="X107" i="13"/>
  <c r="X127" i="7" s="1"/>
  <c r="X56" i="13"/>
  <c r="X221" i="7"/>
  <c r="X203" i="13"/>
  <c r="X212" i="13" s="1"/>
  <c r="X99" i="7"/>
  <c r="X102" i="7"/>
  <c r="X104" i="7"/>
  <c r="X97" i="7"/>
  <c r="X5" i="7"/>
  <c r="Y7" i="7" s="1"/>
  <c r="X100" i="7"/>
  <c r="X196" i="7"/>
  <c r="X56" i="7"/>
  <c r="X72" i="7"/>
  <c r="X194" i="7"/>
  <c r="X180" i="7"/>
  <c r="X187" i="7"/>
  <c r="X172" i="7"/>
  <c r="X75" i="13"/>
  <c r="X181" i="7"/>
  <c r="X182" i="7"/>
  <c r="X63" i="13"/>
  <c r="X215" i="13"/>
  <c r="X28" i="7"/>
  <c r="Y29" i="7" s="1"/>
  <c r="X21" i="7"/>
  <c r="X107" i="7"/>
  <c r="X186" i="7"/>
  <c r="X226" i="7"/>
  <c r="X106" i="7"/>
  <c r="Y227" i="7" l="1"/>
  <c r="X132" i="7"/>
  <c r="X101" i="7"/>
  <c r="AP134" i="9"/>
  <c r="X207" i="7"/>
  <c r="AB47" i="9"/>
  <c r="AB45" i="9" s="1"/>
  <c r="DK168" i="14"/>
  <c r="DC169" i="14"/>
  <c r="CY169" i="14"/>
  <c r="CZ169" i="14"/>
  <c r="X6" i="7"/>
  <c r="X190" i="13"/>
  <c r="X184" i="7"/>
  <c r="BH33" i="11"/>
  <c r="AM109" i="9"/>
  <c r="AN109" i="9" s="1"/>
  <c r="AO109" i="9" s="1"/>
  <c r="AP109" i="9" s="1"/>
  <c r="AJ109" i="9"/>
  <c r="AB33" i="11"/>
  <c r="BJ33" i="11" s="1"/>
  <c r="X211" i="7"/>
  <c r="IP149" i="14"/>
  <c r="AA33" i="11"/>
  <c r="BI33" i="11" s="1"/>
  <c r="BU33" i="11" s="1"/>
  <c r="AY42" i="11"/>
  <c r="IB149" i="14"/>
  <c r="X143" i="7"/>
  <c r="X160" i="13"/>
  <c r="X24" i="7"/>
  <c r="Y189" i="7"/>
  <c r="X128" i="7"/>
  <c r="X36" i="7"/>
  <c r="X188" i="7"/>
  <c r="X256" i="13"/>
  <c r="Y192" i="7"/>
  <c r="Y93" i="7"/>
  <c r="Y12" i="7"/>
  <c r="Y122" i="7"/>
  <c r="BA42" i="11"/>
  <c r="X203" i="7"/>
  <c r="X147" i="7"/>
  <c r="X220" i="7"/>
  <c r="X225" i="7"/>
  <c r="X137" i="7"/>
  <c r="X96" i="7"/>
  <c r="X40" i="7" l="1"/>
  <c r="AC27" i="11"/>
  <c r="BK27" i="11" s="1"/>
  <c r="AC39" i="7"/>
  <c r="AA38" i="7"/>
  <c r="X36" i="13"/>
  <c r="DC168" i="14"/>
  <c r="CY168" i="14"/>
  <c r="CZ168" i="14"/>
  <c r="DK170" i="14"/>
  <c r="X261" i="13"/>
  <c r="IN149" i="14"/>
  <c r="IL149" i="14" s="1"/>
  <c r="IK149" i="14" s="1"/>
  <c r="IP151" i="14"/>
  <c r="X62" i="7"/>
  <c r="X61" i="7" s="1"/>
  <c r="IB151" i="14"/>
  <c r="HY151" i="14" s="1"/>
  <c r="HY149" i="14"/>
  <c r="HX149" i="14" s="1"/>
  <c r="Y37" i="7"/>
  <c r="X138" i="7"/>
  <c r="X103" i="7"/>
  <c r="X185" i="7"/>
  <c r="X148" i="7"/>
  <c r="X160" i="7" l="1"/>
  <c r="DC170" i="14"/>
  <c r="CY170" i="14"/>
  <c r="CY166" i="14" s="1"/>
  <c r="CZ170" i="14"/>
  <c r="X134" i="13"/>
  <c r="IN151" i="14"/>
  <c r="BB50" i="11"/>
  <c r="BB42" i="11"/>
  <c r="Y42" i="11"/>
  <c r="AL235" i="9"/>
  <c r="FQ104" i="14"/>
  <c r="FQ76" i="14"/>
  <c r="L43" i="11"/>
  <c r="L42" i="11"/>
  <c r="L41" i="11"/>
  <c r="L40" i="11"/>
  <c r="L39" i="11"/>
  <c r="L38" i="11"/>
  <c r="L37" i="11"/>
  <c r="L35" i="11"/>
  <c r="L34" i="11"/>
  <c r="L29" i="11"/>
  <c r="L25" i="11"/>
  <c r="L22" i="11"/>
  <c r="L21" i="11"/>
  <c r="L20" i="11"/>
  <c r="FQ71" i="14"/>
  <c r="GI149" i="14"/>
  <c r="GI73" i="14"/>
  <c r="GH73" i="14" s="1"/>
  <c r="GG73" i="14" s="1"/>
  <c r="BS42" i="11" l="1"/>
  <c r="Z42" i="11"/>
  <c r="AM235" i="9"/>
  <c r="AA42" i="11"/>
  <c r="Y50" i="11"/>
  <c r="BG50" i="11" s="1"/>
  <c r="BG42" i="11"/>
  <c r="GH149" i="14"/>
  <c r="GG149" i="14" s="1"/>
  <c r="GI151" i="14"/>
  <c r="GH151" i="14" s="1"/>
  <c r="AW42" i="11"/>
  <c r="AW37" i="11"/>
  <c r="DK129" i="14"/>
  <c r="DK107" i="14"/>
  <c r="DG107" i="14"/>
  <c r="DK51" i="14"/>
  <c r="DG51" i="14"/>
  <c r="DK18" i="14"/>
  <c r="DG128" i="14"/>
  <c r="DK128" i="14"/>
  <c r="DG104" i="14"/>
  <c r="DK104" i="14"/>
  <c r="DG76" i="14"/>
  <c r="DK76" i="14"/>
  <c r="DK71" i="14"/>
  <c r="DG71" i="14"/>
  <c r="DK68" i="14"/>
  <c r="DG68" i="14"/>
  <c r="DK65" i="14"/>
  <c r="DG70" i="14"/>
  <c r="DK49" i="14"/>
  <c r="DF49" i="14"/>
  <c r="DK47" i="14"/>
  <c r="DH47" i="14"/>
  <c r="DG47" i="14"/>
  <c r="DF47" i="14"/>
  <c r="DK44" i="14"/>
  <c r="DH44" i="14"/>
  <c r="DG44" i="14"/>
  <c r="DF44" i="14"/>
  <c r="DK42" i="14"/>
  <c r="DG42" i="14"/>
  <c r="DK38" i="14"/>
  <c r="DK34" i="14"/>
  <c r="DK28" i="14"/>
  <c r="DG28" i="14"/>
  <c r="DK6" i="14"/>
  <c r="DG6" i="14"/>
  <c r="DI178" i="14"/>
  <c r="DI177" i="14"/>
  <c r="DI176" i="14"/>
  <c r="DI175" i="14"/>
  <c r="DI164" i="14"/>
  <c r="DI163" i="14"/>
  <c r="DI162" i="14"/>
  <c r="DI161" i="14"/>
  <c r="DI160" i="14"/>
  <c r="DI159" i="14"/>
  <c r="DI158" i="14"/>
  <c r="DI149" i="14"/>
  <c r="DI142" i="14"/>
  <c r="DI139" i="14"/>
  <c r="DI138" i="14"/>
  <c r="DI137" i="14"/>
  <c r="DI134" i="14"/>
  <c r="DI130" i="14"/>
  <c r="DI127" i="14"/>
  <c r="DI126" i="14"/>
  <c r="DI125" i="14"/>
  <c r="DI124" i="14"/>
  <c r="DI123" i="14"/>
  <c r="DI122" i="14"/>
  <c r="DI121" i="14"/>
  <c r="DI120" i="14"/>
  <c r="DI119" i="14"/>
  <c r="DI118" i="14"/>
  <c r="DI113" i="14"/>
  <c r="DI112" i="14"/>
  <c r="DI111" i="14"/>
  <c r="DI108" i="14"/>
  <c r="DI106" i="14"/>
  <c r="DI102" i="14"/>
  <c r="DI98" i="14"/>
  <c r="DI97" i="14"/>
  <c r="DI96" i="14"/>
  <c r="DI95" i="14"/>
  <c r="DI94" i="14"/>
  <c r="DI93" i="14"/>
  <c r="DI90" i="14"/>
  <c r="DI89" i="14"/>
  <c r="DI87" i="14"/>
  <c r="DI86" i="14"/>
  <c r="DI85" i="14"/>
  <c r="DI84" i="14"/>
  <c r="DI83" i="14"/>
  <c r="DI82" i="14"/>
  <c r="DI80" i="14"/>
  <c r="DI77" i="14"/>
  <c r="DI74" i="14"/>
  <c r="DI73" i="14"/>
  <c r="DI72" i="14"/>
  <c r="DI69" i="14"/>
  <c r="DI66" i="14"/>
  <c r="DI63" i="14"/>
  <c r="DI62" i="14"/>
  <c r="DI61" i="14"/>
  <c r="DI59" i="14"/>
  <c r="ES61" i="14" s="1"/>
  <c r="DI57" i="14"/>
  <c r="DI56" i="14"/>
  <c r="DI55" i="14"/>
  <c r="DI54" i="14"/>
  <c r="DI53" i="14"/>
  <c r="DI52" i="14"/>
  <c r="DI50" i="14"/>
  <c r="DI48" i="14"/>
  <c r="DI46" i="14"/>
  <c r="DI43" i="14"/>
  <c r="DI41" i="14"/>
  <c r="DI37" i="14"/>
  <c r="DI33" i="14"/>
  <c r="DI27" i="14"/>
  <c r="DI20" i="14"/>
  <c r="DI14" i="14"/>
  <c r="DI13" i="14"/>
  <c r="DI12" i="14"/>
  <c r="DI10" i="14"/>
  <c r="DI8" i="14"/>
  <c r="DI7" i="14"/>
  <c r="DE164" i="14"/>
  <c r="DE163" i="14"/>
  <c r="DE162" i="14"/>
  <c r="DE161" i="14"/>
  <c r="DE160" i="14"/>
  <c r="DE159" i="14"/>
  <c r="DE158" i="14"/>
  <c r="DE149" i="14"/>
  <c r="DE142" i="14"/>
  <c r="DE139" i="14"/>
  <c r="DE138" i="14"/>
  <c r="DE137" i="14"/>
  <c r="DE134" i="14"/>
  <c r="DE130" i="14"/>
  <c r="DE127" i="14"/>
  <c r="DE123" i="14"/>
  <c r="DE122" i="14"/>
  <c r="DE121" i="14"/>
  <c r="DE120" i="14"/>
  <c r="DE119" i="14"/>
  <c r="DE118" i="14"/>
  <c r="DE113" i="14"/>
  <c r="DE112" i="14"/>
  <c r="DE108" i="14"/>
  <c r="DE106" i="14"/>
  <c r="DE102" i="14"/>
  <c r="DE98" i="14"/>
  <c r="DE96" i="14"/>
  <c r="DE95" i="14"/>
  <c r="DE94" i="14"/>
  <c r="DE93" i="14"/>
  <c r="DE89" i="14"/>
  <c r="DE87" i="14"/>
  <c r="DE86" i="14"/>
  <c r="DE85" i="14"/>
  <c r="DE82" i="14"/>
  <c r="DE80" i="14"/>
  <c r="DE77" i="14"/>
  <c r="DE74" i="14"/>
  <c r="DE73" i="14"/>
  <c r="DE72" i="14"/>
  <c r="DE69" i="14"/>
  <c r="DE66" i="14"/>
  <c r="DE63" i="14"/>
  <c r="DE62" i="14"/>
  <c r="DE61" i="14"/>
  <c r="DE59" i="14"/>
  <c r="EQ61" i="14" s="1"/>
  <c r="DE57" i="14"/>
  <c r="DE56" i="14"/>
  <c r="DE55" i="14"/>
  <c r="DE54" i="14"/>
  <c r="DE53" i="14"/>
  <c r="DE52" i="14"/>
  <c r="DE50" i="14"/>
  <c r="DE48" i="14"/>
  <c r="DE49" i="14" s="1"/>
  <c r="DE46" i="14"/>
  <c r="DE47" i="14" s="1"/>
  <c r="DE43" i="14"/>
  <c r="DE44" i="14" s="1"/>
  <c r="DE41" i="14"/>
  <c r="DE27" i="14"/>
  <c r="DE10" i="14"/>
  <c r="DE8" i="14"/>
  <c r="DI5" i="14"/>
  <c r="DE5" i="14"/>
  <c r="AN234" i="9" l="1"/>
  <c r="ES11" i="14"/>
  <c r="EQ11" i="14"/>
  <c r="AB42" i="11"/>
  <c r="AB50" i="11" s="1"/>
  <c r="BJ50" i="11" s="1"/>
  <c r="BH42" i="11"/>
  <c r="Z50" i="11"/>
  <c r="AN235" i="9"/>
  <c r="AO235" i="9"/>
  <c r="BI42" i="11"/>
  <c r="AA50" i="11"/>
  <c r="BI50" i="11" s="1"/>
  <c r="ET34" i="14"/>
  <c r="ES34" i="14"/>
  <c r="ET38" i="14"/>
  <c r="ES38" i="14"/>
  <c r="DE111" i="14"/>
  <c r="DE165" i="14"/>
  <c r="DK79" i="14"/>
  <c r="DE65" i="14"/>
  <c r="DE68" i="14"/>
  <c r="DE76" i="14"/>
  <c r="DI68" i="14"/>
  <c r="DI76" i="14"/>
  <c r="DI128" i="14"/>
  <c r="DE104" i="14"/>
  <c r="DE128" i="14"/>
  <c r="DI65" i="14"/>
  <c r="DI104" i="14"/>
  <c r="DE71" i="14"/>
  <c r="DI71" i="14"/>
  <c r="BU42" i="11" l="1"/>
  <c r="BH50" i="11"/>
  <c r="AO234" i="9"/>
  <c r="BJ42" i="11"/>
  <c r="AP234" i="9" l="1"/>
  <c r="AP235" i="9"/>
  <c r="AC42" i="11"/>
  <c r="BK42" i="11" l="1"/>
  <c r="AC50" i="11"/>
  <c r="BK50" i="11" s="1"/>
  <c r="DQ124" i="14"/>
  <c r="DQ125" i="14"/>
  <c r="DQ126" i="14"/>
  <c r="DC33" i="14"/>
  <c r="EM33" i="14" s="1"/>
  <c r="EM36" i="14" l="1"/>
  <c r="EO36" i="14" s="1"/>
  <c r="EQ36" i="14" s="1"/>
  <c r="DC36" i="14"/>
  <c r="DG97" i="14" l="1"/>
  <c r="DE97" i="14" s="1"/>
  <c r="DG84" i="14" l="1"/>
  <c r="DE84" i="14" s="1"/>
  <c r="DG83" i="14"/>
  <c r="DE83" i="14" s="1"/>
  <c r="DG90" i="14"/>
  <c r="DE90" i="14" s="1"/>
  <c r="DC120" i="14"/>
  <c r="DC122" i="14"/>
  <c r="DC121" i="14"/>
  <c r="DC119" i="14"/>
  <c r="DD33" i="14"/>
  <c r="DG124" i="14" l="1"/>
  <c r="DE124" i="14" s="1"/>
  <c r="DG125" i="14"/>
  <c r="DE125" i="14" s="1"/>
  <c r="DG126" i="14"/>
  <c r="DE126" i="14" s="1"/>
  <c r="DC123" i="14" l="1"/>
  <c r="DG105" i="14" l="1"/>
  <c r="DE105" i="14" s="1"/>
  <c r="DG129" i="14"/>
  <c r="DE129" i="14" s="1"/>
  <c r="DF8" i="14"/>
  <c r="DC106" i="14"/>
  <c r="DD81" i="14"/>
  <c r="DG18" i="14"/>
  <c r="DG157" i="14"/>
  <c r="DE157" i="14" s="1"/>
  <c r="DB157" i="14"/>
  <c r="DI157" i="14" s="1"/>
  <c r="DG165" i="14"/>
  <c r="DB35" i="14"/>
  <c r="EL35" i="14" s="1"/>
  <c r="DD92" i="14"/>
  <c r="DC77" i="14"/>
  <c r="DC74" i="14"/>
  <c r="DC73" i="14"/>
  <c r="DC66" i="14"/>
  <c r="DC63" i="14"/>
  <c r="DC59" i="14"/>
  <c r="EM61" i="14" s="1"/>
  <c r="DC57" i="14"/>
  <c r="DC41" i="14"/>
  <c r="EN41" i="14" s="1"/>
  <c r="DC27" i="14"/>
  <c r="DC37" i="14" s="1"/>
  <c r="DG37" i="14" s="1"/>
  <c r="DC10" i="14"/>
  <c r="DC8" i="14"/>
  <c r="DC5" i="14"/>
  <c r="EM11" i="14" l="1"/>
  <c r="EN81" i="14"/>
  <c r="EM81" i="14"/>
  <c r="DC76" i="14"/>
  <c r="EP41" i="14"/>
  <c r="EP42" i="14" s="1"/>
  <c r="EN42" i="14"/>
  <c r="DC38" i="14"/>
  <c r="DE37" i="14"/>
  <c r="DG79" i="14"/>
  <c r="DE18" i="14"/>
  <c r="DB129" i="14"/>
  <c r="DI129" i="14" s="1"/>
  <c r="DB105" i="14"/>
  <c r="DI105" i="14" s="1"/>
  <c r="DG65" i="14"/>
  <c r="DB107" i="14"/>
  <c r="DC65" i="14"/>
  <c r="DC164" i="14"/>
  <c r="DC162" i="14"/>
  <c r="DC161" i="14"/>
  <c r="DC160" i="14"/>
  <c r="DC159" i="14"/>
  <c r="DC158" i="14"/>
  <c r="DC157" i="14"/>
  <c r="DC149" i="14"/>
  <c r="DC142" i="14"/>
  <c r="DC139" i="14"/>
  <c r="DC138" i="14"/>
  <c r="DC137" i="14"/>
  <c r="DC134" i="14"/>
  <c r="DC130" i="14"/>
  <c r="DC127" i="14"/>
  <c r="DC118" i="14"/>
  <c r="DC113" i="14"/>
  <c r="DC112" i="14"/>
  <c r="DC102" i="14"/>
  <c r="DC98" i="14"/>
  <c r="DC89" i="14"/>
  <c r="DC85" i="14"/>
  <c r="DC82" i="14"/>
  <c r="DC69" i="14"/>
  <c r="DC50" i="14"/>
  <c r="DC166" i="14" l="1"/>
  <c r="DC129" i="14"/>
  <c r="DC165" i="14"/>
  <c r="EM51" i="14"/>
  <c r="EN50" i="14"/>
  <c r="DC104" i="14"/>
  <c r="EN105" i="14"/>
  <c r="DC128" i="14"/>
  <c r="EN129" i="14"/>
  <c r="DC105" i="14"/>
  <c r="DE79" i="14"/>
  <c r="DC71" i="14"/>
  <c r="DC68" i="14"/>
  <c r="EP50" i="14" l="1"/>
  <c r="EP51" i="14" s="1"/>
  <c r="EN51" i="14"/>
  <c r="EL104" i="14"/>
  <c r="EH28" i="14"/>
  <c r="DB70" i="14"/>
  <c r="EH50" i="14"/>
  <c r="EH41" i="14"/>
  <c r="EH104" i="14"/>
  <c r="EU165" i="14"/>
  <c r="ES165" i="14"/>
  <c r="EQ165" i="14"/>
  <c r="EO165" i="14"/>
  <c r="EM165" i="14"/>
  <c r="EK165" i="14"/>
  <c r="EI165" i="14"/>
  <c r="ES128" i="14"/>
  <c r="EQ128" i="14"/>
  <c r="EO128" i="14"/>
  <c r="EM128" i="14"/>
  <c r="EK128" i="14"/>
  <c r="EI128" i="14"/>
  <c r="EU104" i="14"/>
  <c r="ES104" i="14"/>
  <c r="EQ104" i="14"/>
  <c r="EO104" i="14"/>
  <c r="EM104" i="14"/>
  <c r="EK104" i="14"/>
  <c r="EI104" i="14"/>
  <c r="DH149" i="14"/>
  <c r="DH142" i="14"/>
  <c r="EO76" i="14"/>
  <c r="EM76" i="14"/>
  <c r="EK76" i="14"/>
  <c r="EI76" i="14"/>
  <c r="DH59" i="14"/>
  <c r="DH57" i="14"/>
  <c r="DH33" i="14"/>
  <c r="EL128" i="14"/>
  <c r="EQ17" i="14"/>
  <c r="ES17" i="14" s="1"/>
  <c r="EU19" i="14"/>
  <c r="EU24" i="14" s="1"/>
  <c r="EQ19" i="14"/>
  <c r="EQ24" i="14" s="1"/>
  <c r="EO19" i="14"/>
  <c r="DH8" i="14"/>
  <c r="EQ6" i="14"/>
  <c r="EM71" i="14"/>
  <c r="EI71" i="14"/>
  <c r="EU71" i="14"/>
  <c r="ES71" i="14"/>
  <c r="EK71" i="14"/>
  <c r="EG71" i="14"/>
  <c r="EU70" i="14"/>
  <c r="ES70" i="14"/>
  <c r="EQ70" i="14"/>
  <c r="EO70" i="14"/>
  <c r="EM70" i="14"/>
  <c r="EK70" i="14"/>
  <c r="EG70" i="14"/>
  <c r="EU51" i="14"/>
  <c r="ES51" i="14"/>
  <c r="EQ51" i="14"/>
  <c r="EO51" i="14"/>
  <c r="EK51" i="14"/>
  <c r="EG51" i="14"/>
  <c r="EU42" i="14"/>
  <c r="ES42" i="14"/>
  <c r="EQ42" i="14"/>
  <c r="EO42" i="14"/>
  <c r="EM42" i="14"/>
  <c r="EK42" i="14"/>
  <c r="EG42" i="14"/>
  <c r="EU28" i="14"/>
  <c r="ES28" i="14"/>
  <c r="EQ28" i="14"/>
  <c r="EO28" i="14"/>
  <c r="EM28" i="14"/>
  <c r="EK28" i="14"/>
  <c r="EG28" i="14"/>
  <c r="EU6" i="14"/>
  <c r="ES6" i="14"/>
  <c r="EH128" i="14" l="1"/>
  <c r="EH42" i="14"/>
  <c r="EO71" i="14"/>
  <c r="EM6" i="14"/>
  <c r="EQ71" i="14"/>
  <c r="EH51" i="14"/>
  <c r="EL42" i="14"/>
  <c r="EL28" i="14"/>
  <c r="EL51" i="14" l="1"/>
  <c r="DH164" i="14"/>
  <c r="DB165" i="14" l="1"/>
  <c r="DI165" i="14" s="1"/>
  <c r="CY165" i="14"/>
  <c r="DD37" i="14"/>
  <c r="DH73" i="14"/>
  <c r="DD38" i="14" l="1"/>
  <c r="DH37" i="14"/>
  <c r="DD157" i="14"/>
  <c r="DH157" i="14" s="1"/>
  <c r="DD123" i="14"/>
  <c r="DD106" i="14"/>
  <c r="DD27" i="14"/>
  <c r="DD34" i="14"/>
  <c r="DD107" i="14" l="1"/>
  <c r="DD105" i="14"/>
  <c r="DH27" i="14"/>
  <c r="DH28" i="14" s="1"/>
  <c r="DS97" i="14"/>
  <c r="DR98" i="14"/>
  <c r="DB92" i="14"/>
  <c r="DQ92" i="14"/>
  <c r="DQ89" i="14" s="1"/>
  <c r="DP92" i="14"/>
  <c r="DP89" i="14" s="1"/>
  <c r="DP105" i="14"/>
  <c r="DR90" i="14"/>
  <c r="DS90" i="14" s="1"/>
  <c r="DI92" i="14" l="1"/>
  <c r="DG92" i="14"/>
  <c r="DE92" i="14" s="1"/>
  <c r="DJ108" i="14"/>
  <c r="CZ163" i="14"/>
  <c r="DR94" i="14"/>
  <c r="DS94" i="14" s="1"/>
  <c r="DR93" i="14"/>
  <c r="DS111" i="14"/>
  <c r="DS105" i="14"/>
  <c r="DR102" i="14"/>
  <c r="DB36" i="14"/>
  <c r="EL36" i="14" s="1"/>
  <c r="CZ125" i="14"/>
  <c r="DQ102" i="14" l="1"/>
  <c r="CZ35" i="14"/>
  <c r="DR92" i="14"/>
  <c r="DS93" i="14"/>
  <c r="DS92" i="14" s="1"/>
  <c r="DS129" i="14" l="1"/>
  <c r="DR129" i="14" s="1"/>
  <c r="DQ129" i="14" s="1"/>
  <c r="DS128" i="14"/>
  <c r="DS107" i="14"/>
  <c r="DS104" i="14"/>
  <c r="DS81" i="14"/>
  <c r="CZ98" i="14"/>
  <c r="DS76" i="14"/>
  <c r="DB34" i="14"/>
  <c r="DR69" i="14"/>
  <c r="DQ69" i="14" s="1"/>
  <c r="DS51" i="14"/>
  <c r="DS49" i="14"/>
  <c r="DS47" i="14"/>
  <c r="DS44" i="14"/>
  <c r="DS42" i="14"/>
  <c r="DS6" i="14"/>
  <c r="DS34" i="14"/>
  <c r="DS28" i="14"/>
  <c r="DR37" i="14"/>
  <c r="DQ37" i="14" s="1"/>
  <c r="DS38" i="14"/>
  <c r="BR21" i="14"/>
  <c r="DA21" i="14"/>
  <c r="DR158" i="14"/>
  <c r="DQ158" i="14" s="1"/>
  <c r="DR149" i="14"/>
  <c r="DQ149" i="14" s="1"/>
  <c r="DR142" i="14"/>
  <c r="DQ142" i="14" s="1"/>
  <c r="DR159" i="14"/>
  <c r="DQ159" i="14" s="1"/>
  <c r="DR164" i="14"/>
  <c r="DQ164" i="14" s="1"/>
  <c r="DR163" i="14"/>
  <c r="DR77" i="14"/>
  <c r="DQ77" i="14" s="1"/>
  <c r="DR43" i="14"/>
  <c r="DS71" i="14" l="1"/>
  <c r="DR50" i="14"/>
  <c r="DQ50" i="14" s="1"/>
  <c r="DR41" i="14"/>
  <c r="DQ41" i="14" s="1"/>
  <c r="DR33" i="14"/>
  <c r="DR139" i="14"/>
  <c r="DQ139" i="14" s="1"/>
  <c r="DR138" i="14"/>
  <c r="DQ138" i="14" s="1"/>
  <c r="DR137" i="14"/>
  <c r="DQ137" i="14" s="1"/>
  <c r="DR134" i="14"/>
  <c r="DR130" i="14"/>
  <c r="DQ130" i="14" s="1"/>
  <c r="DR127" i="14"/>
  <c r="DR123" i="14"/>
  <c r="DQ123" i="14" s="1"/>
  <c r="DR122" i="14"/>
  <c r="DQ122" i="14" s="1"/>
  <c r="DR121" i="14"/>
  <c r="DQ121" i="14" s="1"/>
  <c r="DR119" i="14"/>
  <c r="DQ119" i="14" s="1"/>
  <c r="DR118" i="14"/>
  <c r="DQ118" i="14" s="1"/>
  <c r="DR113" i="14"/>
  <c r="DQ113" i="14" s="1"/>
  <c r="DR112" i="14"/>
  <c r="DQ112" i="14" s="1"/>
  <c r="DR106" i="14"/>
  <c r="DR89" i="14"/>
  <c r="DR85" i="14"/>
  <c r="DQ85" i="14" s="1"/>
  <c r="DR82" i="14"/>
  <c r="DQ82" i="14" s="1"/>
  <c r="DR80" i="14"/>
  <c r="DR74" i="14"/>
  <c r="DR73" i="14"/>
  <c r="DQ73" i="14" s="1"/>
  <c r="DR72" i="14"/>
  <c r="DR59" i="14"/>
  <c r="DQ59" i="14" s="1"/>
  <c r="DR57" i="14"/>
  <c r="DQ57" i="14" s="1"/>
  <c r="DR48" i="14"/>
  <c r="DR46" i="14"/>
  <c r="DR27" i="14"/>
  <c r="DR10" i="14"/>
  <c r="DR8" i="14"/>
  <c r="DQ8" i="14" s="1"/>
  <c r="DR7" i="14"/>
  <c r="DR5" i="14"/>
  <c r="DQ5" i="14" s="1"/>
  <c r="DS157" i="14"/>
  <c r="DS79" i="14"/>
  <c r="DQ17" i="14"/>
  <c r="DQ10" i="14" l="1"/>
  <c r="DR128" i="14"/>
  <c r="DQ27" i="14"/>
  <c r="DR104" i="14"/>
  <c r="DQ106" i="14"/>
  <c r="DQ127" i="14"/>
  <c r="DQ128" i="14" s="1"/>
  <c r="DQ71" i="14"/>
  <c r="DQ74" i="14"/>
  <c r="DR76" i="14"/>
  <c r="DR71" i="14"/>
  <c r="DY28" i="14"/>
  <c r="DQ76" i="14" l="1"/>
  <c r="DX5" i="14"/>
  <c r="DX164" i="14"/>
  <c r="DX159" i="14"/>
  <c r="DX158" i="14"/>
  <c r="DX149" i="14"/>
  <c r="DX142" i="14"/>
  <c r="DX139" i="14"/>
  <c r="DX137" i="14"/>
  <c r="DX134" i="14"/>
  <c r="DX130" i="14"/>
  <c r="DX127" i="14"/>
  <c r="DX123" i="14"/>
  <c r="DX119" i="14"/>
  <c r="DX112" i="14"/>
  <c r="DX108" i="14"/>
  <c r="DX106" i="14"/>
  <c r="DX102" i="14"/>
  <c r="DX98" i="14"/>
  <c r="DX95" i="14"/>
  <c r="DX94" i="14"/>
  <c r="DX93" i="14"/>
  <c r="DX92" i="14"/>
  <c r="DX89" i="14"/>
  <c r="DX85" i="14"/>
  <c r="DX77" i="14"/>
  <c r="DX69" i="14"/>
  <c r="DX61" i="14"/>
  <c r="DX59" i="14"/>
  <c r="DX57" i="14"/>
  <c r="DX50" i="14"/>
  <c r="DX41" i="14"/>
  <c r="DX37" i="14"/>
  <c r="DX35" i="14"/>
  <c r="DX33" i="14"/>
  <c r="DX27" i="14"/>
  <c r="DX10" i="14"/>
  <c r="DX8" i="14"/>
  <c r="DR157" i="14"/>
  <c r="DQ157" i="14" s="1"/>
  <c r="CZ106" i="14"/>
  <c r="CY105" i="14"/>
  <c r="DR105" i="14"/>
  <c r="DQ105" i="14" s="1"/>
  <c r="DB6" i="14"/>
  <c r="CZ108" i="14" l="1"/>
  <c r="CY107" i="14"/>
  <c r="DB128" i="14"/>
  <c r="DB104" i="14"/>
  <c r="DB76" i="14"/>
  <c r="CY76" i="14"/>
  <c r="CR76" i="14"/>
  <c r="DB65" i="14"/>
  <c r="CZ66" i="14"/>
  <c r="CZ63" i="14"/>
  <c r="DB68" i="14"/>
  <c r="DB51" i="14"/>
  <c r="DB42" i="14"/>
  <c r="DB28" i="14"/>
  <c r="DB18" i="14"/>
  <c r="EL19" i="14" s="1"/>
  <c r="DR18" i="14" l="1"/>
  <c r="DR17" i="14" s="1"/>
  <c r="DI18" i="14"/>
  <c r="DC18" i="14"/>
  <c r="EK19" i="14"/>
  <c r="EK24" i="14" s="1"/>
  <c r="ES24" i="14" s="1"/>
  <c r="DB79" i="14"/>
  <c r="DX18" i="14"/>
  <c r="DI17" i="14" l="1"/>
  <c r="EN18" i="14"/>
  <c r="DC17" i="14"/>
  <c r="DC79" i="14"/>
  <c r="EM19" i="14"/>
  <c r="EM24" i="14" s="1"/>
  <c r="EO24" i="14" s="1"/>
  <c r="DQ18" i="14"/>
  <c r="DR79" i="14"/>
  <c r="DI79" i="14"/>
  <c r="ES19" i="14"/>
  <c r="CZ17" i="14"/>
  <c r="DB71" i="14"/>
  <c r="EN79" i="14" l="1"/>
  <c r="EP18" i="14"/>
  <c r="EP79" i="14" s="1"/>
  <c r="DQ79" i="14"/>
  <c r="CZ164" i="14"/>
  <c r="CZ161" i="14"/>
  <c r="CZ160" i="14"/>
  <c r="DD160" i="14" s="1"/>
  <c r="CZ158" i="14"/>
  <c r="CZ149" i="14"/>
  <c r="CZ142" i="14"/>
  <c r="CZ139" i="14"/>
  <c r="CZ138" i="14"/>
  <c r="CZ137" i="14"/>
  <c r="CZ134" i="14"/>
  <c r="CZ130" i="14"/>
  <c r="CZ127" i="14"/>
  <c r="CZ126" i="14"/>
  <c r="CZ124" i="14"/>
  <c r="CZ123" i="14"/>
  <c r="CZ122" i="14"/>
  <c r="DP122" i="14" s="1"/>
  <c r="CZ121" i="14"/>
  <c r="DP121" i="14" s="1"/>
  <c r="CZ120" i="14"/>
  <c r="CZ119" i="14"/>
  <c r="CZ118" i="14"/>
  <c r="DP118" i="14" s="1"/>
  <c r="CZ113" i="14"/>
  <c r="DP113" i="14" s="1"/>
  <c r="CZ112" i="14"/>
  <c r="CZ111" i="14"/>
  <c r="CZ105" i="14"/>
  <c r="CZ102" i="14"/>
  <c r="CZ89" i="14"/>
  <c r="CZ85" i="14"/>
  <c r="CZ84" i="14"/>
  <c r="CZ83" i="14"/>
  <c r="CZ82" i="14"/>
  <c r="CZ77" i="14"/>
  <c r="CZ74" i="14"/>
  <c r="CZ73" i="14"/>
  <c r="CZ69" i="14"/>
  <c r="CZ59" i="14"/>
  <c r="CZ57" i="14"/>
  <c r="CZ50" i="14"/>
  <c r="EJ51" i="14" s="1"/>
  <c r="CZ41" i="14"/>
  <c r="EJ42" i="14" s="1"/>
  <c r="CZ27" i="14"/>
  <c r="CZ10" i="14"/>
  <c r="CZ8" i="14"/>
  <c r="CZ5" i="14"/>
  <c r="CZ166" i="14" l="1"/>
  <c r="EI11" i="14"/>
  <c r="EJ11" i="14"/>
  <c r="CZ76" i="14"/>
  <c r="EI107" i="14"/>
  <c r="EJ28" i="14"/>
  <c r="EP10" i="14"/>
  <c r="EP19" i="14"/>
  <c r="EI6" i="14"/>
  <c r="EJ6" i="14"/>
  <c r="EI70" i="14"/>
  <c r="EJ70" i="14"/>
  <c r="EI28" i="14"/>
  <c r="EI51" i="14"/>
  <c r="EI42" i="14"/>
  <c r="CZ165" i="14"/>
  <c r="CZ128" i="14"/>
  <c r="CZ104" i="14"/>
  <c r="CZ68" i="14"/>
  <c r="CZ65" i="14"/>
  <c r="CZ71" i="14"/>
  <c r="DE166" i="14" l="1"/>
  <c r="EP76" i="14"/>
  <c r="EP11" i="14"/>
  <c r="AG317" i="9"/>
  <c r="AG366" i="9" s="1"/>
  <c r="AG406" i="9" s="1"/>
  <c r="AG24" i="9"/>
  <c r="AF317" i="9"/>
  <c r="AF366" i="9" s="1"/>
  <c r="AF406" i="9" s="1"/>
  <c r="AF24" i="9"/>
  <c r="AE317" i="9"/>
  <c r="AE24" i="9"/>
  <c r="AB19" i="8"/>
  <c r="AA19" i="8"/>
  <c r="Z19" i="8"/>
  <c r="AE366" i="9" l="1"/>
  <c r="AE406" i="9" s="1"/>
  <c r="B306" i="9"/>
  <c r="B305" i="9"/>
  <c r="B304" i="9"/>
  <c r="B301" i="9"/>
  <c r="B300" i="9"/>
  <c r="DA85" i="14" l="1"/>
  <c r="FL59" i="14" l="1"/>
  <c r="AB102" i="9"/>
  <c r="AC111" i="9"/>
  <c r="AB111" i="9"/>
  <c r="AB108" i="9" s="1"/>
  <c r="AC108" i="9" l="1"/>
  <c r="FH59" i="14"/>
  <c r="FJ59" i="14"/>
  <c r="AD111" i="9"/>
  <c r="AD108" i="9" s="1"/>
  <c r="AE150" i="9"/>
  <c r="DA123" i="14"/>
  <c r="DA130" i="14"/>
  <c r="DA134" i="14"/>
  <c r="DA149" i="14"/>
  <c r="DA59" i="14"/>
  <c r="DA57" i="14"/>
  <c r="DA50" i="14"/>
  <c r="DA51" i="14" s="1"/>
  <c r="DA8" i="14"/>
  <c r="CY51" i="14"/>
  <c r="AW35" i="11" l="1"/>
  <c r="GI59" i="14"/>
  <c r="GH59" i="14" s="1"/>
  <c r="GG59" i="14" s="1"/>
  <c r="GZ59" i="14"/>
  <c r="AF150" i="9"/>
  <c r="AE111" i="9"/>
  <c r="DA129" i="14"/>
  <c r="DA73" i="14"/>
  <c r="GY59" i="14" l="1"/>
  <c r="GX59" i="14" s="1"/>
  <c r="IB59" i="14"/>
  <c r="AG150" i="9"/>
  <c r="AX35" i="11"/>
  <c r="AF111" i="9"/>
  <c r="AE108" i="9"/>
  <c r="DA108" i="14"/>
  <c r="DA106" i="14" s="1"/>
  <c r="DA112" i="14"/>
  <c r="DA23" i="14"/>
  <c r="DA22" i="14"/>
  <c r="HY59" i="14" l="1"/>
  <c r="HX59" i="14" s="1"/>
  <c r="JH59" i="14"/>
  <c r="AY35" i="11"/>
  <c r="IP59" i="14"/>
  <c r="AF108" i="9"/>
  <c r="AG111" i="9"/>
  <c r="DA105" i="14"/>
  <c r="AI111" i="9" l="1"/>
  <c r="AI108" i="9" s="1"/>
  <c r="AH111" i="9"/>
  <c r="AH108" i="9" s="1"/>
  <c r="IN59" i="14"/>
  <c r="AL150" i="9"/>
  <c r="Y35" i="11"/>
  <c r="BG35" i="11" s="1"/>
  <c r="AK150" i="9"/>
  <c r="BB35" i="11"/>
  <c r="BS35" i="11" s="1"/>
  <c r="BA35" i="11"/>
  <c r="AG108" i="9"/>
  <c r="DV111" i="14"/>
  <c r="DV108" i="14"/>
  <c r="AJ111" i="9" l="1"/>
  <c r="AJ108" i="9" s="1"/>
  <c r="IL59" i="14"/>
  <c r="IK59" i="14" s="1"/>
  <c r="AK111" i="9"/>
  <c r="AK110" i="9" s="1"/>
  <c r="AK108" i="9" s="1"/>
  <c r="DV23" i="14"/>
  <c r="DV22" i="14"/>
  <c r="DV21" i="14"/>
  <c r="DV164" i="14"/>
  <c r="DV158" i="14"/>
  <c r="DV149" i="14"/>
  <c r="DV142" i="14"/>
  <c r="DV139" i="14"/>
  <c r="DV137" i="14"/>
  <c r="DV134" i="14"/>
  <c r="DV130" i="14"/>
  <c r="DV127" i="14"/>
  <c r="DV126" i="14"/>
  <c r="DV125" i="14"/>
  <c r="DV124" i="14"/>
  <c r="DV123" i="14"/>
  <c r="DV119" i="14"/>
  <c r="DV112" i="14"/>
  <c r="DV106" i="14"/>
  <c r="DV102" i="14"/>
  <c r="DV98" i="14"/>
  <c r="DV89" i="14"/>
  <c r="DV85" i="14"/>
  <c r="DV84" i="14"/>
  <c r="DV83" i="14"/>
  <c r="DV82" i="14"/>
  <c r="DV77" i="14"/>
  <c r="DV74" i="14"/>
  <c r="DV73" i="14"/>
  <c r="DV69" i="14"/>
  <c r="DV61" i="14"/>
  <c r="DV59" i="14"/>
  <c r="DV57" i="14"/>
  <c r="DV50" i="14"/>
  <c r="DV41" i="14"/>
  <c r="DV27" i="14"/>
  <c r="DV10" i="14"/>
  <c r="DV8" i="14"/>
  <c r="AC35" i="11" l="1"/>
  <c r="BK35" i="11" s="1"/>
  <c r="AM150" i="9"/>
  <c r="Z35" i="11"/>
  <c r="BH35" i="11" l="1"/>
  <c r="AP150" i="9"/>
  <c r="AB35" i="11"/>
  <c r="BJ35" i="11" s="1"/>
  <c r="AO150" i="9"/>
  <c r="AN150" i="9"/>
  <c r="AA35" i="11"/>
  <c r="BI35" i="11" s="1"/>
  <c r="BU35" i="11" s="1"/>
  <c r="CY129" i="14" l="1"/>
  <c r="CZ129" i="14" s="1"/>
  <c r="CY128" i="14"/>
  <c r="CY104" i="14"/>
  <c r="CY42" i="14"/>
  <c r="CY28" i="14"/>
  <c r="CY6" i="14"/>
  <c r="DV5" i="14"/>
  <c r="DV71" i="14" s="1"/>
  <c r="CY70" i="14"/>
  <c r="CY71" i="14"/>
  <c r="CY68" i="14"/>
  <c r="CY65" i="14"/>
  <c r="CY18" i="14"/>
  <c r="EG19" i="14" s="1"/>
  <c r="CY159" i="14"/>
  <c r="CZ18" i="14" l="1"/>
  <c r="CZ79" i="14" s="1"/>
  <c r="EH18" i="14"/>
  <c r="CY157" i="14"/>
  <c r="CZ157" i="14" s="1"/>
  <c r="CZ159" i="14"/>
  <c r="DV18" i="14"/>
  <c r="DV159" i="14"/>
  <c r="CY79" i="14"/>
  <c r="EH19" i="14" l="1"/>
  <c r="EI19" i="14"/>
  <c r="EI24" i="14" s="1"/>
  <c r="EJ19" i="14"/>
  <c r="DV157" i="14"/>
  <c r="DY79" i="14" l="1"/>
  <c r="DU123" i="14" l="1"/>
  <c r="AA96" i="9" l="1"/>
  <c r="AA103" i="9" s="1"/>
  <c r="AA104" i="9" s="1"/>
  <c r="Z103" i="9" l="1"/>
  <c r="DF17" i="14"/>
  <c r="Z104" i="9" l="1"/>
  <c r="Z96" i="9"/>
  <c r="AA97" i="9" s="1"/>
  <c r="CE43" i="14"/>
  <c r="CW53" i="14"/>
  <c r="CW55" i="14"/>
  <c r="DY90" i="14"/>
  <c r="DW92" i="14"/>
  <c r="DY84" i="14"/>
  <c r="DY83" i="14"/>
  <c r="DX82" i="14"/>
  <c r="CW124" i="14" l="1"/>
  <c r="CU124" i="14" s="1"/>
  <c r="CW125" i="14"/>
  <c r="CU125" i="14" s="1"/>
  <c r="DY17" i="14"/>
  <c r="CU122" i="14"/>
  <c r="CW122" i="14" s="1"/>
  <c r="CU121" i="14"/>
  <c r="CW121" i="14" s="1"/>
  <c r="CU120" i="14"/>
  <c r="CW120" i="14" s="1"/>
  <c r="CU123" i="14"/>
  <c r="CJ120" i="14"/>
  <c r="CU74" i="14"/>
  <c r="CU73" i="14"/>
  <c r="CU84" i="14"/>
  <c r="CU83" i="14"/>
  <c r="CU82" i="14"/>
  <c r="CU66" i="14"/>
  <c r="CU63" i="14"/>
  <c r="CU61" i="14"/>
  <c r="CU59" i="14"/>
  <c r="CU57" i="14"/>
  <c r="CU50" i="14"/>
  <c r="CU41" i="14"/>
  <c r="CU35" i="14"/>
  <c r="CU33" i="14"/>
  <c r="CU27" i="14"/>
  <c r="DI107" i="14" s="1"/>
  <c r="CU17" i="14"/>
  <c r="CU10" i="14"/>
  <c r="CU5" i="14"/>
  <c r="DI6" i="14" s="1"/>
  <c r="CU8" i="14"/>
  <c r="CU164" i="14"/>
  <c r="CU163" i="14"/>
  <c r="CU162" i="14"/>
  <c r="CU161" i="14"/>
  <c r="CU160" i="14"/>
  <c r="CU159" i="14"/>
  <c r="CU158" i="14"/>
  <c r="CU149" i="14"/>
  <c r="CU142" i="14"/>
  <c r="CU139" i="14"/>
  <c r="CU138" i="14"/>
  <c r="CU137" i="14"/>
  <c r="CU134" i="14"/>
  <c r="CU130" i="14"/>
  <c r="CU127" i="14"/>
  <c r="CU119" i="14"/>
  <c r="CU118" i="14"/>
  <c r="CU113" i="14"/>
  <c r="CU112" i="14"/>
  <c r="CU106" i="14"/>
  <c r="CU102" i="14"/>
  <c r="CU98" i="14"/>
  <c r="CU90" i="14"/>
  <c r="CU89" i="14"/>
  <c r="CU85" i="14"/>
  <c r="DY81" i="14"/>
  <c r="DY129" i="14"/>
  <c r="DW129" i="14"/>
  <c r="DV129" i="14" s="1"/>
  <c r="DI11" i="14" l="1"/>
  <c r="DR11" i="14"/>
  <c r="DX11" i="14"/>
  <c r="DI28" i="14"/>
  <c r="DR107" i="14"/>
  <c r="DR51" i="14"/>
  <c r="DI51" i="14"/>
  <c r="DR34" i="14"/>
  <c r="DI34" i="14"/>
  <c r="DR42" i="14"/>
  <c r="DI42" i="14"/>
  <c r="DR28" i="14"/>
  <c r="DX6" i="14"/>
  <c r="DR6" i="14"/>
  <c r="CW44" i="14"/>
  <c r="CO98" i="14" l="1"/>
  <c r="CO23" i="14"/>
  <c r="CO139" i="14" l="1"/>
  <c r="CO137" i="14"/>
  <c r="CO134" i="14"/>
  <c r="CO130" i="14"/>
  <c r="CW107" i="14"/>
  <c r="CO123" i="14"/>
  <c r="CO119" i="14"/>
  <c r="CO112" i="14"/>
  <c r="CO106" i="14"/>
  <c r="DY157" i="14" l="1"/>
  <c r="DX157" i="14" s="1"/>
  <c r="CO162" i="14"/>
  <c r="CO161" i="14"/>
  <c r="CO160" i="14"/>
  <c r="CO159" i="14"/>
  <c r="CO158" i="14"/>
  <c r="CW157" i="14"/>
  <c r="DW105" i="14" l="1"/>
  <c r="DV105" i="14" s="1"/>
  <c r="DW36" i="14"/>
  <c r="DY36" i="14"/>
  <c r="DX36" i="14" s="1"/>
  <c r="DW17" i="14"/>
  <c r="DY74" i="14"/>
  <c r="CO85" i="14"/>
  <c r="CO82" i="14"/>
  <c r="DY105" i="14"/>
  <c r="CW129" i="14"/>
  <c r="CW105" i="14"/>
  <c r="CW81" i="14"/>
  <c r="CR37" i="14"/>
  <c r="DB38" i="14" s="1"/>
  <c r="CW18" i="14"/>
  <c r="DK19" i="14" s="1"/>
  <c r="CP18" i="14"/>
  <c r="DG19" i="14" s="1"/>
  <c r="DS19" i="14" l="1"/>
  <c r="DS24" i="14" s="1"/>
  <c r="CU37" i="14"/>
  <c r="DY76" i="14"/>
  <c r="DX74" i="14"/>
  <c r="I35" i="11"/>
  <c r="I34" i="11"/>
  <c r="I29" i="11"/>
  <c r="I25" i="11"/>
  <c r="I22" i="11"/>
  <c r="I5" i="11" s="1"/>
  <c r="I21" i="11"/>
  <c r="I20" i="11"/>
  <c r="K43" i="11"/>
  <c r="I42" i="11"/>
  <c r="I41" i="11"/>
  <c r="I40" i="11"/>
  <c r="I39" i="11"/>
  <c r="I38" i="11"/>
  <c r="I37" i="11"/>
  <c r="AB237" i="9"/>
  <c r="AA237" i="9"/>
  <c r="J56" i="11"/>
  <c r="K42" i="11"/>
  <c r="K41" i="11"/>
  <c r="K40" i="11"/>
  <c r="K39" i="11"/>
  <c r="K38" i="11"/>
  <c r="K37" i="11"/>
  <c r="K35" i="11"/>
  <c r="K34" i="11"/>
  <c r="K29" i="11"/>
  <c r="K25" i="11"/>
  <c r="K22" i="11"/>
  <c r="K21" i="11"/>
  <c r="K20" i="11"/>
  <c r="DY19" i="14"/>
  <c r="W219" i="7"/>
  <c r="W218" i="7"/>
  <c r="W215" i="7"/>
  <c r="W212" i="7"/>
  <c r="W210" i="7"/>
  <c r="W204" i="7"/>
  <c r="W202" i="7"/>
  <c r="W201" i="7"/>
  <c r="W200" i="7"/>
  <c r="W198" i="7"/>
  <c r="W192" i="7"/>
  <c r="W178" i="7"/>
  <c r="W177" i="7"/>
  <c r="W174" i="7"/>
  <c r="W173" i="7"/>
  <c r="W170" i="7"/>
  <c r="W169" i="7"/>
  <c r="W166" i="7"/>
  <c r="W165" i="7"/>
  <c r="W157" i="7"/>
  <c r="W156" i="7"/>
  <c r="W154" i="7"/>
  <c r="W153" i="7"/>
  <c r="W152" i="7"/>
  <c r="W150" i="7"/>
  <c r="W134" i="7"/>
  <c r="W133" i="7"/>
  <c r="W122" i="7"/>
  <c r="W116" i="7"/>
  <c r="W114" i="7"/>
  <c r="W113" i="7"/>
  <c r="W112" i="7"/>
  <c r="W111" i="7"/>
  <c r="W93" i="7"/>
  <c r="W90" i="7"/>
  <c r="W88" i="7"/>
  <c r="W87" i="7"/>
  <c r="W85" i="7"/>
  <c r="W84" i="7"/>
  <c r="W76" i="7"/>
  <c r="W75" i="7"/>
  <c r="W74" i="7"/>
  <c r="W73" i="7"/>
  <c r="W71" i="7"/>
  <c r="W68" i="7"/>
  <c r="W66" i="7"/>
  <c r="W65" i="7"/>
  <c r="W64" i="7"/>
  <c r="W54" i="7"/>
  <c r="W52" i="7"/>
  <c r="W35" i="7"/>
  <c r="W33" i="7"/>
  <c r="W27" i="7"/>
  <c r="W26" i="7"/>
  <c r="W19" i="7"/>
  <c r="W21" i="7" s="1"/>
  <c r="W14" i="7"/>
  <c r="W12" i="7"/>
  <c r="W3" i="7"/>
  <c r="W255" i="13"/>
  <c r="W221" i="7" s="1"/>
  <c r="V255" i="13"/>
  <c r="W240" i="13"/>
  <c r="W216" i="7" s="1"/>
  <c r="W219" i="13"/>
  <c r="W206" i="7" s="1"/>
  <c r="W114" i="13"/>
  <c r="W113" i="13" s="1"/>
  <c r="W130" i="7" s="1"/>
  <c r="W99" i="13"/>
  <c r="W126" i="7" s="1"/>
  <c r="W22" i="13"/>
  <c r="W24" i="13" s="1"/>
  <c r="W117" i="7" s="1"/>
  <c r="W245" i="13"/>
  <c r="W217" i="7" s="1"/>
  <c r="W223" i="13"/>
  <c r="W209" i="7" s="1"/>
  <c r="W210" i="13"/>
  <c r="W202" i="13"/>
  <c r="W201" i="13"/>
  <c r="W199" i="13"/>
  <c r="W197" i="13"/>
  <c r="W189" i="13"/>
  <c r="W158" i="7" s="1"/>
  <c r="W179" i="13"/>
  <c r="W173" i="13"/>
  <c r="W157" i="13"/>
  <c r="W145" i="7" s="1"/>
  <c r="W145" i="13"/>
  <c r="W141" i="13"/>
  <c r="W140" i="7" s="1"/>
  <c r="W131" i="13"/>
  <c r="W129" i="13" s="1"/>
  <c r="W123" i="13"/>
  <c r="W136" i="7" s="1"/>
  <c r="W103" i="13"/>
  <c r="W125" i="7" s="1"/>
  <c r="W97" i="13"/>
  <c r="W124" i="7" s="1"/>
  <c r="W79" i="13"/>
  <c r="W81" i="7" s="1"/>
  <c r="W78" i="13"/>
  <c r="W80" i="7" s="1"/>
  <c r="W54" i="13"/>
  <c r="W60" i="7" s="1"/>
  <c r="W50" i="13"/>
  <c r="W57" i="7" s="1"/>
  <c r="W40" i="13"/>
  <c r="W33" i="13"/>
  <c r="W29" i="13" s="1"/>
  <c r="W30" i="7" s="1"/>
  <c r="W13" i="13"/>
  <c r="W16" i="13" s="1"/>
  <c r="AA14" i="9" s="1"/>
  <c r="AB17" i="7" l="1"/>
  <c r="Z16" i="7"/>
  <c r="W6" i="7"/>
  <c r="W5" i="7"/>
  <c r="X7" i="7" s="1"/>
  <c r="CW166" i="14"/>
  <c r="X31" i="7"/>
  <c r="AA46" i="9"/>
  <c r="CW169" i="14"/>
  <c r="W227" i="13"/>
  <c r="W149" i="13"/>
  <c r="W142" i="7" s="1"/>
  <c r="W115" i="7"/>
  <c r="W207" i="7"/>
  <c r="W131" i="7"/>
  <c r="W183" i="13"/>
  <c r="W89" i="7"/>
  <c r="W151" i="7"/>
  <c r="W155" i="7" s="1"/>
  <c r="W56" i="13"/>
  <c r="W127" i="13"/>
  <c r="W165" i="13"/>
  <c r="W163" i="13" s="1"/>
  <c r="W161" i="13" s="1"/>
  <c r="W23" i="7"/>
  <c r="W197" i="7"/>
  <c r="X69" i="7"/>
  <c r="W230" i="13"/>
  <c r="AA51" i="9"/>
  <c r="X34" i="7"/>
  <c r="X15" i="7"/>
  <c r="X77" i="7"/>
  <c r="W168" i="7"/>
  <c r="W36" i="7"/>
  <c r="W164" i="7"/>
  <c r="W196" i="7"/>
  <c r="X53" i="7"/>
  <c r="X228" i="7"/>
  <c r="W199" i="7"/>
  <c r="W141" i="7"/>
  <c r="DR38" i="14"/>
  <c r="DI38" i="14"/>
  <c r="W105" i="7"/>
  <c r="W98" i="7"/>
  <c r="W176" i="7"/>
  <c r="W225" i="7"/>
  <c r="W99" i="7"/>
  <c r="W102" i="7"/>
  <c r="W194" i="7"/>
  <c r="W214" i="7"/>
  <c r="W180" i="7"/>
  <c r="W211" i="7"/>
  <c r="W97" i="7"/>
  <c r="W100" i="7"/>
  <c r="W56" i="7"/>
  <c r="W104" i="7"/>
  <c r="W195" i="7"/>
  <c r="W86" i="7"/>
  <c r="W181" i="7"/>
  <c r="W135" i="7"/>
  <c r="W182" i="7"/>
  <c r="W172" i="7"/>
  <c r="W28" i="7"/>
  <c r="X29" i="7" s="1"/>
  <c r="W72" i="7"/>
  <c r="W106" i="7"/>
  <c r="W226" i="7"/>
  <c r="W107" i="7"/>
  <c r="W251" i="13"/>
  <c r="W148" i="13"/>
  <c r="W106" i="13"/>
  <c r="W107" i="13"/>
  <c r="W127" i="7" s="1"/>
  <c r="W203" i="13"/>
  <c r="W212" i="13" s="1"/>
  <c r="W44" i="13"/>
  <c r="DX107" i="14"/>
  <c r="DX68" i="14"/>
  <c r="CW128" i="14"/>
  <c r="CW104" i="14"/>
  <c r="CW79" i="14"/>
  <c r="CW76" i="14"/>
  <c r="CV71" i="14"/>
  <c r="DY68" i="14"/>
  <c r="DW68" i="14"/>
  <c r="CW68" i="14"/>
  <c r="DY65" i="14"/>
  <c r="DW65" i="14"/>
  <c r="CW65" i="14"/>
  <c r="CW38" i="14"/>
  <c r="CW34" i="14"/>
  <c r="CW51" i="14"/>
  <c r="CW49" i="14"/>
  <c r="CW47" i="14"/>
  <c r="CW42" i="14"/>
  <c r="CW28" i="14"/>
  <c r="CW19" i="14"/>
  <c r="CR6" i="14"/>
  <c r="DW38" i="14"/>
  <c r="DW34" i="14"/>
  <c r="DW70" i="14"/>
  <c r="DW6" i="14"/>
  <c r="DY6" i="14"/>
  <c r="DY51" i="14"/>
  <c r="DY42" i="14"/>
  <c r="DY38" i="14"/>
  <c r="DY34" i="14"/>
  <c r="DW51" i="14"/>
  <c r="DW42" i="14"/>
  <c r="DW28" i="14"/>
  <c r="DX129" i="14"/>
  <c r="DX38" i="14"/>
  <c r="DX34" i="14"/>
  <c r="CO49" i="14"/>
  <c r="CO47" i="14"/>
  <c r="CO44" i="14"/>
  <c r="CO5" i="14"/>
  <c r="CO149" i="14"/>
  <c r="CO142" i="14"/>
  <c r="CO127" i="14"/>
  <c r="CO102" i="14"/>
  <c r="CO74" i="14"/>
  <c r="CO73" i="14"/>
  <c r="CO59" i="14"/>
  <c r="CO57" i="14"/>
  <c r="CO50" i="14"/>
  <c r="CO41" i="14"/>
  <c r="CO27" i="14"/>
  <c r="DE107" i="14" s="1"/>
  <c r="CO10" i="14"/>
  <c r="CO8" i="14"/>
  <c r="DJ59" i="14"/>
  <c r="DF59" i="14" s="1"/>
  <c r="DY128" i="14"/>
  <c r="DW128" i="14"/>
  <c r="DY107" i="14"/>
  <c r="DW107" i="14"/>
  <c r="DY104" i="14"/>
  <c r="DW79" i="14"/>
  <c r="DW76" i="14"/>
  <c r="DY71" i="14"/>
  <c r="W101" i="7" l="1"/>
  <c r="X227" i="7"/>
  <c r="W40" i="7"/>
  <c r="AB39" i="7"/>
  <c r="Z38" i="7"/>
  <c r="W187" i="7"/>
  <c r="CJ169" i="14"/>
  <c r="CL169" i="14"/>
  <c r="CG169" i="14"/>
  <c r="CW69" i="14"/>
  <c r="AA47" i="9"/>
  <c r="AA45" i="9" s="1"/>
  <c r="CW168" i="14"/>
  <c r="W132" i="7"/>
  <c r="DE11" i="14"/>
  <c r="DQ11" i="14"/>
  <c r="W24" i="7"/>
  <c r="W36" i="13"/>
  <c r="W103" i="7"/>
  <c r="W128" i="7"/>
  <c r="W160" i="13"/>
  <c r="W146" i="7"/>
  <c r="W126" i="13"/>
  <c r="W137" i="7"/>
  <c r="W220" i="7"/>
  <c r="X55" i="7"/>
  <c r="W186" i="7"/>
  <c r="W143" i="7"/>
  <c r="W203" i="7"/>
  <c r="X37" i="7"/>
  <c r="W62" i="7"/>
  <c r="W61" i="7" s="1"/>
  <c r="W184" i="7"/>
  <c r="X189" i="7"/>
  <c r="DE28" i="14"/>
  <c r="DQ107" i="14"/>
  <c r="DQ28" i="14"/>
  <c r="DE51" i="14"/>
  <c r="DQ51" i="14"/>
  <c r="DE6" i="14"/>
  <c r="DQ6" i="14"/>
  <c r="DE42" i="14"/>
  <c r="DQ42" i="14"/>
  <c r="DX17" i="14"/>
  <c r="DX104" i="14"/>
  <c r="DX71" i="14"/>
  <c r="DX65" i="14"/>
  <c r="DX76" i="14"/>
  <c r="DX105" i="14"/>
  <c r="W96" i="7"/>
  <c r="AI19" i="11"/>
  <c r="AI36" i="11"/>
  <c r="CU104" i="14"/>
  <c r="DX28" i="14"/>
  <c r="DX51" i="14"/>
  <c r="CU68" i="14"/>
  <c r="CU128" i="14"/>
  <c r="DX42" i="14"/>
  <c r="DW71" i="14"/>
  <c r="CU65" i="14"/>
  <c r="DX79" i="14"/>
  <c r="DW104" i="14"/>
  <c r="DX128" i="14"/>
  <c r="CO66" i="14"/>
  <c r="CO68" i="14" s="1"/>
  <c r="CO63" i="14"/>
  <c r="CO65" i="14" s="1"/>
  <c r="W188" i="7" l="1"/>
  <c r="CW170" i="14"/>
  <c r="CG168" i="14"/>
  <c r="CJ168" i="14"/>
  <c r="CL168" i="14"/>
  <c r="CU69" i="14"/>
  <c r="DK70" i="14"/>
  <c r="DS70" i="14"/>
  <c r="DY70" i="14"/>
  <c r="CW71" i="14"/>
  <c r="CW165" i="14"/>
  <c r="CO69" i="14"/>
  <c r="W138" i="7"/>
  <c r="W185" i="7"/>
  <c r="W147" i="7"/>
  <c r="DR70" i="14" l="1"/>
  <c r="CU71" i="14"/>
  <c r="DX70" i="14"/>
  <c r="DI70" i="14"/>
  <c r="CU165" i="14"/>
  <c r="CO165" i="14"/>
  <c r="DE70" i="14"/>
  <c r="CO71" i="14"/>
  <c r="DQ70" i="14"/>
  <c r="CJ170" i="14"/>
  <c r="CL170" i="14"/>
  <c r="CG170" i="14"/>
  <c r="CG166" i="14" s="1"/>
  <c r="W160" i="7"/>
  <c r="W148" i="7"/>
  <c r="J66" i="14"/>
  <c r="J68" i="14" s="1"/>
  <c r="H66" i="14"/>
  <c r="H68" i="14" s="1"/>
  <c r="G66" i="14"/>
  <c r="G68" i="14" s="1"/>
  <c r="E66" i="14"/>
  <c r="E68" i="14" s="1"/>
  <c r="G65" i="14"/>
  <c r="E65" i="14"/>
  <c r="J65" i="14"/>
  <c r="H65" i="14"/>
  <c r="I63" i="14"/>
  <c r="F63" i="14"/>
  <c r="G71" i="14"/>
  <c r="E71" i="14"/>
  <c r="J71" i="14"/>
  <c r="H71" i="14"/>
  <c r="J70" i="14"/>
  <c r="H70" i="14"/>
  <c r="F69" i="14"/>
  <c r="I69" i="14"/>
  <c r="F66" i="14" l="1"/>
  <c r="I66" i="14"/>
  <c r="I70" i="14"/>
  <c r="J6" i="14"/>
  <c r="H6" i="14"/>
  <c r="F5" i="14"/>
  <c r="F65" i="14" s="1"/>
  <c r="I5" i="14"/>
  <c r="I65" i="14" s="1"/>
  <c r="AJ195" i="7" l="1"/>
  <c r="AI195" i="7"/>
  <c r="AH195" i="7"/>
  <c r="AG195" i="7"/>
  <c r="AF195" i="7"/>
  <c r="I68" i="14"/>
  <c r="I71" i="14"/>
  <c r="I6" i="14"/>
  <c r="F68" i="14"/>
  <c r="F71" i="14"/>
  <c r="Z192" i="7" l="1"/>
  <c r="Z122" i="7"/>
  <c r="Z93" i="7"/>
  <c r="Z12" i="7"/>
  <c r="AD317" i="9"/>
  <c r="FL149" i="14"/>
  <c r="AD24" i="9"/>
  <c r="Y8" i="8"/>
  <c r="FJ149" i="14" l="1"/>
  <c r="FH149" i="14"/>
  <c r="AD366" i="9"/>
  <c r="AD406" i="9" s="1"/>
  <c r="AV42" i="11"/>
  <c r="EB118" i="14" l="1"/>
  <c r="EB113" i="14"/>
  <c r="CL36" i="14" l="1"/>
  <c r="CJ46" i="14" l="1"/>
  <c r="CR46" i="14" s="1"/>
  <c r="CU46" i="14" s="1"/>
  <c r="CJ43" i="14"/>
  <c r="CR43" i="14" s="1"/>
  <c r="CU43" i="14" s="1"/>
  <c r="DR44" i="14" l="1"/>
  <c r="DJ44" i="14"/>
  <c r="DI44" i="14"/>
  <c r="DR47" i="14"/>
  <c r="DJ47" i="14"/>
  <c r="DI47" i="14"/>
  <c r="CU44" i="14"/>
  <c r="CU47" i="14"/>
  <c r="CP84" i="14"/>
  <c r="CO84" i="14" s="1"/>
  <c r="CP83" i="14"/>
  <c r="CO83" i="14" s="1"/>
  <c r="CP122" i="14"/>
  <c r="CP121" i="14"/>
  <c r="CP120" i="14"/>
  <c r="CP126" i="14"/>
  <c r="CP125" i="14"/>
  <c r="CP124" i="14"/>
  <c r="CP48" i="14"/>
  <c r="DH49" i="14" l="1"/>
  <c r="DG49" i="14"/>
  <c r="CJ35" i="14"/>
  <c r="CP35" i="14" s="1"/>
  <c r="CO35" i="14" s="1"/>
  <c r="CP96" i="14" l="1"/>
  <c r="CW96" i="14" s="1"/>
  <c r="CU96" i="14" s="1"/>
  <c r="CP95" i="14"/>
  <c r="CW95" i="14" s="1"/>
  <c r="CU95" i="14" s="1"/>
  <c r="CP94" i="14"/>
  <c r="CW94" i="14" s="1"/>
  <c r="CU94" i="14" s="1"/>
  <c r="CP93" i="14"/>
  <c r="CW93" i="14" s="1"/>
  <c r="CU93" i="14" s="1"/>
  <c r="EB119" i="14" l="1"/>
  <c r="CQ76" i="14"/>
  <c r="EB164" i="14"/>
  <c r="CL164" i="14"/>
  <c r="CM104" i="14"/>
  <c r="CP107" i="14"/>
  <c r="EB123" i="14"/>
  <c r="EB112" i="14"/>
  <c r="EB106" i="14"/>
  <c r="EB89" i="14"/>
  <c r="EB85" i="14"/>
  <c r="EB82" i="14"/>
  <c r="EB69" i="14"/>
  <c r="CJ84" i="14"/>
  <c r="CJ83" i="14"/>
  <c r="CL82" i="14"/>
  <c r="CP129" i="14"/>
  <c r="CL130" i="14"/>
  <c r="CL134" i="14"/>
  <c r="CL137" i="14"/>
  <c r="CL138" i="14"/>
  <c r="CL139" i="14"/>
  <c r="CP105" i="14"/>
  <c r="CP77" i="14"/>
  <c r="CP76" i="14"/>
  <c r="CO18" i="14"/>
  <c r="CP157" i="14"/>
  <c r="CO157" i="14" s="1"/>
  <c r="CP51" i="14"/>
  <c r="CP49" i="14"/>
  <c r="CP47" i="14"/>
  <c r="CP44" i="14"/>
  <c r="CP42" i="14"/>
  <c r="CP28" i="14"/>
  <c r="CL166" i="14" l="1"/>
  <c r="CP81" i="14"/>
  <c r="CO81" i="14" s="1"/>
  <c r="DG81" i="14"/>
  <c r="DE19" i="14"/>
  <c r="DQ19" i="14"/>
  <c r="CO77" i="14"/>
  <c r="EB77" i="14"/>
  <c r="DE81" i="14" l="1"/>
  <c r="EB159" i="14"/>
  <c r="EB158" i="14"/>
  <c r="EB139" i="14"/>
  <c r="EB137" i="14"/>
  <c r="EB134" i="14"/>
  <c r="EB130" i="14"/>
  <c r="EB61" i="14"/>
  <c r="CL34" i="14" l="1"/>
  <c r="CL162" i="14"/>
  <c r="CL160" i="14"/>
  <c r="CL159" i="14"/>
  <c r="CL161" i="14"/>
  <c r="CL158" i="14"/>
  <c r="CL123" i="14"/>
  <c r="CL119" i="14"/>
  <c r="CL112" i="14"/>
  <c r="CL106" i="14"/>
  <c r="CL98" i="14"/>
  <c r="CL89" i="14"/>
  <c r="CL85" i="14"/>
  <c r="CL66" i="14"/>
  <c r="CL63" i="14"/>
  <c r="CL61" i="14"/>
  <c r="CR107" i="14" l="1"/>
  <c r="CU107" i="14" s="1"/>
  <c r="CJ96" i="14" l="1"/>
  <c r="ED96" i="14" l="1"/>
  <c r="ED95" i="14"/>
  <c r="ED94" i="14"/>
  <c r="ED93" i="14"/>
  <c r="EC92" i="14"/>
  <c r="ED84" i="14"/>
  <c r="ED83" i="14"/>
  <c r="CJ94" i="14"/>
  <c r="CJ93" i="14"/>
  <c r="CR92" i="14"/>
  <c r="CP92" i="14" s="1"/>
  <c r="CW92" i="14" s="1"/>
  <c r="CU92" i="14" s="1"/>
  <c r="CJ95" i="14"/>
  <c r="CJ122" i="14"/>
  <c r="CJ121" i="14"/>
  <c r="EC35" i="14"/>
  <c r="CR36" i="14"/>
  <c r="ED36" i="14"/>
  <c r="EC36" i="14" l="1"/>
  <c r="CJ92" i="14"/>
  <c r="ED92" i="14"/>
  <c r="DJ8" i="14" l="1"/>
  <c r="CJ139" i="14" l="1"/>
  <c r="CJ137" i="14"/>
  <c r="CJ134" i="14"/>
  <c r="CJ130" i="14"/>
  <c r="CR129" i="14"/>
  <c r="CU129" i="14" s="1"/>
  <c r="ED129" i="14"/>
  <c r="ED128" i="14"/>
  <c r="EC106" i="14"/>
  <c r="ED107" i="14"/>
  <c r="ED105" i="14"/>
  <c r="CJ106" i="14"/>
  <c r="CJ112" i="14"/>
  <c r="CJ119" i="14"/>
  <c r="CJ123" i="14"/>
  <c r="CJ126" i="14" s="1"/>
  <c r="CW126" i="14" s="1"/>
  <c r="CU126" i="14" s="1"/>
  <c r="CJ98" i="14"/>
  <c r="CJ89" i="14"/>
  <c r="CJ85" i="14"/>
  <c r="CJ82" i="14"/>
  <c r="CR105" i="14"/>
  <c r="CU105" i="14" s="1"/>
  <c r="ED157" i="14"/>
  <c r="ED104" i="14"/>
  <c r="ED81" i="14"/>
  <c r="EB81" i="14" s="1"/>
  <c r="ED79" i="14"/>
  <c r="ED76" i="14"/>
  <c r="ED34" i="14"/>
  <c r="ED37" i="14"/>
  <c r="EC164" i="14"/>
  <c r="EC159" i="14"/>
  <c r="EC158" i="14"/>
  <c r="EC149" i="14"/>
  <c r="EC142" i="14"/>
  <c r="EC139" i="14"/>
  <c r="EC137" i="14"/>
  <c r="EC134" i="14"/>
  <c r="EC130" i="14"/>
  <c r="EC127" i="14"/>
  <c r="EC123" i="14"/>
  <c r="EC119" i="14"/>
  <c r="EC112" i="14"/>
  <c r="EC102" i="14"/>
  <c r="EC89" i="14"/>
  <c r="EC90" i="14" s="1"/>
  <c r="ED90" i="14" s="1"/>
  <c r="EC85" i="14"/>
  <c r="EC82" i="14"/>
  <c r="EC74" i="14"/>
  <c r="EC73" i="14"/>
  <c r="EC69" i="14"/>
  <c r="EC61" i="14"/>
  <c r="EC59" i="14"/>
  <c r="EC57" i="14"/>
  <c r="EC50" i="14"/>
  <c r="EC41" i="14"/>
  <c r="EC33" i="14"/>
  <c r="EC27" i="14"/>
  <c r="EC10" i="14"/>
  <c r="EC8" i="14"/>
  <c r="EC5" i="14"/>
  <c r="ED51" i="14"/>
  <c r="ED42" i="14"/>
  <c r="ED28" i="14"/>
  <c r="ED19" i="14"/>
  <c r="CL105" i="14" l="1"/>
  <c r="CL129" i="14"/>
  <c r="EC37" i="14"/>
  <c r="ED38" i="14"/>
  <c r="CJ61" i="14"/>
  <c r="CJ162" i="14"/>
  <c r="CJ161" i="14"/>
  <c r="CJ160" i="14"/>
  <c r="CJ159" i="14"/>
  <c r="CJ158" i="14"/>
  <c r="CJ149" i="14"/>
  <c r="CJ142" i="14"/>
  <c r="CJ127" i="14"/>
  <c r="CJ102" i="14"/>
  <c r="CJ74" i="14"/>
  <c r="CJ73" i="14"/>
  <c r="CJ69" i="14"/>
  <c r="CJ66" i="14"/>
  <c r="CJ63" i="14"/>
  <c r="CJ59" i="14"/>
  <c r="CJ57" i="14"/>
  <c r="CJ50" i="14"/>
  <c r="CJ41" i="14"/>
  <c r="CZ42" i="14" s="1"/>
  <c r="CJ27" i="14"/>
  <c r="CJ10" i="14"/>
  <c r="CJ8" i="14"/>
  <c r="CJ5" i="14"/>
  <c r="CR77" i="14"/>
  <c r="DB81" i="14" s="1"/>
  <c r="CR51" i="14"/>
  <c r="CR42" i="14"/>
  <c r="CR18" i="14"/>
  <c r="CR157" i="14"/>
  <c r="CU157" i="14" s="1"/>
  <c r="CR68" i="14"/>
  <c r="CR65" i="14"/>
  <c r="EC44" i="14"/>
  <c r="EC47" i="14"/>
  <c r="EC49" i="14"/>
  <c r="CZ11" i="14" l="1"/>
  <c r="DV11" i="14"/>
  <c r="CJ65" i="14"/>
  <c r="CZ6" i="14"/>
  <c r="FL8" i="14"/>
  <c r="FH8" i="14" s="1"/>
  <c r="AV20" i="11"/>
  <c r="AD72" i="9"/>
  <c r="DI81" i="14"/>
  <c r="DC81" i="14"/>
  <c r="DR81" i="14"/>
  <c r="DX81" i="14"/>
  <c r="DB19" i="14"/>
  <c r="DB24" i="14" s="1"/>
  <c r="CZ107" i="14"/>
  <c r="CZ28" i="14"/>
  <c r="CZ51" i="14"/>
  <c r="DV6" i="14"/>
  <c r="DV70" i="14"/>
  <c r="CZ70" i="14"/>
  <c r="DA41" i="14"/>
  <c r="DA102" i="14"/>
  <c r="DV28" i="14"/>
  <c r="DW19" i="14"/>
  <c r="DW24" i="14" s="1"/>
  <c r="DV24" i="14" s="1"/>
  <c r="CU18" i="14"/>
  <c r="DI19" i="14" s="1"/>
  <c r="CR81" i="14"/>
  <c r="CU81" i="14" s="1"/>
  <c r="CU77" i="14"/>
  <c r="DW81" i="14"/>
  <c r="CJ68" i="14"/>
  <c r="EC18" i="14"/>
  <c r="CJ76" i="14"/>
  <c r="EC157" i="14"/>
  <c r="EC77" i="14"/>
  <c r="FJ8" i="14" l="1"/>
  <c r="EC17" i="14"/>
  <c r="AE72" i="9"/>
  <c r="DQ81" i="14"/>
  <c r="DX19" i="14"/>
  <c r="DX24" i="14" s="1"/>
  <c r="DR19" i="14"/>
  <c r="DR24" i="14" s="1"/>
  <c r="DA127" i="14"/>
  <c r="DA128" i="14" s="1"/>
  <c r="CU79" i="14"/>
  <c r="DA42" i="14"/>
  <c r="DA27" i="14"/>
  <c r="CL81" i="14"/>
  <c r="GI8" i="14" l="1"/>
  <c r="GH8" i="14" s="1"/>
  <c r="GG8" i="14" s="1"/>
  <c r="O45" i="11"/>
  <c r="AW45" i="11" s="1"/>
  <c r="AW20" i="11"/>
  <c r="AF72" i="9"/>
  <c r="DA104" i="14"/>
  <c r="DA107" i="14"/>
  <c r="DA28" i="14"/>
  <c r="GZ8" i="14" l="1"/>
  <c r="GY8" i="14" s="1"/>
  <c r="GX8" i="14" s="1"/>
  <c r="AG72" i="9"/>
  <c r="AX20" i="11"/>
  <c r="IB8" i="14" l="1"/>
  <c r="JH8" i="14"/>
  <c r="AY20" i="11"/>
  <c r="CG107" i="14"/>
  <c r="IP8" i="14" l="1"/>
  <c r="IP9" i="14" s="1"/>
  <c r="HY8" i="14"/>
  <c r="HX8" i="14" s="1"/>
  <c r="GZ127" i="14"/>
  <c r="AF128" i="9"/>
  <c r="BA20" i="11"/>
  <c r="FL127" i="14"/>
  <c r="CG48" i="14"/>
  <c r="BP46" i="14"/>
  <c r="BP43" i="14"/>
  <c r="AG128" i="9" l="1"/>
  <c r="Y20" i="11"/>
  <c r="BG20" i="11" s="1"/>
  <c r="IN8" i="14"/>
  <c r="IN9" i="14" s="1"/>
  <c r="GY127" i="14"/>
  <c r="GX127" i="14" s="1"/>
  <c r="GZ129" i="14"/>
  <c r="GY129" i="14" s="1"/>
  <c r="BB20" i="11"/>
  <c r="BS20" i="11" s="1"/>
  <c r="FL129" i="14"/>
  <c r="FJ127" i="14"/>
  <c r="FH127" i="14"/>
  <c r="GI127" i="14"/>
  <c r="AX40" i="11"/>
  <c r="BS40" i="11" s="1"/>
  <c r="BP48" i="14"/>
  <c r="AV40" i="11"/>
  <c r="CG33" i="14"/>
  <c r="CY33" i="14" s="1"/>
  <c r="AI128" i="9" l="1"/>
  <c r="AH128" i="9"/>
  <c r="IL8" i="14"/>
  <c r="AC20" i="11"/>
  <c r="Z20" i="11"/>
  <c r="AW40" i="11"/>
  <c r="FJ129" i="14"/>
  <c r="FH129" i="14"/>
  <c r="CZ33" i="14"/>
  <c r="CZ36" i="14" s="1"/>
  <c r="EG33" i="14"/>
  <c r="EX33" i="14" s="1"/>
  <c r="IB127" i="14"/>
  <c r="IP127" i="14"/>
  <c r="CY36" i="14"/>
  <c r="CY37" i="14"/>
  <c r="CZ37" i="14" s="1"/>
  <c r="CY34" i="14"/>
  <c r="CG36" i="14"/>
  <c r="CJ33" i="14"/>
  <c r="CJ37" i="14" s="1"/>
  <c r="CG37" i="14"/>
  <c r="BH20" i="11" l="1"/>
  <c r="AL128" i="9"/>
  <c r="AJ128" i="9"/>
  <c r="BK20" i="11"/>
  <c r="IK8" i="14"/>
  <c r="IL9" i="14"/>
  <c r="IN127" i="14"/>
  <c r="AB20" i="11"/>
  <c r="IP129" i="14"/>
  <c r="AA20" i="11"/>
  <c r="IB129" i="14"/>
  <c r="HY129" i="14" s="1"/>
  <c r="HY127" i="14"/>
  <c r="HX127" i="14" s="1"/>
  <c r="FS33" i="14"/>
  <c r="GL33" i="14" s="1"/>
  <c r="GI129" i="14"/>
  <c r="GH129" i="14" s="1"/>
  <c r="GH127" i="14"/>
  <c r="GG127" i="14" s="1"/>
  <c r="EZ33" i="14"/>
  <c r="FM33" i="14"/>
  <c r="EX34" i="14"/>
  <c r="EI33" i="14"/>
  <c r="EI34" i="14" s="1"/>
  <c r="EG36" i="14"/>
  <c r="EI36" i="14" s="1"/>
  <c r="EG37" i="14"/>
  <c r="EX37" i="14" s="1"/>
  <c r="EH33" i="14"/>
  <c r="CZ38" i="14"/>
  <c r="AY40" i="11"/>
  <c r="BA40" i="11"/>
  <c r="CZ34" i="14"/>
  <c r="CY38" i="14"/>
  <c r="CJ36" i="14"/>
  <c r="CP36" i="14" s="1"/>
  <c r="CP37" i="14"/>
  <c r="CP33" i="14"/>
  <c r="DH34" i="14" s="1"/>
  <c r="AM128" i="9" l="1"/>
  <c r="IL127" i="14"/>
  <c r="IK127" i="14" s="1"/>
  <c r="BJ20" i="11"/>
  <c r="IN129" i="14"/>
  <c r="GL36" i="14"/>
  <c r="HD33" i="14"/>
  <c r="BI20" i="11"/>
  <c r="BU20" i="11" s="1"/>
  <c r="GL34" i="14"/>
  <c r="GO33" i="14"/>
  <c r="FS37" i="14"/>
  <c r="FV33" i="14"/>
  <c r="FS34" i="14"/>
  <c r="EZ34" i="14"/>
  <c r="EZ37" i="14"/>
  <c r="FM37" i="14"/>
  <c r="EX38" i="14"/>
  <c r="FM34" i="14"/>
  <c r="EI37" i="14"/>
  <c r="EG38" i="14"/>
  <c r="DG38" i="14"/>
  <c r="DH38" i="14"/>
  <c r="CO33" i="14"/>
  <c r="CO37" i="14"/>
  <c r="CJ164" i="14"/>
  <c r="CJ166" i="14" l="1"/>
  <c r="AN128" i="9"/>
  <c r="HD36" i="14"/>
  <c r="HF36" i="14" s="1"/>
  <c r="HF33" i="14"/>
  <c r="HF34" i="14" s="1"/>
  <c r="HD34" i="14"/>
  <c r="GO34" i="14"/>
  <c r="FV34" i="14"/>
  <c r="FV37" i="14"/>
  <c r="FV38" i="14" s="1"/>
  <c r="GL37" i="14"/>
  <c r="FS38" i="14"/>
  <c r="EI38" i="14"/>
  <c r="FM38" i="14"/>
  <c r="EZ38" i="14"/>
  <c r="DE38" i="14"/>
  <c r="DQ38" i="14"/>
  <c r="BP77" i="14"/>
  <c r="CG129" i="14"/>
  <c r="CG128" i="14"/>
  <c r="CG105" i="14"/>
  <c r="CG77" i="14"/>
  <c r="BP18" i="14"/>
  <c r="CG18" i="14"/>
  <c r="CG157" i="14"/>
  <c r="CO166" i="14" l="1"/>
  <c r="AO128" i="9"/>
  <c r="GL40" i="14"/>
  <c r="HD37" i="14"/>
  <c r="HD38" i="14" s="1"/>
  <c r="GO37" i="14"/>
  <c r="GO38" i="14" s="1"/>
  <c r="GL38" i="14"/>
  <c r="CY19" i="14"/>
  <c r="CJ18" i="14"/>
  <c r="CZ19" i="14" s="1"/>
  <c r="CJ77" i="14"/>
  <c r="CY81" i="14"/>
  <c r="CZ81" i="14" s="1"/>
  <c r="CJ157" i="14"/>
  <c r="CG81" i="14"/>
  <c r="CJ81" i="14" s="1"/>
  <c r="AP128" i="9" l="1"/>
  <c r="HD40" i="14"/>
  <c r="HF37" i="14"/>
  <c r="HF38" i="14" s="1"/>
  <c r="DV81" i="14"/>
  <c r="CJ79" i="14"/>
  <c r="DA84" i="14"/>
  <c r="DV19" i="14"/>
  <c r="HF40" i="14" l="1"/>
  <c r="DA83" i="14"/>
  <c r="DA82" i="14" s="1"/>
  <c r="DA81" i="14" s="1"/>
  <c r="DA77" i="14" s="1"/>
  <c r="DA18" i="14"/>
  <c r="DA19" i="14" s="1"/>
  <c r="CI50" i="14"/>
  <c r="CI33" i="14"/>
  <c r="CI34" i="14" s="1"/>
  <c r="CI18" i="14"/>
  <c r="CI105" i="14"/>
  <c r="CI102" i="14" s="1"/>
  <c r="CI157" i="14"/>
  <c r="CI82" i="14"/>
  <c r="CI81" i="14" s="1"/>
  <c r="CI77" i="14" s="1"/>
  <c r="CI74" i="14" s="1"/>
  <c r="DA10" i="14" l="1"/>
  <c r="DA11" i="14" s="1"/>
  <c r="DA74" i="14"/>
  <c r="DA79" i="14"/>
  <c r="CI69" i="14"/>
  <c r="DA76" i="14" l="1"/>
  <c r="DA5" i="14"/>
  <c r="DA6" i="14" s="1"/>
  <c r="CI70" i="14"/>
  <c r="CI165" i="14"/>
  <c r="CG34" i="14" l="1"/>
  <c r="CE36" i="14"/>
  <c r="CC35" i="14"/>
  <c r="DA69" i="14" l="1"/>
  <c r="BV35" i="14"/>
  <c r="DA71" i="14" l="1"/>
  <c r="DA70" i="14"/>
  <c r="CO36" i="14"/>
  <c r="CE126" i="14"/>
  <c r="CE120" i="14"/>
  <c r="CU36" i="14" l="1"/>
  <c r="CW36" i="14"/>
  <c r="Z194" i="9" l="1"/>
  <c r="CC162" i="14" l="1"/>
  <c r="CC161" i="14"/>
  <c r="CC160" i="14"/>
  <c r="CC137" i="14" l="1"/>
  <c r="EC128" i="14" l="1"/>
  <c r="CC134" i="14"/>
  <c r="CC139" i="14"/>
  <c r="CC130" i="14"/>
  <c r="CC123" i="14"/>
  <c r="BV123" i="14" s="1"/>
  <c r="CC119" i="14"/>
  <c r="BV119" i="14" s="1"/>
  <c r="CC112" i="14"/>
  <c r="BV112" i="14" s="1"/>
  <c r="BX107" i="14"/>
  <c r="CE107" i="14"/>
  <c r="BY107" i="14"/>
  <c r="CC106" i="14"/>
  <c r="BV106" i="14" s="1"/>
  <c r="CC98" i="14"/>
  <c r="BV98" i="14" s="1"/>
  <c r="CC89" i="14"/>
  <c r="BV89" i="14" s="1"/>
  <c r="CC85" i="14"/>
  <c r="BV85" i="14" s="1"/>
  <c r="CC82" i="14"/>
  <c r="BV82" i="14" s="1"/>
  <c r="CE81" i="14"/>
  <c r="EC104" i="14" l="1"/>
  <c r="EC79" i="14"/>
  <c r="CC77" i="14"/>
  <c r="EC81" i="14" l="1"/>
  <c r="ED71" i="14"/>
  <c r="BU79" i="14" l="1"/>
  <c r="CE69" i="14"/>
  <c r="CC61" i="14"/>
  <c r="BU76" i="14"/>
  <c r="CE51" i="14"/>
  <c r="CD51" i="14"/>
  <c r="CE42" i="14"/>
  <c r="CD42" i="14"/>
  <c r="CB76" i="14"/>
  <c r="CE129" i="14"/>
  <c r="CD129" i="14"/>
  <c r="CB128" i="14"/>
  <c r="CE105" i="14"/>
  <c r="CD105" i="14"/>
  <c r="CB104" i="14"/>
  <c r="BP104" i="14"/>
  <c r="BU104" i="14"/>
  <c r="BX104" i="14"/>
  <c r="BU128" i="14"/>
  <c r="CD128" i="14"/>
  <c r="CD104" i="14"/>
  <c r="CD76" i="14"/>
  <c r="CE157" i="14"/>
  <c r="EC71" i="14"/>
  <c r="BU71" i="14"/>
  <c r="CB71" i="14"/>
  <c r="CD71" i="14"/>
  <c r="V245" i="13"/>
  <c r="V217" i="7" s="1"/>
  <c r="V240" i="13"/>
  <c r="V229" i="13"/>
  <c r="V212" i="7" s="1"/>
  <c r="V223" i="13"/>
  <c r="V219" i="13"/>
  <c r="V206" i="7" s="1"/>
  <c r="V210" i="13"/>
  <c r="V202" i="13"/>
  <c r="V201" i="13"/>
  <c r="V199" i="13"/>
  <c r="V197" i="13"/>
  <c r="V189" i="13"/>
  <c r="V165" i="13" s="1"/>
  <c r="V163" i="13" s="1"/>
  <c r="V179" i="13"/>
  <c r="V173" i="13"/>
  <c r="V151" i="7" s="1"/>
  <c r="V157" i="13"/>
  <c r="V145" i="7" s="1"/>
  <c r="V145" i="13"/>
  <c r="V141" i="7" s="1"/>
  <c r="V141" i="13"/>
  <c r="V131" i="13"/>
  <c r="V129" i="13" s="1"/>
  <c r="V123" i="13"/>
  <c r="V136" i="7" s="1"/>
  <c r="V117" i="13"/>
  <c r="V133" i="7" s="1"/>
  <c r="V114" i="13"/>
  <c r="V113" i="13" s="1"/>
  <c r="V130" i="7" s="1"/>
  <c r="V103" i="13"/>
  <c r="V125" i="7" s="1"/>
  <c r="V99" i="13"/>
  <c r="V97" i="13"/>
  <c r="V124" i="7" s="1"/>
  <c r="V78" i="13"/>
  <c r="V80" i="7" s="1"/>
  <c r="V54" i="13"/>
  <c r="V60" i="7" s="1"/>
  <c r="V50" i="13"/>
  <c r="V57" i="7" s="1"/>
  <c r="V40" i="13"/>
  <c r="V44" i="13" s="1"/>
  <c r="V221" i="7"/>
  <c r="V219" i="7"/>
  <c r="V218" i="7"/>
  <c r="V216" i="7"/>
  <c r="V215" i="7"/>
  <c r="V210" i="7"/>
  <c r="V209" i="7"/>
  <c r="V204" i="7"/>
  <c r="V202" i="7"/>
  <c r="V201" i="7"/>
  <c r="V200" i="7"/>
  <c r="V198" i="7"/>
  <c r="V192" i="7"/>
  <c r="V178" i="7"/>
  <c r="V177" i="7"/>
  <c r="V174" i="7"/>
  <c r="V173" i="7"/>
  <c r="V170" i="7"/>
  <c r="V169" i="7"/>
  <c r="V166" i="7"/>
  <c r="V165" i="7"/>
  <c r="V157" i="7"/>
  <c r="V156" i="7"/>
  <c r="V154" i="7"/>
  <c r="V153" i="7"/>
  <c r="V152" i="7"/>
  <c r="V150" i="7"/>
  <c r="V134" i="7"/>
  <c r="V126" i="7"/>
  <c r="V122" i="7"/>
  <c r="V116" i="7"/>
  <c r="V114" i="7"/>
  <c r="V113" i="7"/>
  <c r="V112" i="7"/>
  <c r="V111" i="7"/>
  <c r="V93" i="7"/>
  <c r="V88" i="7"/>
  <c r="V87" i="7"/>
  <c r="V85" i="7"/>
  <c r="V84" i="7"/>
  <c r="V76" i="7"/>
  <c r="V75" i="7"/>
  <c r="V74" i="7"/>
  <c r="V73" i="7"/>
  <c r="V71" i="7"/>
  <c r="V68" i="7"/>
  <c r="V66" i="7"/>
  <c r="V65" i="7"/>
  <c r="V64" i="7"/>
  <c r="V54" i="7"/>
  <c r="V52" i="7"/>
  <c r="V35" i="7"/>
  <c r="V33" i="7"/>
  <c r="V27" i="7"/>
  <c r="V26" i="7"/>
  <c r="V19" i="7"/>
  <c r="V21" i="7" s="1"/>
  <c r="V14" i="7"/>
  <c r="V12" i="7"/>
  <c r="V33" i="13"/>
  <c r="V29" i="13" s="1"/>
  <c r="V30" i="7" s="1"/>
  <c r="V22" i="13"/>
  <c r="V24" i="13" s="1"/>
  <c r="V117" i="7" s="1"/>
  <c r="V13" i="13"/>
  <c r="V16" i="13" s="1"/>
  <c r="AA17" i="7" l="1"/>
  <c r="Y16" i="7"/>
  <c r="CE166" i="14"/>
  <c r="V28" i="7"/>
  <c r="W29" i="7" s="1"/>
  <c r="Z46" i="9"/>
  <c r="CE169" i="14"/>
  <c r="W31" i="7"/>
  <c r="V158" i="7"/>
  <c r="V203" i="13"/>
  <c r="V212" i="13" s="1"/>
  <c r="V251" i="13"/>
  <c r="V161" i="13"/>
  <c r="V160" i="13" s="1"/>
  <c r="V148" i="13"/>
  <c r="V10" i="13"/>
  <c r="V140" i="7"/>
  <c r="V131" i="7"/>
  <c r="V227" i="13"/>
  <c r="V115" i="7"/>
  <c r="V106" i="13"/>
  <c r="V149" i="13"/>
  <c r="V142" i="7" s="1"/>
  <c r="V207" i="7"/>
  <c r="V56" i="13"/>
  <c r="CE63" i="14"/>
  <c r="CC63" i="14" s="1"/>
  <c r="Z14" i="9"/>
  <c r="V183" i="13"/>
  <c r="V127" i="13"/>
  <c r="V126" i="13" s="1"/>
  <c r="V195" i="7"/>
  <c r="V256" i="13"/>
  <c r="V230" i="13"/>
  <c r="W34" i="7"/>
  <c r="Z51" i="9"/>
  <c r="V197" i="7"/>
  <c r="W69" i="7"/>
  <c r="W55" i="7"/>
  <c r="I43" i="11"/>
  <c r="W15" i="7"/>
  <c r="I12" i="11"/>
  <c r="I13" i="11" s="1"/>
  <c r="I16" i="11"/>
  <c r="V75" i="13"/>
  <c r="I17" i="11"/>
  <c r="W77" i="7"/>
  <c r="W53" i="7"/>
  <c r="W228" i="7"/>
  <c r="CW70" i="14"/>
  <c r="V23" i="7"/>
  <c r="V172" i="7"/>
  <c r="V225" i="7"/>
  <c r="V100" i="7"/>
  <c r="V107" i="13"/>
  <c r="V127" i="7" s="1"/>
  <c r="V36" i="7"/>
  <c r="V97" i="7"/>
  <c r="V99" i="7"/>
  <c r="V104" i="7"/>
  <c r="V214" i="7"/>
  <c r="V181" i="7"/>
  <c r="V98" i="7"/>
  <c r="V164" i="7"/>
  <c r="V168" i="7"/>
  <c r="V176" i="7"/>
  <c r="V63" i="13"/>
  <c r="V180" i="7"/>
  <c r="V135" i="7"/>
  <c r="V215" i="13"/>
  <c r="CC69" i="14"/>
  <c r="CU70" i="14" s="1"/>
  <c r="V211" i="7"/>
  <c r="V199" i="7"/>
  <c r="V155" i="7"/>
  <c r="V186" i="7"/>
  <c r="V79" i="13"/>
  <c r="V81" i="7" s="1"/>
  <c r="V89" i="7"/>
  <c r="V90" i="7"/>
  <c r="V86" i="7"/>
  <c r="V5" i="7"/>
  <c r="V105" i="7"/>
  <c r="V72" i="7"/>
  <c r="V56" i="7"/>
  <c r="V102" i="7"/>
  <c r="V106" i="7"/>
  <c r="V187" i="7"/>
  <c r="V194" i="7"/>
  <c r="V196" i="7"/>
  <c r="V226" i="7"/>
  <c r="V107" i="7"/>
  <c r="V40" i="7" l="1"/>
  <c r="V24" i="7"/>
  <c r="W227" i="7"/>
  <c r="AA39" i="7"/>
  <c r="Y38" i="7"/>
  <c r="V190" i="13"/>
  <c r="BT169" i="14"/>
  <c r="BP169" i="14"/>
  <c r="BR169" i="14"/>
  <c r="Z47" i="9"/>
  <c r="Z45" i="9" s="1"/>
  <c r="CE168" i="14"/>
  <c r="V6" i="7"/>
  <c r="V261" i="13"/>
  <c r="V146" i="7"/>
  <c r="V182" i="7"/>
  <c r="V143" i="7"/>
  <c r="V137" i="7"/>
  <c r="V132" i="7"/>
  <c r="V103" i="7"/>
  <c r="V128" i="7"/>
  <c r="V220" i="7"/>
  <c r="V188" i="7"/>
  <c r="V184" i="7"/>
  <c r="V147" i="7"/>
  <c r="V62" i="7"/>
  <c r="V61" i="7" s="1"/>
  <c r="W189" i="7"/>
  <c r="W7" i="7"/>
  <c r="V36" i="13"/>
  <c r="I14" i="11"/>
  <c r="I15" i="11" s="1"/>
  <c r="W37" i="7"/>
  <c r="V101" i="7"/>
  <c r="V203" i="7"/>
  <c r="V96" i="7"/>
  <c r="BT168" i="14" l="1"/>
  <c r="BP168" i="14"/>
  <c r="BR168" i="14"/>
  <c r="CE170" i="14"/>
  <c r="V138" i="7"/>
  <c r="V185" i="7"/>
  <c r="V148" i="7"/>
  <c r="EC76" i="14"/>
  <c r="ED70" i="14"/>
  <c r="CE19" i="14"/>
  <c r="CE24" i="14" s="1"/>
  <c r="CE66" i="14"/>
  <c r="CC66" i="14" s="1"/>
  <c r="CE5" i="14"/>
  <c r="CC5" i="14" s="1"/>
  <c r="BT170" i="14" l="1"/>
  <c r="BP170" i="14"/>
  <c r="BP166" i="14" s="1"/>
  <c r="BR170" i="14"/>
  <c r="V134" i="13"/>
  <c r="V160" i="7"/>
  <c r="CW6" i="14"/>
  <c r="ED6" i="14"/>
  <c r="CU6" i="14"/>
  <c r="CE65" i="14"/>
  <c r="CE68" i="14"/>
  <c r="S110" i="8" l="1"/>
  <c r="R110" i="8"/>
  <c r="Q110" i="8"/>
  <c r="R111" i="8" l="1"/>
  <c r="S111" i="8"/>
  <c r="CC158" i="14"/>
  <c r="CC159" i="14"/>
  <c r="Z88" i="9"/>
  <c r="AA88" i="9" l="1"/>
  <c r="Z89" i="9"/>
  <c r="BX14" i="14"/>
  <c r="BX13" i="14"/>
  <c r="BX26" i="14"/>
  <c r="BX25" i="14"/>
  <c r="BX23" i="14"/>
  <c r="BX22" i="14"/>
  <c r="BX21" i="14"/>
  <c r="BX126" i="14"/>
  <c r="BX125" i="14"/>
  <c r="BX124" i="14"/>
  <c r="BX122" i="14"/>
  <c r="BX121" i="14"/>
  <c r="BX120" i="14"/>
  <c r="BX35" i="14"/>
  <c r="BT36" i="14"/>
  <c r="BA33" i="14"/>
  <c r="AB88" i="9" l="1"/>
  <c r="AA89" i="9"/>
  <c r="BR23" i="14"/>
  <c r="BR22" i="14"/>
  <c r="BT139" i="14"/>
  <c r="BV139" i="14" s="1"/>
  <c r="BT137" i="14"/>
  <c r="BV137" i="14" s="1"/>
  <c r="BT134" i="14"/>
  <c r="BV134" i="14" s="1"/>
  <c r="BT130" i="14"/>
  <c r="BV130" i="14" s="1"/>
  <c r="BX129" i="14"/>
  <c r="AB89" i="9" l="1"/>
  <c r="AC88" i="9"/>
  <c r="BY62" i="14"/>
  <c r="BS79" i="14"/>
  <c r="BX105" i="14"/>
  <c r="BT77" i="14"/>
  <c r="BV77" i="14" s="1"/>
  <c r="AD88" i="9" l="1"/>
  <c r="AC89" i="9"/>
  <c r="BT162" i="14"/>
  <c r="BV162" i="14" s="1"/>
  <c r="BT161" i="14"/>
  <c r="BV161" i="14" s="1"/>
  <c r="BT160" i="14"/>
  <c r="BV160" i="14" s="1"/>
  <c r="BT159" i="14"/>
  <c r="BV159" i="14" s="1"/>
  <c r="BT158" i="14"/>
  <c r="BV158" i="14" s="1"/>
  <c r="BT164" i="14"/>
  <c r="BT149" i="14"/>
  <c r="BT142" i="14"/>
  <c r="BT127" i="14"/>
  <c r="BT102" i="14"/>
  <c r="BT73" i="14"/>
  <c r="BT74" i="14"/>
  <c r="BT69" i="14"/>
  <c r="BT66" i="14"/>
  <c r="BV66" i="14" s="1"/>
  <c r="BT63" i="14"/>
  <c r="BV63" i="14" s="1"/>
  <c r="BT61" i="14"/>
  <c r="BT59" i="14"/>
  <c r="BT57" i="14"/>
  <c r="BT50" i="14"/>
  <c r="CM51" i="14" s="1"/>
  <c r="BT41" i="14"/>
  <c r="CM42" i="14" s="1"/>
  <c r="BT27" i="14"/>
  <c r="CM28" i="14" s="1"/>
  <c r="BT17" i="14"/>
  <c r="BT10" i="14"/>
  <c r="BT8" i="14"/>
  <c r="BT5" i="14"/>
  <c r="BX157" i="14"/>
  <c r="BX128" i="14"/>
  <c r="BX80" i="14"/>
  <c r="BX76" i="14"/>
  <c r="BX71" i="14"/>
  <c r="BX70" i="14"/>
  <c r="BX68" i="14"/>
  <c r="BX65" i="14"/>
  <c r="BX51" i="14"/>
  <c r="BX42" i="14"/>
  <c r="BX28" i="14"/>
  <c r="BX18" i="14"/>
  <c r="BX19" i="14" s="1"/>
  <c r="BX6" i="14"/>
  <c r="BT166" i="14" l="1"/>
  <c r="AE88" i="9"/>
  <c r="AD89" i="9"/>
  <c r="BV5" i="14"/>
  <c r="BT128" i="14"/>
  <c r="BT104" i="14"/>
  <c r="BV69" i="14"/>
  <c r="BV61" i="14"/>
  <c r="BT68" i="14"/>
  <c r="BT65" i="14"/>
  <c r="BT71" i="14"/>
  <c r="BX79" i="14"/>
  <c r="BT37" i="14"/>
  <c r="CL38" i="14" s="1"/>
  <c r="AF88" i="9" l="1"/>
  <c r="AE89" i="9"/>
  <c r="CO6" i="14"/>
  <c r="EB70" i="14"/>
  <c r="CO70" i="14"/>
  <c r="AF89" i="9" l="1"/>
  <c r="AG88" i="9"/>
  <c r="BR125" i="14"/>
  <c r="BR124" i="14"/>
  <c r="BR121" i="14"/>
  <c r="BR120" i="14"/>
  <c r="AG89" i="9" l="1"/>
  <c r="AI88" i="9"/>
  <c r="AH88" i="9"/>
  <c r="BR139" i="14"/>
  <c r="BR137" i="14"/>
  <c r="BR134" i="14"/>
  <c r="BR130" i="14"/>
  <c r="BR123" i="14"/>
  <c r="BR119" i="14"/>
  <c r="BR112" i="14"/>
  <c r="BR106" i="14"/>
  <c r="BR98" i="14"/>
  <c r="BR89" i="14"/>
  <c r="BR85" i="14"/>
  <c r="BR82" i="14"/>
  <c r="BR77" i="14"/>
  <c r="BR35" i="14"/>
  <c r="BY46" i="14"/>
  <c r="BY43" i="14"/>
  <c r="BY33" i="14"/>
  <c r="CR34" i="14" s="1"/>
  <c r="BY37" i="14"/>
  <c r="CR38" i="14" s="1"/>
  <c r="AI89" i="9" l="1"/>
  <c r="AI87" i="9"/>
  <c r="AK88" i="9"/>
  <c r="AJ88" i="9"/>
  <c r="BR46" i="14"/>
  <c r="CJ47" i="14" s="1"/>
  <c r="CR47" i="14"/>
  <c r="BR43" i="14"/>
  <c r="CJ44" i="14" s="1"/>
  <c r="CR44" i="14"/>
  <c r="CC37" i="14"/>
  <c r="CC33" i="14"/>
  <c r="CU34" i="14" s="1"/>
  <c r="BX33" i="14"/>
  <c r="CP34" i="14" s="1"/>
  <c r="BX37" i="14"/>
  <c r="CP38" i="14" s="1"/>
  <c r="BR33" i="14"/>
  <c r="BY36" i="14"/>
  <c r="BR164" i="14"/>
  <c r="BR162" i="14"/>
  <c r="BR161" i="14"/>
  <c r="BR160" i="14"/>
  <c r="BR159" i="14"/>
  <c r="BR158" i="14"/>
  <c r="BR149" i="14"/>
  <c r="BR142" i="14"/>
  <c r="BR127" i="14"/>
  <c r="CJ129" i="14" s="1"/>
  <c r="BR102" i="14"/>
  <c r="CJ105" i="14" s="1"/>
  <c r="BR74" i="14"/>
  <c r="BR73" i="14"/>
  <c r="BR69" i="14"/>
  <c r="BR66" i="14"/>
  <c r="BR63" i="14"/>
  <c r="BR61" i="14"/>
  <c r="BR59" i="14"/>
  <c r="BR57" i="14"/>
  <c r="BR50" i="14"/>
  <c r="CJ51" i="14" s="1"/>
  <c r="BR41" i="14"/>
  <c r="BR27" i="14"/>
  <c r="CJ107" i="14" s="1"/>
  <c r="BR166" i="14" l="1"/>
  <c r="AK89" i="9"/>
  <c r="AL88" i="9"/>
  <c r="AM88" i="9" s="1"/>
  <c r="AN88" i="9" s="1"/>
  <c r="AO88" i="9" s="1"/>
  <c r="AP88" i="9" s="1"/>
  <c r="EC38" i="14"/>
  <c r="CU38" i="14"/>
  <c r="CC36" i="14"/>
  <c r="EC34" i="14"/>
  <c r="CJ104" i="14"/>
  <c r="CJ42" i="14"/>
  <c r="CJ128" i="14"/>
  <c r="CJ28" i="14"/>
  <c r="CJ34" i="14"/>
  <c r="BR104" i="14"/>
  <c r="BV37" i="14"/>
  <c r="CO38" i="14" s="1"/>
  <c r="BV33" i="14"/>
  <c r="CO34" i="14" s="1"/>
  <c r="BX36" i="14"/>
  <c r="BR128" i="14"/>
  <c r="BR5" i="14"/>
  <c r="BR8" i="14"/>
  <c r="BV166" i="14" l="1"/>
  <c r="BV36" i="14"/>
  <c r="CR28" i="14"/>
  <c r="CR104" i="14"/>
  <c r="CR128" i="14"/>
  <c r="BR71" i="14"/>
  <c r="BR68" i="14"/>
  <c r="BR65" i="14"/>
  <c r="BY157" i="14"/>
  <c r="BY128" i="14"/>
  <c r="BY129" i="14"/>
  <c r="BY105" i="14"/>
  <c r="BY104" i="14"/>
  <c r="BY80" i="14"/>
  <c r="BY76" i="14"/>
  <c r="BY71" i="14"/>
  <c r="BY70" i="14"/>
  <c r="BY68" i="14"/>
  <c r="BY65" i="14"/>
  <c r="BY51" i="14"/>
  <c r="BY42" i="14"/>
  <c r="BY38" i="14"/>
  <c r="BY34" i="14"/>
  <c r="BY28" i="14"/>
  <c r="BY18" i="14"/>
  <c r="BY6" i="14"/>
  <c r="CC18" i="14" l="1"/>
  <c r="CU19" i="14" s="1"/>
  <c r="BY19" i="14"/>
  <c r="BT18" i="14"/>
  <c r="BT129" i="14"/>
  <c r="BT157" i="14"/>
  <c r="BY79" i="14"/>
  <c r="EC19" i="14" l="1"/>
  <c r="BY24" i="14"/>
  <c r="BV18" i="14"/>
  <c r="CO19" i="14" s="1"/>
  <c r="BT79" i="14"/>
  <c r="BT19" i="14"/>
  <c r="BX24" i="14" l="1"/>
  <c r="BY84" i="14"/>
  <c r="BY83" i="14" s="1"/>
  <c r="CJ165" i="14"/>
  <c r="CJ70" i="14"/>
  <c r="BZ17" i="14" l="1"/>
  <c r="AV17" i="14"/>
  <c r="BB79" i="14" l="1"/>
  <c r="AU79" i="14"/>
  <c r="BR10" i="14"/>
  <c r="CJ11" i="14" l="1"/>
  <c r="BR76" i="14"/>
  <c r="BE36" i="14"/>
  <c r="BB35" i="14"/>
  <c r="BC35" i="14" l="1"/>
  <c r="AW35" i="14" s="1"/>
  <c r="BC17" i="14" l="1"/>
  <c r="AA212" i="9" l="1"/>
  <c r="Z212" i="9"/>
  <c r="BP83" i="14" l="1"/>
  <c r="BQ35" i="14"/>
  <c r="BP36" i="14"/>
  <c r="BR36" i="14" s="1"/>
  <c r="AU36" i="14"/>
  <c r="BQ36" i="14" l="1"/>
  <c r="AU105" i="14" l="1"/>
  <c r="AV33" i="14"/>
  <c r="AU37" i="14"/>
  <c r="AV37" i="14" s="1"/>
  <c r="BP37" i="14"/>
  <c r="CI37" i="14" s="1"/>
  <c r="CI27" i="14" s="1"/>
  <c r="CI28" i="14" s="1"/>
  <c r="BR37" i="14" l="1"/>
  <c r="BR34" i="14"/>
  <c r="AV36" i="14"/>
  <c r="BB36" i="14" s="1"/>
  <c r="BC36" i="14" s="1"/>
  <c r="BQ37" i="14"/>
  <c r="BR17" i="14"/>
  <c r="BP19" i="14"/>
  <c r="BP24" i="14" s="1"/>
  <c r="BR24" i="14" s="1"/>
  <c r="BP79" i="14"/>
  <c r="CJ38" i="14" l="1"/>
  <c r="BR80" i="14"/>
  <c r="BR18" i="14"/>
  <c r="BP157" i="14"/>
  <c r="BR157" i="14" s="1"/>
  <c r="BP129" i="14"/>
  <c r="BR129" i="14" s="1"/>
  <c r="BP128" i="14"/>
  <c r="BE128" i="14"/>
  <c r="BP107" i="14"/>
  <c r="BP105" i="14"/>
  <c r="BR105" i="14" s="1"/>
  <c r="BP81" i="14"/>
  <c r="BP80" i="14"/>
  <c r="BP76" i="14"/>
  <c r="BP71" i="14"/>
  <c r="BP70" i="14"/>
  <c r="BP68" i="14"/>
  <c r="BP65" i="14"/>
  <c r="BP51" i="14"/>
  <c r="BP42" i="14"/>
  <c r="BP28" i="14"/>
  <c r="BP6" i="14"/>
  <c r="BR79" i="14" l="1"/>
  <c r="BR81" i="14"/>
  <c r="CJ19" i="14" l="1"/>
  <c r="BE53" i="14"/>
  <c r="BE54" i="14"/>
  <c r="BE55" i="14"/>
  <c r="CR19" i="14" l="1"/>
  <c r="CR24" i="14" s="1"/>
  <c r="CR79" i="14"/>
  <c r="BE52" i="14"/>
  <c r="K2" i="14" l="1"/>
  <c r="T2" i="14"/>
  <c r="AC2" i="14"/>
  <c r="AL2" i="14"/>
  <c r="U5" i="14"/>
  <c r="V5" i="14"/>
  <c r="AD5" i="14"/>
  <c r="AE5" i="14"/>
  <c r="AI5" i="14"/>
  <c r="AI6" i="14" s="1"/>
  <c r="AM5" i="14"/>
  <c r="AN5" i="14"/>
  <c r="AR5" i="14"/>
  <c r="AV5" i="14"/>
  <c r="AW5" i="14"/>
  <c r="BC5" i="14"/>
  <c r="AC6" i="14"/>
  <c r="AG6" i="14"/>
  <c r="AH6" i="14"/>
  <c r="AJ6" i="14"/>
  <c r="AL6" i="14"/>
  <c r="AP6" i="14"/>
  <c r="AQ6" i="14"/>
  <c r="AS6" i="14"/>
  <c r="AU6" i="14"/>
  <c r="AZ6" i="14"/>
  <c r="BA6" i="14"/>
  <c r="BB6" i="14"/>
  <c r="BE6" i="14"/>
  <c r="U8" i="14"/>
  <c r="V8" i="14"/>
  <c r="Z8" i="14"/>
  <c r="AD8" i="14"/>
  <c r="AE8" i="14"/>
  <c r="AI8" i="14"/>
  <c r="AM8" i="14"/>
  <c r="AN8" i="14"/>
  <c r="AR8" i="14"/>
  <c r="AV8" i="14"/>
  <c r="AW8" i="14"/>
  <c r="BC8" i="14"/>
  <c r="BH8" i="14"/>
  <c r="U10" i="14"/>
  <c r="V10" i="14"/>
  <c r="Z10" i="14"/>
  <c r="AD10" i="14"/>
  <c r="AE10" i="14"/>
  <c r="AI10" i="14"/>
  <c r="AM10" i="14"/>
  <c r="AN10" i="14"/>
  <c r="AR10" i="14"/>
  <c r="AV10" i="14"/>
  <c r="AW10" i="14"/>
  <c r="BC10" i="14"/>
  <c r="BH17" i="14"/>
  <c r="Z18" i="14"/>
  <c r="AI18" i="14"/>
  <c r="AF18" i="14" s="1"/>
  <c r="AM18" i="14"/>
  <c r="AR18" i="14"/>
  <c r="AO18" i="14" s="1"/>
  <c r="AV18" i="14"/>
  <c r="BC18" i="14"/>
  <c r="CC19" i="14" s="1"/>
  <c r="CC24" i="14" s="1"/>
  <c r="BV24" i="14" s="1"/>
  <c r="BG18" i="14"/>
  <c r="BH18" i="14"/>
  <c r="BK18" i="14"/>
  <c r="BK19" i="14" s="1"/>
  <c r="BL18" i="14"/>
  <c r="AQ19" i="14"/>
  <c r="AS19" i="14"/>
  <c r="AW19" i="14"/>
  <c r="BA19" i="14"/>
  <c r="BB19" i="14"/>
  <c r="BB24" i="14" s="1"/>
  <c r="BE19" i="14"/>
  <c r="BI19" i="14"/>
  <c r="BI24" i="14" s="1"/>
  <c r="BM19" i="14"/>
  <c r="BH13" i="14"/>
  <c r="BH25" i="14" s="1"/>
  <c r="BH14" i="14"/>
  <c r="BH22" i="14"/>
  <c r="BH23" i="14"/>
  <c r="BB25" i="14"/>
  <c r="BI25" i="14"/>
  <c r="BB26" i="14"/>
  <c r="BI26" i="14"/>
  <c r="U27" i="14"/>
  <c r="V27" i="14"/>
  <c r="Z27" i="14"/>
  <c r="AD27" i="14"/>
  <c r="AE27" i="14"/>
  <c r="AI27" i="14"/>
  <c r="AM27" i="14"/>
  <c r="AN27" i="14"/>
  <c r="AR27" i="14"/>
  <c r="AV27" i="14"/>
  <c r="AW27" i="14"/>
  <c r="BT28" i="14" s="1"/>
  <c r="BC27" i="14"/>
  <c r="AC28" i="14"/>
  <c r="AG28" i="14"/>
  <c r="AH28" i="14"/>
  <c r="AJ28" i="14"/>
  <c r="AL28" i="14"/>
  <c r="AP28" i="14"/>
  <c r="AQ28" i="14"/>
  <c r="AS28" i="14"/>
  <c r="AU28" i="14"/>
  <c r="AZ28" i="14"/>
  <c r="BA28" i="14"/>
  <c r="BB28" i="14"/>
  <c r="BE28" i="14"/>
  <c r="Z33" i="14"/>
  <c r="AI33" i="14"/>
  <c r="AN33" i="14"/>
  <c r="AP33" i="14"/>
  <c r="AR33" i="14"/>
  <c r="BC33" i="14"/>
  <c r="BH33" i="14"/>
  <c r="BB34" i="14"/>
  <c r="BE34" i="14"/>
  <c r="Z37" i="14"/>
  <c r="AI37" i="14"/>
  <c r="AR37" i="14"/>
  <c r="BC37" i="14"/>
  <c r="BB38" i="14"/>
  <c r="BE38" i="14"/>
  <c r="U41" i="14"/>
  <c r="V41" i="14"/>
  <c r="Z41" i="14"/>
  <c r="AD41" i="14"/>
  <c r="AE41" i="14"/>
  <c r="AI41" i="14"/>
  <c r="AM41" i="14"/>
  <c r="AN41" i="14"/>
  <c r="AX42" i="14" s="1"/>
  <c r="AR41" i="14"/>
  <c r="AV41" i="14"/>
  <c r="AW41" i="14"/>
  <c r="AW43" i="14" s="1"/>
  <c r="BC41" i="14"/>
  <c r="AU42" i="14"/>
  <c r="AZ42" i="14"/>
  <c r="BA42" i="14"/>
  <c r="BB42" i="14"/>
  <c r="BE42" i="14"/>
  <c r="Z43" i="14"/>
  <c r="AI43" i="14"/>
  <c r="AR43" i="14"/>
  <c r="BA43" i="14"/>
  <c r="AP43" i="14" s="1"/>
  <c r="BC43" i="14"/>
  <c r="Z46" i="14"/>
  <c r="AI46" i="14"/>
  <c r="AR46" i="14"/>
  <c r="BA46" i="14"/>
  <c r="AP46" i="14" s="1"/>
  <c r="BC46" i="14"/>
  <c r="Z48" i="14"/>
  <c r="AI48" i="14"/>
  <c r="AR48" i="14"/>
  <c r="BA48" i="14"/>
  <c r="AP48" i="14" s="1"/>
  <c r="BH48" i="14"/>
  <c r="U50" i="14"/>
  <c r="V50" i="14"/>
  <c r="Z50" i="14"/>
  <c r="AD50" i="14"/>
  <c r="AE50" i="14"/>
  <c r="AI50" i="14"/>
  <c r="AM50" i="14"/>
  <c r="AN50" i="14"/>
  <c r="AX51" i="14" s="1"/>
  <c r="AR50" i="14"/>
  <c r="AV50" i="14"/>
  <c r="AW50" i="14"/>
  <c r="BT51" i="14" s="1"/>
  <c r="BC50" i="14"/>
  <c r="BH50" i="14"/>
  <c r="AU51" i="14"/>
  <c r="AZ51" i="14"/>
  <c r="BA51" i="14"/>
  <c r="BB51" i="14"/>
  <c r="BE51" i="14"/>
  <c r="Z52" i="14"/>
  <c r="AI52" i="14"/>
  <c r="AR52" i="14"/>
  <c r="BH52" i="14"/>
  <c r="Z53" i="14"/>
  <c r="AI53" i="14"/>
  <c r="AR53" i="14"/>
  <c r="BH53" i="14"/>
  <c r="Z54" i="14"/>
  <c r="AI54" i="14"/>
  <c r="AR54" i="14"/>
  <c r="BH54" i="14"/>
  <c r="Z55" i="14"/>
  <c r="AI55" i="14"/>
  <c r="AR55" i="14"/>
  <c r="BH55" i="14"/>
  <c r="Z56" i="14"/>
  <c r="AI56" i="14"/>
  <c r="AR56" i="14"/>
  <c r="U57" i="14"/>
  <c r="V57" i="14"/>
  <c r="Z57" i="14"/>
  <c r="AD57" i="14"/>
  <c r="AE57" i="14"/>
  <c r="AI57" i="14"/>
  <c r="AM57" i="14"/>
  <c r="AN57" i="14"/>
  <c r="AR57" i="14"/>
  <c r="AV57" i="14"/>
  <c r="AW57" i="14"/>
  <c r="BC57" i="14"/>
  <c r="BH57" i="14"/>
  <c r="U59" i="14"/>
  <c r="V59" i="14"/>
  <c r="Z59" i="14"/>
  <c r="AD59" i="14"/>
  <c r="AE59" i="14"/>
  <c r="AI59" i="14"/>
  <c r="AM59" i="14"/>
  <c r="AN59" i="14"/>
  <c r="AR59" i="14"/>
  <c r="AV59" i="14"/>
  <c r="AW59" i="14"/>
  <c r="BC59" i="14"/>
  <c r="BH59" i="14"/>
  <c r="AI61" i="14"/>
  <c r="AM61" i="14"/>
  <c r="AN61" i="14"/>
  <c r="AR61" i="14"/>
  <c r="AV61" i="14"/>
  <c r="AW61" i="14"/>
  <c r="BC61" i="14"/>
  <c r="U63" i="14"/>
  <c r="V63" i="14"/>
  <c r="Z63" i="14"/>
  <c r="AD63" i="14"/>
  <c r="AE63" i="14"/>
  <c r="AI63" i="14"/>
  <c r="AM63" i="14"/>
  <c r="AN63" i="14"/>
  <c r="AR63" i="14"/>
  <c r="AV63" i="14"/>
  <c r="AW63" i="14"/>
  <c r="BC63" i="14"/>
  <c r="T65" i="14"/>
  <c r="X65" i="14"/>
  <c r="Y65" i="14"/>
  <c r="AA65" i="14"/>
  <c r="AC65" i="14"/>
  <c r="AG65" i="14"/>
  <c r="AH65" i="14"/>
  <c r="AJ65" i="14"/>
  <c r="AL65" i="14"/>
  <c r="AP65" i="14"/>
  <c r="AQ65" i="14"/>
  <c r="AS65" i="14"/>
  <c r="AU65" i="14"/>
  <c r="BA65" i="14"/>
  <c r="BB65" i="14"/>
  <c r="BE65" i="14"/>
  <c r="U66" i="14"/>
  <c r="V66" i="14"/>
  <c r="Z66" i="14"/>
  <c r="AD66" i="14"/>
  <c r="AE66" i="14"/>
  <c r="AI66" i="14"/>
  <c r="AM66" i="14"/>
  <c r="AN66" i="14"/>
  <c r="AR66" i="14"/>
  <c r="AV66" i="14"/>
  <c r="AW66" i="14"/>
  <c r="BC66" i="14"/>
  <c r="T68" i="14"/>
  <c r="X68" i="14"/>
  <c r="Y68" i="14"/>
  <c r="AA68" i="14"/>
  <c r="AC68" i="14"/>
  <c r="AG68" i="14"/>
  <c r="AH68" i="14"/>
  <c r="AJ68" i="14"/>
  <c r="AL68" i="14"/>
  <c r="AP68" i="14"/>
  <c r="AQ68" i="14"/>
  <c r="AS68" i="14"/>
  <c r="AU68" i="14"/>
  <c r="BA68" i="14"/>
  <c r="BB68" i="14"/>
  <c r="BE68" i="14"/>
  <c r="U69" i="14"/>
  <c r="V69" i="14"/>
  <c r="Z69" i="14"/>
  <c r="Z71" i="14" s="1"/>
  <c r="AD69" i="14"/>
  <c r="AE69" i="14"/>
  <c r="AI69" i="14"/>
  <c r="AM69" i="14"/>
  <c r="AN69" i="14"/>
  <c r="AR69" i="14"/>
  <c r="AV69" i="14"/>
  <c r="AW69" i="14"/>
  <c r="BC69" i="14"/>
  <c r="BR165" i="14"/>
  <c r="AC70" i="14"/>
  <c r="AG70" i="14"/>
  <c r="AH70" i="14"/>
  <c r="AJ70" i="14"/>
  <c r="AL70" i="14"/>
  <c r="AP70" i="14"/>
  <c r="AQ70" i="14"/>
  <c r="AS70" i="14"/>
  <c r="AU70" i="14"/>
  <c r="AZ70" i="14"/>
  <c r="BA70" i="14"/>
  <c r="BB70" i="14"/>
  <c r="BE70" i="14"/>
  <c r="T71" i="14"/>
  <c r="X71" i="14"/>
  <c r="Y71" i="14"/>
  <c r="AA71" i="14"/>
  <c r="AC71" i="14"/>
  <c r="AG71" i="14"/>
  <c r="AH71" i="14"/>
  <c r="AJ71" i="14"/>
  <c r="AL71" i="14"/>
  <c r="AP71" i="14"/>
  <c r="AQ71" i="14"/>
  <c r="AS71" i="14"/>
  <c r="AU71" i="14"/>
  <c r="AZ71" i="14"/>
  <c r="BA71" i="14"/>
  <c r="BB71" i="14"/>
  <c r="BE71" i="14"/>
  <c r="U73" i="14"/>
  <c r="V73" i="14"/>
  <c r="Z73" i="14"/>
  <c r="AD73" i="14"/>
  <c r="AE73" i="14"/>
  <c r="AI73" i="14"/>
  <c r="AM73" i="14"/>
  <c r="AN73" i="14"/>
  <c r="AR73" i="14"/>
  <c r="AV73" i="14"/>
  <c r="AW73" i="14"/>
  <c r="BC73" i="14"/>
  <c r="U74" i="14"/>
  <c r="V74" i="14"/>
  <c r="Z74" i="14"/>
  <c r="AD74" i="14"/>
  <c r="AE74" i="14"/>
  <c r="AI74" i="14"/>
  <c r="AM74" i="14"/>
  <c r="AN74" i="14"/>
  <c r="AR74" i="14"/>
  <c r="AV74" i="14"/>
  <c r="AW74" i="14"/>
  <c r="BC74" i="14"/>
  <c r="BH74" i="14"/>
  <c r="T76" i="14"/>
  <c r="X76" i="14"/>
  <c r="Y76" i="14"/>
  <c r="AA76" i="14"/>
  <c r="AC76" i="14"/>
  <c r="AG76" i="14"/>
  <c r="AH76" i="14"/>
  <c r="AJ76" i="14"/>
  <c r="AL76" i="14"/>
  <c r="AP76" i="14"/>
  <c r="AQ76" i="14"/>
  <c r="AS76" i="14"/>
  <c r="AU76" i="14"/>
  <c r="AZ76" i="14"/>
  <c r="BA76" i="14"/>
  <c r="BB76" i="14"/>
  <c r="BE76" i="14"/>
  <c r="Z77" i="14"/>
  <c r="AD77" i="14"/>
  <c r="AI77" i="14"/>
  <c r="AF77" i="14" s="1"/>
  <c r="AM77" i="14"/>
  <c r="AN77" i="14"/>
  <c r="AR77" i="14"/>
  <c r="AV77" i="14"/>
  <c r="BA77" i="14"/>
  <c r="BX81" i="14" s="1"/>
  <c r="BT81" i="14" s="1"/>
  <c r="BC77" i="14"/>
  <c r="BH77" i="14"/>
  <c r="BE79" i="14"/>
  <c r="Z80" i="14"/>
  <c r="AI80" i="14"/>
  <c r="AF80" i="14" s="1"/>
  <c r="AM80" i="14"/>
  <c r="AR80" i="14"/>
  <c r="AO80" i="14" s="1"/>
  <c r="AX80" i="14"/>
  <c r="AZ80" i="14"/>
  <c r="BB80" i="14"/>
  <c r="BH80" i="14" s="1"/>
  <c r="BE80" i="14"/>
  <c r="AQ81" i="14"/>
  <c r="AS81" i="14"/>
  <c r="BB81" i="14"/>
  <c r="BE81" i="14"/>
  <c r="BI81" i="14"/>
  <c r="BK81" i="14"/>
  <c r="BM81" i="14"/>
  <c r="AI82" i="14"/>
  <c r="AM82" i="14"/>
  <c r="AN82" i="14"/>
  <c r="AR82" i="14"/>
  <c r="AV82" i="14"/>
  <c r="AW82" i="14"/>
  <c r="BC82" i="14"/>
  <c r="BH82" i="14"/>
  <c r="AI85" i="14"/>
  <c r="AM85" i="14"/>
  <c r="AN85" i="14"/>
  <c r="AR85" i="14"/>
  <c r="AV85" i="14"/>
  <c r="AW85" i="14"/>
  <c r="BC85" i="14"/>
  <c r="BH85" i="14"/>
  <c r="AI89" i="14"/>
  <c r="AM89" i="14"/>
  <c r="AN89" i="14"/>
  <c r="AR89" i="14"/>
  <c r="AV89" i="14"/>
  <c r="AW89" i="14"/>
  <c r="BC89" i="14"/>
  <c r="BH89" i="14"/>
  <c r="AI98" i="14"/>
  <c r="AM98" i="14"/>
  <c r="AN98" i="14"/>
  <c r="AR98" i="14"/>
  <c r="AV98" i="14"/>
  <c r="AW98" i="14"/>
  <c r="BC98" i="14"/>
  <c r="BH98" i="14"/>
  <c r="U102" i="14"/>
  <c r="V102" i="14"/>
  <c r="Z102" i="14"/>
  <c r="AD102" i="14"/>
  <c r="AE102" i="14"/>
  <c r="AI102" i="14"/>
  <c r="AM102" i="14"/>
  <c r="AN102" i="14"/>
  <c r="AR102" i="14"/>
  <c r="AV102" i="14"/>
  <c r="AW102" i="14"/>
  <c r="BC102" i="14"/>
  <c r="CB105" i="14" s="1"/>
  <c r="BH102" i="14"/>
  <c r="T104" i="14"/>
  <c r="X104" i="14"/>
  <c r="Y104" i="14"/>
  <c r="AA104" i="14"/>
  <c r="AC104" i="14"/>
  <c r="AG104" i="14"/>
  <c r="AH104" i="14"/>
  <c r="AJ104" i="14"/>
  <c r="AL104" i="14"/>
  <c r="AP104" i="14"/>
  <c r="AQ104" i="14"/>
  <c r="AS104" i="14"/>
  <c r="AU104" i="14"/>
  <c r="AZ104" i="14"/>
  <c r="BA104" i="14"/>
  <c r="BB104" i="14"/>
  <c r="BE104" i="14"/>
  <c r="AQ105" i="14"/>
  <c r="AS105" i="14"/>
  <c r="BB105" i="14"/>
  <c r="AI106" i="14"/>
  <c r="AM106" i="14"/>
  <c r="AN106" i="14"/>
  <c r="AR106" i="14"/>
  <c r="AV106" i="14"/>
  <c r="AW106" i="14"/>
  <c r="BC106" i="14"/>
  <c r="BH106" i="14"/>
  <c r="BB107" i="14"/>
  <c r="BE107" i="14"/>
  <c r="BM107" i="14"/>
  <c r="AI112" i="14"/>
  <c r="AM112" i="14"/>
  <c r="AN112" i="14"/>
  <c r="AR112" i="14"/>
  <c r="AV112" i="14"/>
  <c r="AW112" i="14"/>
  <c r="BC112" i="14"/>
  <c r="BH112" i="14"/>
  <c r="AI119" i="14"/>
  <c r="AM119" i="14"/>
  <c r="AN119" i="14"/>
  <c r="AR119" i="14"/>
  <c r="AV119" i="14"/>
  <c r="AW119" i="14"/>
  <c r="BC119" i="14"/>
  <c r="BH119" i="14"/>
  <c r="AR120" i="14"/>
  <c r="BA120" i="14"/>
  <c r="BC120" i="14"/>
  <c r="AY120" i="14" s="1"/>
  <c r="BH120" i="14"/>
  <c r="BG120" i="14" s="1"/>
  <c r="AR121" i="14"/>
  <c r="BA121" i="14"/>
  <c r="BC121" i="14"/>
  <c r="AY121" i="14" s="1"/>
  <c r="BH121" i="14"/>
  <c r="BG121" i="14" s="1"/>
  <c r="AR122" i="14"/>
  <c r="BE122" i="14"/>
  <c r="BC122" i="14" s="1"/>
  <c r="AY122" i="14" s="1"/>
  <c r="BH122" i="14"/>
  <c r="AI123" i="14"/>
  <c r="AM123" i="14"/>
  <c r="AN123" i="14"/>
  <c r="AR123" i="14"/>
  <c r="AV123" i="14"/>
  <c r="AW123" i="14"/>
  <c r="BC123" i="14"/>
  <c r="BH123" i="14"/>
  <c r="AM124" i="14"/>
  <c r="AN124" i="14"/>
  <c r="AR124" i="14"/>
  <c r="BA124" i="14"/>
  <c r="BC124" i="14"/>
  <c r="AY124" i="14" s="1"/>
  <c r="BH124" i="14"/>
  <c r="BG124" i="14" s="1"/>
  <c r="AM125" i="14"/>
  <c r="AN125" i="14"/>
  <c r="AR125" i="14"/>
  <c r="BA125" i="14"/>
  <c r="BC125" i="14"/>
  <c r="AY125" i="14" s="1"/>
  <c r="BH125" i="14"/>
  <c r="BG125" i="14" s="1"/>
  <c r="AM126" i="14"/>
  <c r="AN126" i="14"/>
  <c r="AR126" i="14"/>
  <c r="BA126" i="14"/>
  <c r="BC126" i="14"/>
  <c r="AY126" i="14" s="1"/>
  <c r="BH126" i="14"/>
  <c r="BG126" i="14" s="1"/>
  <c r="U127" i="14"/>
  <c r="V127" i="14"/>
  <c r="Z127" i="14"/>
  <c r="AD127" i="14"/>
  <c r="AE127" i="14"/>
  <c r="AI127" i="14"/>
  <c r="AM127" i="14"/>
  <c r="AN127" i="14"/>
  <c r="AR127" i="14"/>
  <c r="AV127" i="14"/>
  <c r="AW127" i="14"/>
  <c r="BC127" i="14"/>
  <c r="CB129" i="14" s="1"/>
  <c r="BH127" i="14"/>
  <c r="T128" i="14"/>
  <c r="X128" i="14"/>
  <c r="Y128" i="14"/>
  <c r="AA128" i="14"/>
  <c r="AC128" i="14"/>
  <c r="AG128" i="14"/>
  <c r="AH128" i="14"/>
  <c r="AJ128" i="14"/>
  <c r="AL128" i="14"/>
  <c r="AP128" i="14"/>
  <c r="AQ128" i="14"/>
  <c r="AS128" i="14"/>
  <c r="AU128" i="14"/>
  <c r="AZ128" i="14"/>
  <c r="BA128" i="14"/>
  <c r="BB128" i="14"/>
  <c r="AQ129" i="14"/>
  <c r="AS129" i="14"/>
  <c r="BB129" i="14"/>
  <c r="AW129" i="14" s="1"/>
  <c r="BE129" i="14"/>
  <c r="AI130" i="14"/>
  <c r="AR130" i="14"/>
  <c r="AV130" i="14"/>
  <c r="AW130" i="14"/>
  <c r="BC130" i="14"/>
  <c r="BH130" i="14"/>
  <c r="AI134" i="14"/>
  <c r="AR134" i="14"/>
  <c r="AV134" i="14"/>
  <c r="AW134" i="14"/>
  <c r="BC134" i="14"/>
  <c r="BH134" i="14"/>
  <c r="AI137" i="14"/>
  <c r="AR137" i="14"/>
  <c r="AV137" i="14"/>
  <c r="AW137" i="14"/>
  <c r="BC137" i="14"/>
  <c r="BH137" i="14"/>
  <c r="AI139" i="14"/>
  <c r="AR139" i="14"/>
  <c r="AV139" i="14"/>
  <c r="AW139" i="14"/>
  <c r="BC139" i="14"/>
  <c r="BH139" i="14"/>
  <c r="U142" i="14"/>
  <c r="V142" i="14"/>
  <c r="Z142" i="14"/>
  <c r="AD142" i="14"/>
  <c r="AE142" i="14"/>
  <c r="AI142" i="14"/>
  <c r="AM142" i="14"/>
  <c r="AN142" i="14"/>
  <c r="AR142" i="14"/>
  <c r="AV142" i="14"/>
  <c r="AW142" i="14"/>
  <c r="BC142" i="14"/>
  <c r="BH142" i="14"/>
  <c r="U149" i="14"/>
  <c r="V149" i="14"/>
  <c r="Z149" i="14"/>
  <c r="AD149" i="14"/>
  <c r="AE149" i="14"/>
  <c r="AI149" i="14"/>
  <c r="AM149" i="14"/>
  <c r="AN149" i="14"/>
  <c r="AR149" i="14"/>
  <c r="AV149" i="14"/>
  <c r="AW149" i="14"/>
  <c r="BC149" i="14"/>
  <c r="BH149" i="14"/>
  <c r="Z157" i="14"/>
  <c r="W157" i="14" s="1"/>
  <c r="AD157" i="14"/>
  <c r="AE157" i="14"/>
  <c r="AI157" i="14"/>
  <c r="AM157" i="14"/>
  <c r="AN157" i="14"/>
  <c r="AR157" i="14"/>
  <c r="AU157" i="14"/>
  <c r="BA157" i="14"/>
  <c r="BE157" i="14"/>
  <c r="U158" i="14"/>
  <c r="Z158" i="14"/>
  <c r="AD158" i="14"/>
  <c r="AE158" i="14"/>
  <c r="AI158" i="14"/>
  <c r="AM158" i="14"/>
  <c r="AN158" i="14"/>
  <c r="AR158" i="14"/>
  <c r="AV158" i="14"/>
  <c r="AW158" i="14"/>
  <c r="BC158" i="14"/>
  <c r="BH158" i="14"/>
  <c r="Z159" i="14"/>
  <c r="AD159" i="14"/>
  <c r="AE159" i="14"/>
  <c r="AI159" i="14"/>
  <c r="AM159" i="14"/>
  <c r="AN159" i="14"/>
  <c r="AR159" i="14"/>
  <c r="BB159" i="14"/>
  <c r="BB157" i="14" s="1"/>
  <c r="AD160" i="14"/>
  <c r="AE160" i="14"/>
  <c r="AI160" i="14"/>
  <c r="AM160" i="14"/>
  <c r="AN160" i="14"/>
  <c r="AR160" i="14"/>
  <c r="AV160" i="14"/>
  <c r="AW160" i="14"/>
  <c r="BC160" i="14"/>
  <c r="AD161" i="14"/>
  <c r="AE161" i="14"/>
  <c r="AI161" i="14"/>
  <c r="AM161" i="14"/>
  <c r="AN161" i="14"/>
  <c r="AR161" i="14"/>
  <c r="AV161" i="14"/>
  <c r="AW161" i="14"/>
  <c r="BC161" i="14"/>
  <c r="AD162" i="14"/>
  <c r="AE162" i="14"/>
  <c r="AI162" i="14"/>
  <c r="AM162" i="14"/>
  <c r="AN162" i="14"/>
  <c r="AR162" i="14"/>
  <c r="AV162" i="14"/>
  <c r="AW162" i="14"/>
  <c r="BC162" i="14"/>
  <c r="V164" i="14"/>
  <c r="Z164" i="14"/>
  <c r="AD164" i="14"/>
  <c r="AE164" i="14"/>
  <c r="AI164" i="14"/>
  <c r="BA164" i="14"/>
  <c r="BB164" i="14"/>
  <c r="BC164" i="14" s="1"/>
  <c r="AY164" i="14" s="1"/>
  <c r="BP165" i="14"/>
  <c r="E5" i="13"/>
  <c r="D7" i="13"/>
  <c r="H4" i="9" s="1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AH9" i="13"/>
  <c r="AJ9" i="13"/>
  <c r="AL9" i="13"/>
  <c r="AN9" i="13"/>
  <c r="AP9" i="13"/>
  <c r="AR9" i="13"/>
  <c r="AT9" i="13"/>
  <c r="AV9" i="13"/>
  <c r="BR9" i="13"/>
  <c r="BS9" i="13"/>
  <c r="AH12" i="13"/>
  <c r="AJ12" i="13"/>
  <c r="AL12" i="13"/>
  <c r="AN12" i="13"/>
  <c r="AP12" i="13"/>
  <c r="AR12" i="13"/>
  <c r="AT12" i="13"/>
  <c r="AV12" i="13"/>
  <c r="BD13" i="13"/>
  <c r="BG13" i="13"/>
  <c r="BI13" i="13"/>
  <c r="BN13" i="13"/>
  <c r="BR12" i="13"/>
  <c r="BS12" i="13"/>
  <c r="E13" i="13"/>
  <c r="E16" i="13" s="1"/>
  <c r="E23" i="7" s="1"/>
  <c r="F13" i="13"/>
  <c r="F16" i="13" s="1"/>
  <c r="F23" i="7" s="1"/>
  <c r="G13" i="13"/>
  <c r="G16" i="13" s="1"/>
  <c r="H13" i="13"/>
  <c r="H16" i="13" s="1"/>
  <c r="H23" i="7" s="1"/>
  <c r="I13" i="13"/>
  <c r="I16" i="13" s="1"/>
  <c r="I23" i="7" s="1"/>
  <c r="J13" i="13"/>
  <c r="J16" i="13" s="1"/>
  <c r="J23" i="7" s="1"/>
  <c r="K13" i="13"/>
  <c r="K16" i="13" s="1"/>
  <c r="L13" i="13"/>
  <c r="L16" i="13" s="1"/>
  <c r="L23" i="7" s="1"/>
  <c r="M13" i="13"/>
  <c r="M16" i="13" s="1"/>
  <c r="M23" i="7" s="1"/>
  <c r="N13" i="13"/>
  <c r="N16" i="13" s="1"/>
  <c r="N23" i="7" s="1"/>
  <c r="O13" i="13"/>
  <c r="O16" i="13" s="1"/>
  <c r="O23" i="7" s="1"/>
  <c r="P13" i="13"/>
  <c r="P16" i="13" s="1"/>
  <c r="P23" i="7" s="1"/>
  <c r="Q13" i="13"/>
  <c r="Q16" i="13" s="1"/>
  <c r="R13" i="13"/>
  <c r="R16" i="13" s="1"/>
  <c r="R23" i="7" s="1"/>
  <c r="S13" i="13"/>
  <c r="S16" i="13" s="1"/>
  <c r="T13" i="13"/>
  <c r="U13" i="13"/>
  <c r="U16" i="13" s="1"/>
  <c r="Y14" i="9" s="1"/>
  <c r="AU13" i="13"/>
  <c r="BQ13" i="13"/>
  <c r="BT13" i="13"/>
  <c r="BV13" i="13"/>
  <c r="BR16" i="13"/>
  <c r="BS16" i="13"/>
  <c r="AH19" i="13"/>
  <c r="AJ19" i="13"/>
  <c r="AL19" i="13"/>
  <c r="AN19" i="13"/>
  <c r="AP19" i="13"/>
  <c r="AH21" i="13"/>
  <c r="AJ21" i="13"/>
  <c r="AL21" i="13"/>
  <c r="AN21" i="13"/>
  <c r="AP21" i="13"/>
  <c r="T22" i="13"/>
  <c r="T24" i="13" s="1"/>
  <c r="T117" i="7" s="1"/>
  <c r="U22" i="13"/>
  <c r="U24" i="13" s="1"/>
  <c r="U117" i="7" s="1"/>
  <c r="E24" i="13"/>
  <c r="E117" i="7" s="1"/>
  <c r="F24" i="13"/>
  <c r="F117" i="7" s="1"/>
  <c r="G24" i="13"/>
  <c r="H24" i="13"/>
  <c r="H117" i="7" s="1"/>
  <c r="I24" i="13"/>
  <c r="I117" i="7" s="1"/>
  <c r="J24" i="13"/>
  <c r="J117" i="7" s="1"/>
  <c r="K24" i="13"/>
  <c r="L24" i="13"/>
  <c r="L117" i="7" s="1"/>
  <c r="M24" i="13"/>
  <c r="M117" i="7" s="1"/>
  <c r="N24" i="13"/>
  <c r="O24" i="13"/>
  <c r="O117" i="7" s="1"/>
  <c r="P24" i="13"/>
  <c r="P117" i="7" s="1"/>
  <c r="Q24" i="13"/>
  <c r="Q117" i="7" s="1"/>
  <c r="R24" i="13"/>
  <c r="R117" i="7" s="1"/>
  <c r="S24" i="13"/>
  <c r="AH25" i="13"/>
  <c r="AJ25" i="13"/>
  <c r="AL25" i="13"/>
  <c r="AN25" i="13"/>
  <c r="AP25" i="13"/>
  <c r="AR25" i="13"/>
  <c r="AT25" i="13"/>
  <c r="AV25" i="13"/>
  <c r="BR25" i="13"/>
  <c r="BS25" i="13"/>
  <c r="E33" i="13"/>
  <c r="E29" i="13" s="1"/>
  <c r="E30" i="7" s="1"/>
  <c r="F33" i="13"/>
  <c r="F29" i="13" s="1"/>
  <c r="F30" i="7" s="1"/>
  <c r="G33" i="13"/>
  <c r="G29" i="13" s="1"/>
  <c r="G30" i="7" s="1"/>
  <c r="H33" i="13"/>
  <c r="H29" i="13" s="1"/>
  <c r="H30" i="7" s="1"/>
  <c r="I33" i="13"/>
  <c r="I29" i="13" s="1"/>
  <c r="I30" i="7" s="1"/>
  <c r="J33" i="13"/>
  <c r="J29" i="13" s="1"/>
  <c r="J30" i="7" s="1"/>
  <c r="K33" i="13"/>
  <c r="K29" i="13" s="1"/>
  <c r="K30" i="7" s="1"/>
  <c r="L33" i="13"/>
  <c r="L29" i="13" s="1"/>
  <c r="L30" i="7" s="1"/>
  <c r="L40" i="7" s="1"/>
  <c r="M33" i="13"/>
  <c r="M29" i="13" s="1"/>
  <c r="M30" i="7" s="1"/>
  <c r="M40" i="7" s="1"/>
  <c r="N33" i="13"/>
  <c r="N29" i="13" s="1"/>
  <c r="N30" i="7" s="1"/>
  <c r="N40" i="7" s="1"/>
  <c r="O33" i="13"/>
  <c r="O29" i="13" s="1"/>
  <c r="O30" i="7" s="1"/>
  <c r="O40" i="7" s="1"/>
  <c r="P33" i="13"/>
  <c r="P29" i="13" s="1"/>
  <c r="P30" i="7" s="1"/>
  <c r="Q33" i="13"/>
  <c r="Q29" i="13" s="1"/>
  <c r="Q30" i="7" s="1"/>
  <c r="R33" i="13"/>
  <c r="R29" i="13" s="1"/>
  <c r="R30" i="7" s="1"/>
  <c r="S33" i="13"/>
  <c r="S29" i="13" s="1"/>
  <c r="S30" i="7" s="1"/>
  <c r="T33" i="13"/>
  <c r="T29" i="13" s="1"/>
  <c r="T30" i="7" s="1"/>
  <c r="U33" i="13"/>
  <c r="U29" i="13" s="1"/>
  <c r="U30" i="7" s="1"/>
  <c r="AH35" i="13"/>
  <c r="AJ35" i="13"/>
  <c r="AL35" i="13"/>
  <c r="AN35" i="13"/>
  <c r="AP35" i="13"/>
  <c r="AR35" i="13"/>
  <c r="AT35" i="13"/>
  <c r="AV35" i="13"/>
  <c r="BR35" i="13"/>
  <c r="BS35" i="13"/>
  <c r="T40" i="13"/>
  <c r="AV40" i="13" s="1"/>
  <c r="U40" i="13"/>
  <c r="U44" i="13" s="1"/>
  <c r="AH40" i="13"/>
  <c r="AJ40" i="13"/>
  <c r="AL40" i="13"/>
  <c r="AN40" i="13"/>
  <c r="AP40" i="13"/>
  <c r="AR40" i="13"/>
  <c r="AT40" i="13"/>
  <c r="AH42" i="13"/>
  <c r="AJ42" i="13"/>
  <c r="AL42" i="13"/>
  <c r="AN42" i="13"/>
  <c r="AP42" i="13"/>
  <c r="AR42" i="13"/>
  <c r="AT42" i="13"/>
  <c r="AV42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AU44" i="13"/>
  <c r="E50" i="13"/>
  <c r="E57" i="7" s="1"/>
  <c r="F50" i="13"/>
  <c r="F57" i="7" s="1"/>
  <c r="G50" i="13"/>
  <c r="G57" i="7" s="1"/>
  <c r="H50" i="13"/>
  <c r="H57" i="7" s="1"/>
  <c r="I50" i="13"/>
  <c r="I57" i="7" s="1"/>
  <c r="J50" i="13"/>
  <c r="J57" i="7" s="1"/>
  <c r="K50" i="13"/>
  <c r="K57" i="7" s="1"/>
  <c r="L50" i="13"/>
  <c r="L57" i="7" s="1"/>
  <c r="M50" i="13"/>
  <c r="M57" i="7" s="1"/>
  <c r="N50" i="13"/>
  <c r="N57" i="7" s="1"/>
  <c r="O50" i="13"/>
  <c r="O57" i="7" s="1"/>
  <c r="P50" i="13"/>
  <c r="Q50" i="13"/>
  <c r="R50" i="13"/>
  <c r="R57" i="7" s="1"/>
  <c r="S50" i="13"/>
  <c r="T50" i="13"/>
  <c r="U50" i="13"/>
  <c r="U57" i="7" s="1"/>
  <c r="AG50" i="13"/>
  <c r="AI50" i="13"/>
  <c r="AK50" i="13"/>
  <c r="AM50" i="13"/>
  <c r="AO50" i="13"/>
  <c r="AQ50" i="13"/>
  <c r="AS50" i="13"/>
  <c r="AU50" i="13"/>
  <c r="E54" i="13"/>
  <c r="E60" i="7" s="1"/>
  <c r="F54" i="13"/>
  <c r="G54" i="13"/>
  <c r="G60" i="7" s="1"/>
  <c r="H54" i="13"/>
  <c r="H60" i="7" s="1"/>
  <c r="I54" i="13"/>
  <c r="I60" i="7" s="1"/>
  <c r="J54" i="13"/>
  <c r="K54" i="13"/>
  <c r="K60" i="7" s="1"/>
  <c r="L54" i="13"/>
  <c r="L60" i="7" s="1"/>
  <c r="M54" i="13"/>
  <c r="M60" i="7" s="1"/>
  <c r="N54" i="13"/>
  <c r="N60" i="7" s="1"/>
  <c r="O54" i="13"/>
  <c r="O60" i="7" s="1"/>
  <c r="P54" i="13"/>
  <c r="P60" i="7" s="1"/>
  <c r="Q54" i="13"/>
  <c r="R54" i="13"/>
  <c r="R60" i="7" s="1"/>
  <c r="S54" i="13"/>
  <c r="S60" i="7" s="1"/>
  <c r="T54" i="13"/>
  <c r="T60" i="7" s="1"/>
  <c r="U54" i="13"/>
  <c r="U60" i="7" s="1"/>
  <c r="BQ56" i="13"/>
  <c r="BT56" i="13"/>
  <c r="BV56" i="13"/>
  <c r="AH58" i="13"/>
  <c r="AJ58" i="13"/>
  <c r="AL58" i="13"/>
  <c r="AN58" i="13"/>
  <c r="AP58" i="13"/>
  <c r="AR58" i="13"/>
  <c r="AV58" i="13"/>
  <c r="BR58" i="13"/>
  <c r="BS58" i="13"/>
  <c r="AH59" i="13"/>
  <c r="AJ59" i="13"/>
  <c r="AL59" i="13"/>
  <c r="AN59" i="13"/>
  <c r="AP59" i="13"/>
  <c r="AR59" i="13"/>
  <c r="AT59" i="13"/>
  <c r="AV59" i="13"/>
  <c r="BR59" i="13"/>
  <c r="BS59" i="13"/>
  <c r="AH60" i="13"/>
  <c r="AJ60" i="13"/>
  <c r="AL60" i="13"/>
  <c r="AN60" i="13"/>
  <c r="AP60" i="13"/>
  <c r="AR60" i="13"/>
  <c r="AV60" i="13"/>
  <c r="BR60" i="13"/>
  <c r="BS60" i="13"/>
  <c r="AH62" i="13"/>
  <c r="AJ62" i="13"/>
  <c r="AL62" i="13"/>
  <c r="AN62" i="13"/>
  <c r="AP62" i="13"/>
  <c r="AR62" i="13"/>
  <c r="AT62" i="13"/>
  <c r="AV62" i="13"/>
  <c r="BR62" i="13"/>
  <c r="BS62" i="13"/>
  <c r="E65" i="13"/>
  <c r="E71" i="7" s="1"/>
  <c r="F65" i="13"/>
  <c r="F71" i="7" s="1"/>
  <c r="G65" i="13"/>
  <c r="G71" i="7" s="1"/>
  <c r="H65" i="13"/>
  <c r="H71" i="7" s="1"/>
  <c r="I65" i="13"/>
  <c r="I71" i="7" s="1"/>
  <c r="J65" i="13"/>
  <c r="J71" i="7" s="1"/>
  <c r="K65" i="13"/>
  <c r="K71" i="7" s="1"/>
  <c r="L65" i="13"/>
  <c r="L71" i="7" s="1"/>
  <c r="M65" i="13"/>
  <c r="M71" i="7" s="1"/>
  <c r="N65" i="13"/>
  <c r="N71" i="7" s="1"/>
  <c r="O65" i="13"/>
  <c r="O71" i="7" s="1"/>
  <c r="P65" i="13"/>
  <c r="P71" i="7" s="1"/>
  <c r="Q65" i="13"/>
  <c r="Q71" i="7" s="1"/>
  <c r="R65" i="13"/>
  <c r="R71" i="7" s="1"/>
  <c r="S65" i="13"/>
  <c r="S71" i="7" s="1"/>
  <c r="T65" i="13"/>
  <c r="T71" i="7" s="1"/>
  <c r="U65" i="13"/>
  <c r="U71" i="7" s="1"/>
  <c r="AU65" i="13"/>
  <c r="BL65" i="13"/>
  <c r="BQ65" i="13"/>
  <c r="BT65" i="13"/>
  <c r="BV65" i="13"/>
  <c r="AH67" i="13"/>
  <c r="AJ67" i="13"/>
  <c r="AL67" i="13"/>
  <c r="AN67" i="13"/>
  <c r="AP67" i="13"/>
  <c r="AR67" i="13"/>
  <c r="AV67" i="13"/>
  <c r="BR67" i="13"/>
  <c r="BS67" i="13"/>
  <c r="AH74" i="13"/>
  <c r="AJ74" i="13"/>
  <c r="AL74" i="13"/>
  <c r="AN74" i="13"/>
  <c r="AP74" i="13"/>
  <c r="AR74" i="13"/>
  <c r="AT74" i="13"/>
  <c r="AV74" i="13"/>
  <c r="BR74" i="13"/>
  <c r="BS74" i="13"/>
  <c r="E78" i="13"/>
  <c r="E80" i="7" s="1"/>
  <c r="F78" i="13"/>
  <c r="F80" i="7" s="1"/>
  <c r="G78" i="13"/>
  <c r="G80" i="7" s="1"/>
  <c r="H78" i="13"/>
  <c r="H80" i="7" s="1"/>
  <c r="I78" i="13"/>
  <c r="I80" i="7" s="1"/>
  <c r="J78" i="13"/>
  <c r="J80" i="7" s="1"/>
  <c r="K78" i="13"/>
  <c r="K80" i="7" s="1"/>
  <c r="L78" i="13"/>
  <c r="L80" i="7" s="1"/>
  <c r="M78" i="13"/>
  <c r="M80" i="7" s="1"/>
  <c r="N78" i="13"/>
  <c r="N80" i="7" s="1"/>
  <c r="O78" i="13"/>
  <c r="O80" i="7" s="1"/>
  <c r="P78" i="13"/>
  <c r="P80" i="7" s="1"/>
  <c r="Q78" i="13"/>
  <c r="Q80" i="7" s="1"/>
  <c r="R78" i="13"/>
  <c r="R80" i="7" s="1"/>
  <c r="S78" i="13"/>
  <c r="S80" i="7" s="1"/>
  <c r="T78" i="13"/>
  <c r="T80" i="7" s="1"/>
  <c r="U78" i="13"/>
  <c r="U80" i="7" s="1"/>
  <c r="E88" i="13"/>
  <c r="E79" i="13" s="1"/>
  <c r="E81" i="7" s="1"/>
  <c r="F88" i="13"/>
  <c r="F79" i="13" s="1"/>
  <c r="F81" i="7" s="1"/>
  <c r="G88" i="13"/>
  <c r="H88" i="13"/>
  <c r="H79" i="13" s="1"/>
  <c r="H81" i="7" s="1"/>
  <c r="I88" i="13"/>
  <c r="I79" i="13" s="1"/>
  <c r="I81" i="7" s="1"/>
  <c r="J88" i="13"/>
  <c r="J79" i="13" s="1"/>
  <c r="J81" i="7" s="1"/>
  <c r="K88" i="13"/>
  <c r="L88" i="13"/>
  <c r="L79" i="13" s="1"/>
  <c r="L81" i="7" s="1"/>
  <c r="M79" i="13"/>
  <c r="M81" i="7" s="1"/>
  <c r="N79" i="13"/>
  <c r="N81" i="7" s="1"/>
  <c r="P79" i="13"/>
  <c r="P81" i="7" s="1"/>
  <c r="Q79" i="13"/>
  <c r="Q81" i="7" s="1"/>
  <c r="R79" i="13"/>
  <c r="R81" i="7" s="1"/>
  <c r="AH91" i="13"/>
  <c r="AJ91" i="13"/>
  <c r="AL91" i="13"/>
  <c r="AN91" i="13"/>
  <c r="AP91" i="13"/>
  <c r="AR91" i="13"/>
  <c r="AT91" i="13"/>
  <c r="AU91" i="13"/>
  <c r="AV91" i="13"/>
  <c r="AX91" i="13"/>
  <c r="AY91" i="13"/>
  <c r="AZ91" i="13"/>
  <c r="BA91" i="13"/>
  <c r="BC91" i="13"/>
  <c r="BE91" i="13"/>
  <c r="BF91" i="13"/>
  <c r="BH91" i="13"/>
  <c r="BJ91" i="13"/>
  <c r="BK91" i="13"/>
  <c r="BM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E97" i="13"/>
  <c r="E124" i="7" s="1"/>
  <c r="F97" i="13"/>
  <c r="G97" i="13"/>
  <c r="G124" i="7" s="1"/>
  <c r="H97" i="13"/>
  <c r="H124" i="7" s="1"/>
  <c r="I97" i="13"/>
  <c r="I124" i="7" s="1"/>
  <c r="J97" i="13"/>
  <c r="K97" i="13"/>
  <c r="K124" i="7" s="1"/>
  <c r="L97" i="13"/>
  <c r="L124" i="7" s="1"/>
  <c r="M97" i="13"/>
  <c r="M124" i="7" s="1"/>
  <c r="N97" i="13"/>
  <c r="N124" i="7" s="1"/>
  <c r="O97" i="13"/>
  <c r="O124" i="7" s="1"/>
  <c r="P97" i="13"/>
  <c r="P124" i="7" s="1"/>
  <c r="Q97" i="13"/>
  <c r="Q124" i="7" s="1"/>
  <c r="R97" i="13"/>
  <c r="R124" i="7" s="1"/>
  <c r="S97" i="13"/>
  <c r="S124" i="7" s="1"/>
  <c r="T97" i="13"/>
  <c r="T124" i="7" s="1"/>
  <c r="U97" i="13"/>
  <c r="U124" i="7" s="1"/>
  <c r="S99" i="13"/>
  <c r="T99" i="13"/>
  <c r="T126" i="7" s="1"/>
  <c r="U99" i="13"/>
  <c r="E103" i="13"/>
  <c r="E107" i="13" s="1"/>
  <c r="E127" i="7" s="1"/>
  <c r="F103" i="13"/>
  <c r="G103" i="13"/>
  <c r="G125" i="7" s="1"/>
  <c r="H103" i="13"/>
  <c r="I103" i="13"/>
  <c r="I125" i="7" s="1"/>
  <c r="J103" i="13"/>
  <c r="K103" i="13"/>
  <c r="L103" i="13"/>
  <c r="M103" i="13"/>
  <c r="M125" i="7" s="1"/>
  <c r="N103" i="13"/>
  <c r="O103" i="13"/>
  <c r="P103" i="13"/>
  <c r="Q103" i="13"/>
  <c r="Q125" i="7" s="1"/>
  <c r="R103" i="13"/>
  <c r="S103" i="13"/>
  <c r="T103" i="13"/>
  <c r="U103" i="13"/>
  <c r="U125" i="7" s="1"/>
  <c r="E113" i="13"/>
  <c r="E130" i="7" s="1"/>
  <c r="F113" i="13"/>
  <c r="F130" i="7" s="1"/>
  <c r="G114" i="13"/>
  <c r="G113" i="13" s="1"/>
  <c r="G130" i="7" s="1"/>
  <c r="H114" i="13"/>
  <c r="H113" i="13" s="1"/>
  <c r="H130" i="7" s="1"/>
  <c r="I114" i="13"/>
  <c r="I113" i="13" s="1"/>
  <c r="I130" i="7" s="1"/>
  <c r="J114" i="13"/>
  <c r="J113" i="13" s="1"/>
  <c r="J130" i="7" s="1"/>
  <c r="K114" i="13"/>
  <c r="K113" i="13" s="1"/>
  <c r="K130" i="7" s="1"/>
  <c r="L114" i="13"/>
  <c r="L113" i="13" s="1"/>
  <c r="L130" i="7" s="1"/>
  <c r="M114" i="13"/>
  <c r="M113" i="13" s="1"/>
  <c r="M130" i="7" s="1"/>
  <c r="N114" i="13"/>
  <c r="N113" i="13" s="1"/>
  <c r="N130" i="7" s="1"/>
  <c r="O114" i="13"/>
  <c r="O113" i="13" s="1"/>
  <c r="O130" i="7" s="1"/>
  <c r="P114" i="13"/>
  <c r="P113" i="13" s="1"/>
  <c r="P130" i="7" s="1"/>
  <c r="Q114" i="13"/>
  <c r="Q113" i="13" s="1"/>
  <c r="Q130" i="7" s="1"/>
  <c r="R114" i="13"/>
  <c r="R113" i="13" s="1"/>
  <c r="R130" i="7" s="1"/>
  <c r="S114" i="13"/>
  <c r="S113" i="13" s="1"/>
  <c r="S130" i="7" s="1"/>
  <c r="T114" i="13"/>
  <c r="T113" i="13" s="1"/>
  <c r="T130" i="7" s="1"/>
  <c r="U114" i="13"/>
  <c r="U113" i="13" s="1"/>
  <c r="U130" i="7" s="1"/>
  <c r="E117" i="13"/>
  <c r="E133" i="7" s="1"/>
  <c r="F117" i="13"/>
  <c r="F133" i="7" s="1"/>
  <c r="G117" i="13"/>
  <c r="G133" i="7" s="1"/>
  <c r="H117" i="13"/>
  <c r="H133" i="7" s="1"/>
  <c r="I117" i="13"/>
  <c r="I133" i="7" s="1"/>
  <c r="J117" i="13"/>
  <c r="J133" i="7" s="1"/>
  <c r="K117" i="13"/>
  <c r="K133" i="7" s="1"/>
  <c r="L117" i="13"/>
  <c r="L133" i="7" s="1"/>
  <c r="M117" i="13"/>
  <c r="M133" i="7" s="1"/>
  <c r="N117" i="13"/>
  <c r="N133" i="7" s="1"/>
  <c r="O117" i="13"/>
  <c r="O133" i="7" s="1"/>
  <c r="P117" i="13"/>
  <c r="Q117" i="13"/>
  <c r="R117" i="13"/>
  <c r="R133" i="7" s="1"/>
  <c r="S117" i="13"/>
  <c r="S133" i="7" s="1"/>
  <c r="T117" i="13"/>
  <c r="T133" i="7" s="1"/>
  <c r="U117" i="13"/>
  <c r="U133" i="7" s="1"/>
  <c r="E123" i="13"/>
  <c r="E136" i="7" s="1"/>
  <c r="F123" i="13"/>
  <c r="F136" i="7" s="1"/>
  <c r="G123" i="13"/>
  <c r="G136" i="7" s="1"/>
  <c r="H123" i="13"/>
  <c r="H136" i="7" s="1"/>
  <c r="I123" i="13"/>
  <c r="I136" i="7" s="1"/>
  <c r="J123" i="13"/>
  <c r="J136" i="7" s="1"/>
  <c r="K123" i="13"/>
  <c r="L123" i="13"/>
  <c r="M123" i="13"/>
  <c r="M136" i="7" s="1"/>
  <c r="N123" i="13"/>
  <c r="N136" i="7" s="1"/>
  <c r="O123" i="13"/>
  <c r="O136" i="7" s="1"/>
  <c r="P123" i="13"/>
  <c r="P136" i="7" s="1"/>
  <c r="Q123" i="13"/>
  <c r="Q136" i="7" s="1"/>
  <c r="R123" i="13"/>
  <c r="R136" i="7" s="1"/>
  <c r="S123" i="13"/>
  <c r="S136" i="7" s="1"/>
  <c r="T123" i="13"/>
  <c r="T136" i="7" s="1"/>
  <c r="U123" i="13"/>
  <c r="U136" i="7" s="1"/>
  <c r="E131" i="13"/>
  <c r="E129" i="13" s="1"/>
  <c r="F131" i="13"/>
  <c r="F129" i="13" s="1"/>
  <c r="G131" i="13"/>
  <c r="G129" i="13" s="1"/>
  <c r="H131" i="13"/>
  <c r="H129" i="13" s="1"/>
  <c r="I131" i="13"/>
  <c r="I129" i="13" s="1"/>
  <c r="J131" i="13"/>
  <c r="J129" i="13" s="1"/>
  <c r="K131" i="13"/>
  <c r="K129" i="13" s="1"/>
  <c r="K127" i="13" s="1"/>
  <c r="L131" i="13"/>
  <c r="L129" i="13" s="1"/>
  <c r="M131" i="13"/>
  <c r="M129" i="13" s="1"/>
  <c r="N131" i="13"/>
  <c r="N129" i="13" s="1"/>
  <c r="O131" i="13"/>
  <c r="O129" i="13" s="1"/>
  <c r="P131" i="13"/>
  <c r="P129" i="13" s="1"/>
  <c r="Q131" i="13"/>
  <c r="Q129" i="13" s="1"/>
  <c r="R131" i="13"/>
  <c r="R129" i="13" s="1"/>
  <c r="S131" i="13"/>
  <c r="S129" i="13" s="1"/>
  <c r="T131" i="13"/>
  <c r="T129" i="13" s="1"/>
  <c r="U131" i="13"/>
  <c r="U129" i="13" s="1"/>
  <c r="E141" i="13"/>
  <c r="E140" i="7" s="1"/>
  <c r="F141" i="13"/>
  <c r="G141" i="13"/>
  <c r="H141" i="13"/>
  <c r="H140" i="7" s="1"/>
  <c r="I141" i="13"/>
  <c r="I140" i="7" s="1"/>
  <c r="J141" i="13"/>
  <c r="J140" i="7" s="1"/>
  <c r="K141" i="13"/>
  <c r="L141" i="13"/>
  <c r="L140" i="7" s="1"/>
  <c r="M141" i="13"/>
  <c r="N141" i="13"/>
  <c r="N140" i="7" s="1"/>
  <c r="O141" i="13"/>
  <c r="P141" i="13"/>
  <c r="P140" i="7" s="1"/>
  <c r="Q141" i="13"/>
  <c r="Q140" i="7" s="1"/>
  <c r="R141" i="13"/>
  <c r="R140" i="7" s="1"/>
  <c r="S141" i="13"/>
  <c r="S140" i="7" s="1"/>
  <c r="T141" i="13"/>
  <c r="T140" i="7" s="1"/>
  <c r="U141" i="13"/>
  <c r="U140" i="7" s="1"/>
  <c r="E145" i="13"/>
  <c r="F145" i="13"/>
  <c r="F141" i="7" s="1"/>
  <c r="G145" i="13"/>
  <c r="G141" i="7" s="1"/>
  <c r="H145" i="13"/>
  <c r="I145" i="13"/>
  <c r="J145" i="13"/>
  <c r="J141" i="7" s="1"/>
  <c r="K145" i="13"/>
  <c r="K141" i="7" s="1"/>
  <c r="L145" i="13"/>
  <c r="L141" i="7" s="1"/>
  <c r="M145" i="13"/>
  <c r="M148" i="13" s="1"/>
  <c r="N145" i="13"/>
  <c r="N141" i="7" s="1"/>
  <c r="O145" i="13"/>
  <c r="O141" i="7" s="1"/>
  <c r="P145" i="13"/>
  <c r="P141" i="7" s="1"/>
  <c r="Q145" i="13"/>
  <c r="R145" i="13"/>
  <c r="R141" i="7" s="1"/>
  <c r="S145" i="13"/>
  <c r="T145" i="13"/>
  <c r="U145" i="13"/>
  <c r="E157" i="13"/>
  <c r="E145" i="7" s="1"/>
  <c r="F157" i="13"/>
  <c r="F145" i="7" s="1"/>
  <c r="G157" i="13"/>
  <c r="G145" i="7" s="1"/>
  <c r="H157" i="13"/>
  <c r="H145" i="7" s="1"/>
  <c r="I157" i="13"/>
  <c r="I145" i="7" s="1"/>
  <c r="J157" i="13"/>
  <c r="J145" i="7" s="1"/>
  <c r="K157" i="13"/>
  <c r="K145" i="7" s="1"/>
  <c r="L157" i="13"/>
  <c r="L145" i="7" s="1"/>
  <c r="M157" i="13"/>
  <c r="M145" i="7" s="1"/>
  <c r="N157" i="13"/>
  <c r="N145" i="7" s="1"/>
  <c r="O157" i="13"/>
  <c r="O145" i="7" s="1"/>
  <c r="P157" i="13"/>
  <c r="P145" i="7" s="1"/>
  <c r="Q157" i="13"/>
  <c r="Q145" i="7" s="1"/>
  <c r="R157" i="13"/>
  <c r="R145" i="7" s="1"/>
  <c r="S157" i="13"/>
  <c r="S145" i="7" s="1"/>
  <c r="T157" i="13"/>
  <c r="T145" i="7" s="1"/>
  <c r="U157" i="13"/>
  <c r="U145" i="7" s="1"/>
  <c r="E173" i="13"/>
  <c r="E183" i="13" s="1"/>
  <c r="E187" i="13" s="1"/>
  <c r="F173" i="13"/>
  <c r="F151" i="7" s="1"/>
  <c r="G173" i="13"/>
  <c r="H173" i="13"/>
  <c r="H183" i="13" s="1"/>
  <c r="H187" i="13" s="1"/>
  <c r="I173" i="13"/>
  <c r="I183" i="13" s="1"/>
  <c r="I187" i="13" s="1"/>
  <c r="J173" i="13"/>
  <c r="J151" i="7" s="1"/>
  <c r="K173" i="13"/>
  <c r="K151" i="7" s="1"/>
  <c r="L173" i="13"/>
  <c r="L151" i="7" s="1"/>
  <c r="M173" i="13"/>
  <c r="M151" i="7" s="1"/>
  <c r="N173" i="13"/>
  <c r="N151" i="7" s="1"/>
  <c r="O173" i="13"/>
  <c r="O151" i="7" s="1"/>
  <c r="P173" i="13"/>
  <c r="P151" i="7" s="1"/>
  <c r="Q173" i="13"/>
  <c r="Q151" i="7" s="1"/>
  <c r="R173" i="13"/>
  <c r="R151" i="7" s="1"/>
  <c r="S173" i="13"/>
  <c r="T173" i="13"/>
  <c r="U173" i="13"/>
  <c r="U151" i="7" s="1"/>
  <c r="J179" i="13"/>
  <c r="J154" i="7" s="1"/>
  <c r="K179" i="13"/>
  <c r="K154" i="7" s="1"/>
  <c r="L179" i="13"/>
  <c r="L154" i="7" s="1"/>
  <c r="M179" i="13"/>
  <c r="M154" i="7" s="1"/>
  <c r="N179" i="13"/>
  <c r="O179" i="13"/>
  <c r="P179" i="13"/>
  <c r="Q179" i="13"/>
  <c r="R179" i="13"/>
  <c r="S179" i="13"/>
  <c r="T179" i="13"/>
  <c r="U179" i="13"/>
  <c r="E189" i="13"/>
  <c r="E158" i="7" s="1"/>
  <c r="F189" i="13"/>
  <c r="F158" i="7" s="1"/>
  <c r="G189" i="13"/>
  <c r="G158" i="7" s="1"/>
  <c r="H189" i="13"/>
  <c r="H158" i="7" s="1"/>
  <c r="I189" i="13"/>
  <c r="I158" i="7" s="1"/>
  <c r="J189" i="13"/>
  <c r="J158" i="7" s="1"/>
  <c r="K189" i="13"/>
  <c r="L189" i="13"/>
  <c r="L158" i="7" s="1"/>
  <c r="M189" i="13"/>
  <c r="M158" i="7" s="1"/>
  <c r="N189" i="13"/>
  <c r="N158" i="7" s="1"/>
  <c r="O189" i="13"/>
  <c r="O165" i="13" s="1"/>
  <c r="O163" i="13" s="1"/>
  <c r="P189" i="13"/>
  <c r="Q189" i="13"/>
  <c r="Q165" i="13" s="1"/>
  <c r="Q163" i="13" s="1"/>
  <c r="R189" i="13"/>
  <c r="R165" i="13" s="1"/>
  <c r="R163" i="13" s="1"/>
  <c r="S189" i="13"/>
  <c r="S165" i="13" s="1"/>
  <c r="S163" i="13" s="1"/>
  <c r="T189" i="13"/>
  <c r="U189" i="13"/>
  <c r="U165" i="13" s="1"/>
  <c r="U163" i="13" s="1"/>
  <c r="AH193" i="13"/>
  <c r="AJ193" i="13"/>
  <c r="AL193" i="13"/>
  <c r="AN193" i="13"/>
  <c r="AP193" i="13"/>
  <c r="AR193" i="13"/>
  <c r="AT193" i="13"/>
  <c r="AU193" i="13"/>
  <c r="AV193" i="13"/>
  <c r="AX193" i="13"/>
  <c r="AY193" i="13"/>
  <c r="AZ193" i="13"/>
  <c r="BA193" i="13"/>
  <c r="BC193" i="13"/>
  <c r="BE193" i="13"/>
  <c r="BF193" i="13"/>
  <c r="BH193" i="13"/>
  <c r="BJ193" i="13"/>
  <c r="BK193" i="13"/>
  <c r="BM193" i="13"/>
  <c r="BO193" i="13"/>
  <c r="BP193" i="13"/>
  <c r="BQ193" i="13"/>
  <c r="BR193" i="13"/>
  <c r="BS193" i="13"/>
  <c r="BT193" i="13"/>
  <c r="BU193" i="13"/>
  <c r="BV193" i="13"/>
  <c r="BW193" i="13"/>
  <c r="BX193" i="13"/>
  <c r="BY193" i="13"/>
  <c r="BZ193" i="13"/>
  <c r="CB193" i="13"/>
  <c r="CC193" i="13"/>
  <c r="CD193" i="13"/>
  <c r="CE193" i="13"/>
  <c r="CF193" i="13"/>
  <c r="CG193" i="13"/>
  <c r="CH193" i="13"/>
  <c r="CI193" i="13"/>
  <c r="CJ193" i="13"/>
  <c r="CK193" i="13"/>
  <c r="CL193" i="13"/>
  <c r="CM193" i="13"/>
  <c r="CN193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H223" i="13"/>
  <c r="H227" i="13" s="1"/>
  <c r="I223" i="13"/>
  <c r="I227" i="13" s="1"/>
  <c r="J223" i="13"/>
  <c r="J227" i="13" s="1"/>
  <c r="K223" i="13"/>
  <c r="K227" i="13" s="1"/>
  <c r="L223" i="13"/>
  <c r="L209" i="7" s="1"/>
  <c r="M223" i="13"/>
  <c r="M227" i="13" s="1"/>
  <c r="N223" i="13"/>
  <c r="N227" i="13" s="1"/>
  <c r="O223" i="13"/>
  <c r="O209" i="7" s="1"/>
  <c r="P223" i="13"/>
  <c r="P227" i="13" s="1"/>
  <c r="Q223" i="13"/>
  <c r="Q227" i="13" s="1"/>
  <c r="R223" i="13"/>
  <c r="R227" i="13" s="1"/>
  <c r="S223" i="13"/>
  <c r="S227" i="13" s="1"/>
  <c r="T223" i="13"/>
  <c r="T209" i="7" s="1"/>
  <c r="U223" i="13"/>
  <c r="U227" i="13" s="1"/>
  <c r="Q234" i="13"/>
  <c r="R234" i="13"/>
  <c r="S234" i="13"/>
  <c r="T234" i="13"/>
  <c r="U234" i="13"/>
  <c r="H238" i="13"/>
  <c r="H215" i="7" s="1"/>
  <c r="I238" i="13"/>
  <c r="I215" i="7" s="1"/>
  <c r="J238" i="13"/>
  <c r="J215" i="7" s="1"/>
  <c r="K238" i="13"/>
  <c r="K215" i="7" s="1"/>
  <c r="L238" i="13"/>
  <c r="L215" i="7" s="1"/>
  <c r="M238" i="13"/>
  <c r="M215" i="7" s="1"/>
  <c r="N238" i="13"/>
  <c r="N215" i="7" s="1"/>
  <c r="O238" i="13"/>
  <c r="O215" i="7" s="1"/>
  <c r="P238" i="13"/>
  <c r="P215" i="7" s="1"/>
  <c r="Q238" i="13"/>
  <c r="R238" i="13"/>
  <c r="R215" i="7" s="1"/>
  <c r="S238" i="13"/>
  <c r="S215" i="7" s="1"/>
  <c r="T238" i="13"/>
  <c r="T215" i="7" s="1"/>
  <c r="U238" i="13"/>
  <c r="U215" i="7" s="1"/>
  <c r="S240" i="13"/>
  <c r="S216" i="7" s="1"/>
  <c r="T240" i="13"/>
  <c r="T216" i="7" s="1"/>
  <c r="U240" i="13"/>
  <c r="U216" i="7" s="1"/>
  <c r="H245" i="13"/>
  <c r="I245" i="13"/>
  <c r="I217" i="7" s="1"/>
  <c r="J245" i="13"/>
  <c r="J217" i="7" s="1"/>
  <c r="K245" i="13"/>
  <c r="K217" i="7" s="1"/>
  <c r="L245" i="13"/>
  <c r="M245" i="13"/>
  <c r="M217" i="7" s="1"/>
  <c r="N245" i="13"/>
  <c r="N217" i="7" s="1"/>
  <c r="O245" i="13"/>
  <c r="O217" i="7" s="1"/>
  <c r="P245" i="13"/>
  <c r="P217" i="7" s="1"/>
  <c r="Q245" i="13"/>
  <c r="Q217" i="7" s="1"/>
  <c r="R245" i="13"/>
  <c r="R217" i="7" s="1"/>
  <c r="S245" i="13"/>
  <c r="S217" i="7" s="1"/>
  <c r="T245" i="13"/>
  <c r="T217" i="7" s="1"/>
  <c r="U245" i="13"/>
  <c r="U217" i="7" s="1"/>
  <c r="H249" i="13"/>
  <c r="H219" i="7" s="1"/>
  <c r="I249" i="13"/>
  <c r="I219" i="7" s="1"/>
  <c r="J249" i="13"/>
  <c r="K249" i="13"/>
  <c r="L249" i="13"/>
  <c r="L219" i="7" s="1"/>
  <c r="M249" i="13"/>
  <c r="M219" i="7" s="1"/>
  <c r="N249" i="13"/>
  <c r="N219" i="7" s="1"/>
  <c r="O249" i="13"/>
  <c r="O219" i="7" s="1"/>
  <c r="P249" i="13"/>
  <c r="P219" i="7" s="1"/>
  <c r="Q249" i="13"/>
  <c r="Q219" i="7" s="1"/>
  <c r="R249" i="13"/>
  <c r="R219" i="7" s="1"/>
  <c r="S249" i="13"/>
  <c r="S219" i="7" s="1"/>
  <c r="T249" i="13"/>
  <c r="T219" i="7" s="1"/>
  <c r="H255" i="13"/>
  <c r="I255" i="13"/>
  <c r="I260" i="13" s="1"/>
  <c r="J255" i="13"/>
  <c r="K255" i="13"/>
  <c r="K221" i="7" s="1"/>
  <c r="L255" i="13"/>
  <c r="M255" i="13"/>
  <c r="M260" i="13" s="1"/>
  <c r="N255" i="13"/>
  <c r="N260" i="13" s="1"/>
  <c r="O255" i="13"/>
  <c r="O260" i="13" s="1"/>
  <c r="P255" i="13"/>
  <c r="Q255" i="13"/>
  <c r="Q260" i="13" s="1"/>
  <c r="R255" i="13"/>
  <c r="R221" i="7" s="1"/>
  <c r="S255" i="13"/>
  <c r="S221" i="7" s="1"/>
  <c r="T255" i="13"/>
  <c r="U255" i="13"/>
  <c r="U260" i="13" s="1"/>
  <c r="J260" i="13"/>
  <c r="K260" i="13"/>
  <c r="AQ12" i="11"/>
  <c r="BQ12" i="11"/>
  <c r="AQ14" i="11"/>
  <c r="BQ14" i="11"/>
  <c r="AQ16" i="11"/>
  <c r="BQ16" i="11"/>
  <c r="AQ17" i="11"/>
  <c r="BQ17" i="11"/>
  <c r="G19" i="11"/>
  <c r="AQ19" i="11" s="1"/>
  <c r="BQ19" i="11"/>
  <c r="D20" i="11"/>
  <c r="AN20" i="11" s="1"/>
  <c r="E20" i="11"/>
  <c r="AO20" i="11" s="1"/>
  <c r="F20" i="11"/>
  <c r="AP20" i="11" s="1"/>
  <c r="AQ20" i="11"/>
  <c r="D21" i="11"/>
  <c r="AN21" i="11" s="1"/>
  <c r="E21" i="11"/>
  <c r="AO21" i="11" s="1"/>
  <c r="F21" i="11"/>
  <c r="AP21" i="11" s="1"/>
  <c r="AQ21" i="11"/>
  <c r="D22" i="11"/>
  <c r="AN22" i="11" s="1"/>
  <c r="E22" i="11"/>
  <c r="AO22" i="11" s="1"/>
  <c r="F22" i="11"/>
  <c r="AQ22" i="11"/>
  <c r="D23" i="11"/>
  <c r="AN23" i="11" s="1"/>
  <c r="E23" i="11"/>
  <c r="AO23" i="11" s="1"/>
  <c r="F23" i="11"/>
  <c r="AP23" i="11" s="1"/>
  <c r="AQ23" i="11"/>
  <c r="D24" i="11"/>
  <c r="AN24" i="11" s="1"/>
  <c r="E24" i="11"/>
  <c r="AO24" i="11" s="1"/>
  <c r="F24" i="11"/>
  <c r="AP24" i="11" s="1"/>
  <c r="AQ24" i="11"/>
  <c r="D25" i="11"/>
  <c r="AN25" i="11" s="1"/>
  <c r="E25" i="11"/>
  <c r="AO25" i="11" s="1"/>
  <c r="F25" i="11"/>
  <c r="AP25" i="11" s="1"/>
  <c r="AQ25" i="11"/>
  <c r="D26" i="11"/>
  <c r="AN26" i="11" s="1"/>
  <c r="E26" i="11"/>
  <c r="AO26" i="11" s="1"/>
  <c r="F26" i="11"/>
  <c r="AP26" i="11" s="1"/>
  <c r="AQ26" i="11"/>
  <c r="D27" i="11"/>
  <c r="AN27" i="11" s="1"/>
  <c r="E27" i="11"/>
  <c r="AO27" i="11" s="1"/>
  <c r="F27" i="11"/>
  <c r="AP27" i="11" s="1"/>
  <c r="AQ27" i="11"/>
  <c r="D28" i="11"/>
  <c r="AN28" i="11" s="1"/>
  <c r="E28" i="11"/>
  <c r="AO28" i="11" s="1"/>
  <c r="F28" i="11"/>
  <c r="AP28" i="11" s="1"/>
  <c r="I28" i="11"/>
  <c r="AR28" i="11" s="1"/>
  <c r="AQ28" i="11"/>
  <c r="D29" i="11"/>
  <c r="AN29" i="11" s="1"/>
  <c r="E29" i="11"/>
  <c r="AO29" i="11" s="1"/>
  <c r="F29" i="11"/>
  <c r="AP29" i="11" s="1"/>
  <c r="AQ29" i="11"/>
  <c r="D30" i="11"/>
  <c r="AN30" i="11" s="1"/>
  <c r="E30" i="11"/>
  <c r="AO30" i="11" s="1"/>
  <c r="F30" i="11"/>
  <c r="AP30" i="11" s="1"/>
  <c r="AQ30" i="11"/>
  <c r="D31" i="11"/>
  <c r="AN31" i="11" s="1"/>
  <c r="E31" i="11"/>
  <c r="AO31" i="11" s="1"/>
  <c r="F31" i="11"/>
  <c r="AP31" i="11" s="1"/>
  <c r="AQ31" i="11"/>
  <c r="D32" i="11"/>
  <c r="AN32" i="11" s="1"/>
  <c r="E32" i="11"/>
  <c r="AO32" i="11" s="1"/>
  <c r="F32" i="11"/>
  <c r="AP32" i="11" s="1"/>
  <c r="AQ32" i="11"/>
  <c r="D33" i="11"/>
  <c r="AN33" i="11" s="1"/>
  <c r="E33" i="11"/>
  <c r="AO33" i="11" s="1"/>
  <c r="F33" i="11"/>
  <c r="AP33" i="11" s="1"/>
  <c r="I33" i="11"/>
  <c r="AR33" i="11" s="1"/>
  <c r="AQ33" i="11"/>
  <c r="D34" i="11"/>
  <c r="AN34" i="11" s="1"/>
  <c r="E34" i="11"/>
  <c r="AO34" i="11" s="1"/>
  <c r="F34" i="11"/>
  <c r="AP34" i="11" s="1"/>
  <c r="CC57" i="14"/>
  <c r="BV57" i="14" s="1"/>
  <c r="AQ34" i="11"/>
  <c r="AR34" i="11"/>
  <c r="D35" i="11"/>
  <c r="AN35" i="11" s="1"/>
  <c r="E35" i="11"/>
  <c r="AO35" i="11" s="1"/>
  <c r="F35" i="11"/>
  <c r="AP35" i="11" s="1"/>
  <c r="G35" i="11"/>
  <c r="AQ35" i="11" s="1"/>
  <c r="G36" i="11"/>
  <c r="AQ36" i="11" s="1"/>
  <c r="D37" i="11"/>
  <c r="AN37" i="11" s="1"/>
  <c r="E37" i="11"/>
  <c r="AO37" i="11" s="1"/>
  <c r="F37" i="11"/>
  <c r="CC73" i="14"/>
  <c r="AQ37" i="11"/>
  <c r="D38" i="11"/>
  <c r="AN38" i="11" s="1"/>
  <c r="E38" i="11"/>
  <c r="AO38" i="11" s="1"/>
  <c r="F38" i="11"/>
  <c r="AP38" i="11" s="1"/>
  <c r="AQ38" i="11"/>
  <c r="D39" i="11"/>
  <c r="AN39" i="11" s="1"/>
  <c r="E39" i="11"/>
  <c r="AO39" i="11" s="1"/>
  <c r="F39" i="11"/>
  <c r="AP39" i="11" s="1"/>
  <c r="AQ39" i="11"/>
  <c r="D40" i="11"/>
  <c r="AN40" i="11" s="1"/>
  <c r="E40" i="11"/>
  <c r="AO40" i="11" s="1"/>
  <c r="F40" i="11"/>
  <c r="AP40" i="11" s="1"/>
  <c r="CC127" i="14"/>
  <c r="AQ40" i="11"/>
  <c r="D41" i="11"/>
  <c r="AN41" i="11" s="1"/>
  <c r="E41" i="11"/>
  <c r="F41" i="11"/>
  <c r="AP41" i="11" s="1"/>
  <c r="CC142" i="14"/>
  <c r="BV142" i="14" s="1"/>
  <c r="AQ41" i="11"/>
  <c r="D42" i="11"/>
  <c r="AN42" i="11" s="1"/>
  <c r="E42" i="11"/>
  <c r="AO42" i="11" s="1"/>
  <c r="F42" i="11"/>
  <c r="AP42" i="11" s="1"/>
  <c r="CC149" i="14"/>
  <c r="BV149" i="14" s="1"/>
  <c r="AQ42" i="11"/>
  <c r="B43" i="11"/>
  <c r="D43" i="11"/>
  <c r="AN43" i="11" s="1"/>
  <c r="E43" i="11"/>
  <c r="AO43" i="11" s="1"/>
  <c r="F43" i="11"/>
  <c r="AP43" i="11" s="1"/>
  <c r="G43" i="11"/>
  <c r="AQ43" i="11" s="1"/>
  <c r="B45" i="11"/>
  <c r="G45" i="11"/>
  <c r="AQ45" i="11" s="1"/>
  <c r="H45" i="11"/>
  <c r="J45" i="11"/>
  <c r="AL45" i="11"/>
  <c r="B46" i="11"/>
  <c r="G46" i="11"/>
  <c r="AQ46" i="11" s="1"/>
  <c r="H46" i="11"/>
  <c r="J46" i="11"/>
  <c r="AL46" i="11"/>
  <c r="B47" i="11"/>
  <c r="G47" i="11"/>
  <c r="AQ47" i="11" s="1"/>
  <c r="H47" i="11"/>
  <c r="J47" i="11"/>
  <c r="AL47" i="11"/>
  <c r="B48" i="11"/>
  <c r="G48" i="11"/>
  <c r="AQ48" i="11" s="1"/>
  <c r="H48" i="11"/>
  <c r="J48" i="11"/>
  <c r="AL48" i="11"/>
  <c r="B49" i="11"/>
  <c r="G49" i="11"/>
  <c r="AQ49" i="11" s="1"/>
  <c r="H49" i="11"/>
  <c r="J49" i="11"/>
  <c r="AL49" i="11"/>
  <c r="B50" i="11"/>
  <c r="G50" i="11"/>
  <c r="AQ50" i="11" s="1"/>
  <c r="H50" i="11"/>
  <c r="J50" i="11"/>
  <c r="AL50" i="11"/>
  <c r="H51" i="11"/>
  <c r="J51" i="11"/>
  <c r="AI51" i="11"/>
  <c r="BQ51" i="11" s="1"/>
  <c r="H55" i="11"/>
  <c r="J55" i="11"/>
  <c r="AI55" i="11"/>
  <c r="H56" i="11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E7" i="9"/>
  <c r="F7" i="9" s="1"/>
  <c r="W7" i="9"/>
  <c r="X7" i="9" s="1"/>
  <c r="D406" i="9"/>
  <c r="D413" i="9" s="1"/>
  <c r="E248" i="9"/>
  <c r="F248" i="9"/>
  <c r="G366" i="9"/>
  <c r="H248" i="9"/>
  <c r="I248" i="9"/>
  <c r="J248" i="9"/>
  <c r="K248" i="9"/>
  <c r="L11" i="9"/>
  <c r="L167" i="9" s="1"/>
  <c r="D181" i="9"/>
  <c r="D263" i="9" s="1"/>
  <c r="E181" i="9"/>
  <c r="E263" i="9" s="1"/>
  <c r="F270" i="9"/>
  <c r="G181" i="9"/>
  <c r="G263" i="9" s="1"/>
  <c r="H270" i="9"/>
  <c r="X12" i="9"/>
  <c r="X65" i="9" s="1"/>
  <c r="Y12" i="9"/>
  <c r="W13" i="9"/>
  <c r="X13" i="9"/>
  <c r="F57" i="9"/>
  <c r="G57" i="9"/>
  <c r="L57" i="9"/>
  <c r="M57" i="9"/>
  <c r="T14" i="9"/>
  <c r="T57" i="9" s="1"/>
  <c r="W15" i="9"/>
  <c r="W58" i="9" s="1"/>
  <c r="X15" i="9"/>
  <c r="X16" i="9"/>
  <c r="X17" i="9"/>
  <c r="X18" i="9"/>
  <c r="N19" i="9"/>
  <c r="O19" i="9"/>
  <c r="P19" i="9"/>
  <c r="Q19" i="9"/>
  <c r="Q22" i="9" s="1"/>
  <c r="R19" i="9"/>
  <c r="S19" i="9"/>
  <c r="T19" i="9"/>
  <c r="U19" i="9"/>
  <c r="U22" i="9" s="1"/>
  <c r="V19" i="9"/>
  <c r="V22" i="9" s="1"/>
  <c r="W19" i="9"/>
  <c r="R20" i="9"/>
  <c r="S20" i="9"/>
  <c r="T20" i="9"/>
  <c r="Z20" i="9"/>
  <c r="AA20" i="9" s="1"/>
  <c r="AB20" i="9" s="1"/>
  <c r="AC20" i="9" s="1"/>
  <c r="AD20" i="9" s="1"/>
  <c r="AE20" i="9" s="1"/>
  <c r="AF20" i="9" s="1"/>
  <c r="Y21" i="9"/>
  <c r="Z21" i="9" s="1"/>
  <c r="AA21" i="9" s="1"/>
  <c r="AB21" i="9" s="1"/>
  <c r="AC21" i="9" s="1"/>
  <c r="AD21" i="9" s="1"/>
  <c r="AE21" i="9" s="1"/>
  <c r="AF21" i="9" s="1"/>
  <c r="E279" i="9"/>
  <c r="N66" i="9"/>
  <c r="X23" i="9"/>
  <c r="X37" i="9" s="1"/>
  <c r="Y23" i="9"/>
  <c r="Y279" i="9" s="1"/>
  <c r="Y24" i="9"/>
  <c r="Z24" i="9"/>
  <c r="AA24" i="9"/>
  <c r="AB24" i="9"/>
  <c r="AC24" i="9"/>
  <c r="H25" i="9"/>
  <c r="I25" i="9"/>
  <c r="J25" i="9"/>
  <c r="K25" i="9"/>
  <c r="K24" i="9" s="1"/>
  <c r="L25" i="9"/>
  <c r="M25" i="9"/>
  <c r="M24" i="9" s="1"/>
  <c r="N25" i="9"/>
  <c r="N24" i="9" s="1"/>
  <c r="N28" i="9" s="1"/>
  <c r="O25" i="9"/>
  <c r="O24" i="9" s="1"/>
  <c r="O28" i="9" s="1"/>
  <c r="P25" i="9"/>
  <c r="P24" i="9" s="1"/>
  <c r="P28" i="9" s="1"/>
  <c r="Q25" i="9"/>
  <c r="Q24" i="9" s="1"/>
  <c r="Q28" i="9" s="1"/>
  <c r="R25" i="9"/>
  <c r="R24" i="9" s="1"/>
  <c r="R28" i="9" s="1"/>
  <c r="S25" i="9"/>
  <c r="S24" i="9" s="1"/>
  <c r="S28" i="9" s="1"/>
  <c r="T25" i="9"/>
  <c r="T24" i="9" s="1"/>
  <c r="T28" i="9" s="1"/>
  <c r="U25" i="9"/>
  <c r="U24" i="9" s="1"/>
  <c r="U28" i="9" s="1"/>
  <c r="V25" i="9"/>
  <c r="V24" i="9" s="1"/>
  <c r="V28" i="9" s="1"/>
  <c r="W25" i="9"/>
  <c r="W24" i="9" s="1"/>
  <c r="W28" i="9" s="1"/>
  <c r="X25" i="9"/>
  <c r="H26" i="9"/>
  <c r="I26" i="9"/>
  <c r="I519" i="9" s="1"/>
  <c r="J26" i="9"/>
  <c r="J519" i="9" s="1"/>
  <c r="L26" i="9"/>
  <c r="L519" i="9" s="1"/>
  <c r="X26" i="9"/>
  <c r="N67" i="9"/>
  <c r="X29" i="9"/>
  <c r="X30" i="9"/>
  <c r="X31" i="9"/>
  <c r="W32" i="9"/>
  <c r="W35" i="9" s="1"/>
  <c r="N33" i="9"/>
  <c r="N62" i="9" s="1"/>
  <c r="O33" i="9"/>
  <c r="O62" i="9" s="1"/>
  <c r="X34" i="9"/>
  <c r="M50" i="9"/>
  <c r="M485" i="9" s="1"/>
  <c r="N37" i="9"/>
  <c r="N38" i="9" s="1"/>
  <c r="O37" i="9"/>
  <c r="O38" i="9" s="1"/>
  <c r="P37" i="9"/>
  <c r="P38" i="9" s="1"/>
  <c r="R37" i="9"/>
  <c r="R38" i="9" s="1"/>
  <c r="S37" i="9"/>
  <c r="S38" i="9" s="1"/>
  <c r="T37" i="9"/>
  <c r="T38" i="9" s="1"/>
  <c r="U37" i="9"/>
  <c r="U38" i="9" s="1"/>
  <c r="V37" i="9"/>
  <c r="V38" i="9" s="1"/>
  <c r="W37" i="9"/>
  <c r="W38" i="9" s="1"/>
  <c r="Q37" i="9"/>
  <c r="W42" i="9"/>
  <c r="X42" i="9"/>
  <c r="D341" i="9"/>
  <c r="E341" i="9"/>
  <c r="G341" i="9"/>
  <c r="M45" i="9"/>
  <c r="S45" i="9"/>
  <c r="S49" i="9" s="1"/>
  <c r="S52" i="9" s="1"/>
  <c r="T45" i="9"/>
  <c r="T49" i="9" s="1"/>
  <c r="T52" i="9" s="1"/>
  <c r="U45" i="9"/>
  <c r="U49" i="9" s="1"/>
  <c r="U52" i="9" s="1"/>
  <c r="V45" i="9"/>
  <c r="V49" i="9" s="1"/>
  <c r="V52" i="9" s="1"/>
  <c r="L47" i="9"/>
  <c r="L45" i="9" s="1"/>
  <c r="N47" i="9"/>
  <c r="N522" i="9" s="1"/>
  <c r="O47" i="9"/>
  <c r="O522" i="9" s="1"/>
  <c r="P47" i="9"/>
  <c r="P50" i="9" s="1"/>
  <c r="P485" i="9" s="1"/>
  <c r="Q47" i="9"/>
  <c r="Q50" i="9" s="1"/>
  <c r="Q485" i="9" s="1"/>
  <c r="R47" i="9"/>
  <c r="R50" i="9" s="1"/>
  <c r="R485" i="9" s="1"/>
  <c r="P49" i="9"/>
  <c r="P52" i="9" s="1"/>
  <c r="S50" i="9"/>
  <c r="S485" i="9" s="1"/>
  <c r="T50" i="9"/>
  <c r="U50" i="9"/>
  <c r="V50" i="9"/>
  <c r="D345" i="9"/>
  <c r="E345" i="9"/>
  <c r="F345" i="9"/>
  <c r="G345" i="9"/>
  <c r="H345" i="9"/>
  <c r="I345" i="9"/>
  <c r="J345" i="9"/>
  <c r="K345" i="9"/>
  <c r="L345" i="9"/>
  <c r="M345" i="9"/>
  <c r="W51" i="9"/>
  <c r="X51" i="9" s="1"/>
  <c r="Q52" i="9"/>
  <c r="R52" i="9"/>
  <c r="J489" i="9"/>
  <c r="K489" i="9"/>
  <c r="L489" i="9"/>
  <c r="M489" i="9"/>
  <c r="N489" i="9"/>
  <c r="O489" i="9"/>
  <c r="P489" i="9"/>
  <c r="Q489" i="9"/>
  <c r="R489" i="9"/>
  <c r="S489" i="9"/>
  <c r="N57" i="9"/>
  <c r="O57" i="9"/>
  <c r="P57" i="9"/>
  <c r="Q57" i="9"/>
  <c r="R57" i="9"/>
  <c r="S57" i="9"/>
  <c r="U57" i="9"/>
  <c r="V57" i="9"/>
  <c r="W57" i="9"/>
  <c r="N58" i="9"/>
  <c r="O58" i="9"/>
  <c r="P58" i="9"/>
  <c r="Q58" i="9"/>
  <c r="R58" i="9"/>
  <c r="S58" i="9"/>
  <c r="T58" i="9"/>
  <c r="U58" i="9"/>
  <c r="V58" i="9"/>
  <c r="N59" i="9"/>
  <c r="O59" i="9"/>
  <c r="P59" i="9"/>
  <c r="Q59" i="9"/>
  <c r="R59" i="9"/>
  <c r="S59" i="9"/>
  <c r="T59" i="9"/>
  <c r="U59" i="9"/>
  <c r="V59" i="9"/>
  <c r="W59" i="9"/>
  <c r="N60" i="9"/>
  <c r="O60" i="9"/>
  <c r="P60" i="9"/>
  <c r="Q60" i="9"/>
  <c r="R60" i="9"/>
  <c r="S60" i="9"/>
  <c r="T60" i="9"/>
  <c r="U60" i="9"/>
  <c r="V60" i="9"/>
  <c r="W60" i="9"/>
  <c r="P61" i="9"/>
  <c r="Q61" i="9"/>
  <c r="R61" i="9"/>
  <c r="S61" i="9"/>
  <c r="T61" i="9"/>
  <c r="U61" i="9"/>
  <c r="V61" i="9"/>
  <c r="P62" i="9"/>
  <c r="Q62" i="9"/>
  <c r="R62" i="9"/>
  <c r="S62" i="9"/>
  <c r="T62" i="9"/>
  <c r="U62" i="9"/>
  <c r="V62" i="9"/>
  <c r="O65" i="9"/>
  <c r="P65" i="9"/>
  <c r="Q65" i="9"/>
  <c r="R65" i="9"/>
  <c r="S65" i="9"/>
  <c r="T65" i="9"/>
  <c r="U65" i="9"/>
  <c r="V65" i="9"/>
  <c r="W65" i="9"/>
  <c r="O66" i="9"/>
  <c r="P66" i="9"/>
  <c r="Q66" i="9"/>
  <c r="R66" i="9"/>
  <c r="S66" i="9"/>
  <c r="T66" i="9"/>
  <c r="U66" i="9"/>
  <c r="V66" i="9"/>
  <c r="W66" i="9"/>
  <c r="O67" i="9"/>
  <c r="P67" i="9"/>
  <c r="Q67" i="9"/>
  <c r="R67" i="9"/>
  <c r="S67" i="9"/>
  <c r="T67" i="9"/>
  <c r="U67" i="9"/>
  <c r="V67" i="9"/>
  <c r="W67" i="9"/>
  <c r="Q68" i="9"/>
  <c r="R68" i="9"/>
  <c r="S68" i="9"/>
  <c r="T68" i="9"/>
  <c r="U68" i="9"/>
  <c r="V68" i="9"/>
  <c r="AS20" i="11"/>
  <c r="W72" i="9"/>
  <c r="X72" i="9"/>
  <c r="Y72" i="9"/>
  <c r="Z72" i="9"/>
  <c r="AA72" i="9"/>
  <c r="W75" i="9"/>
  <c r="X75" i="9"/>
  <c r="Y75" i="9"/>
  <c r="S77" i="9"/>
  <c r="W78" i="9"/>
  <c r="X78" i="9"/>
  <c r="X205" i="9" s="1"/>
  <c r="Y78" i="9"/>
  <c r="W80" i="9"/>
  <c r="X80" i="9"/>
  <c r="Y80" i="9"/>
  <c r="X83" i="9"/>
  <c r="Y85" i="9"/>
  <c r="Z85" i="9" s="1"/>
  <c r="AC85" i="9" s="1"/>
  <c r="Y87" i="9"/>
  <c r="Y81" i="9" s="1"/>
  <c r="X88" i="9"/>
  <c r="Y89" i="9" s="1"/>
  <c r="W93" i="9"/>
  <c r="W95" i="9"/>
  <c r="X95" i="9"/>
  <c r="Y95" i="9"/>
  <c r="W98" i="9"/>
  <c r="W99" i="9" s="1"/>
  <c r="X98" i="9"/>
  <c r="Y98" i="9" s="1"/>
  <c r="Z101" i="9"/>
  <c r="AC101" i="9" s="1"/>
  <c r="W102" i="9"/>
  <c r="X102" i="9"/>
  <c r="Y104" i="9"/>
  <c r="Y103" i="9" s="1"/>
  <c r="W105" i="9"/>
  <c r="X105" i="9"/>
  <c r="W125" i="9"/>
  <c r="X125" i="9"/>
  <c r="Y125" i="9"/>
  <c r="Y127" i="9"/>
  <c r="Z127" i="9" s="1"/>
  <c r="AA127" i="9" s="1"/>
  <c r="Z128" i="9"/>
  <c r="W129" i="9"/>
  <c r="W130" i="9" s="1"/>
  <c r="X129" i="9"/>
  <c r="X131" i="9" s="1"/>
  <c r="X133" i="9" s="1"/>
  <c r="Z134" i="9"/>
  <c r="W139" i="9"/>
  <c r="X139" i="9"/>
  <c r="Y139" i="9"/>
  <c r="Z140" i="9"/>
  <c r="Z141" i="9"/>
  <c r="Z142" i="9"/>
  <c r="AA146" i="9"/>
  <c r="AA235" i="9" s="1"/>
  <c r="W147" i="9"/>
  <c r="X147" i="9"/>
  <c r="Y147" i="9"/>
  <c r="Z147" i="9"/>
  <c r="AS35" i="11"/>
  <c r="W150" i="9"/>
  <c r="X150" i="9"/>
  <c r="Y150" i="9"/>
  <c r="Z150" i="9"/>
  <c r="X152" i="9"/>
  <c r="Y153" i="9" s="1"/>
  <c r="W153" i="9"/>
  <c r="V157" i="9"/>
  <c r="W157" i="9"/>
  <c r="Y157" i="9"/>
  <c r="V158" i="9"/>
  <c r="W158" i="9"/>
  <c r="Y158" i="9"/>
  <c r="V159" i="9"/>
  <c r="W159" i="9"/>
  <c r="Y159" i="9"/>
  <c r="V160" i="9"/>
  <c r="W160" i="9"/>
  <c r="Y160" i="9"/>
  <c r="V161" i="9"/>
  <c r="W161" i="9"/>
  <c r="Y161" i="9"/>
  <c r="V162" i="9"/>
  <c r="W162" i="9"/>
  <c r="Y162" i="9"/>
  <c r="V163" i="9"/>
  <c r="V156" i="9" s="1"/>
  <c r="W163" i="9"/>
  <c r="W156" i="9" s="1"/>
  <c r="Y163" i="9"/>
  <c r="Y156" i="9" s="1"/>
  <c r="L168" i="9"/>
  <c r="L259" i="9" s="1"/>
  <c r="M168" i="9"/>
  <c r="M259" i="9" s="1"/>
  <c r="X168" i="9"/>
  <c r="Y168" i="9" s="1"/>
  <c r="D169" i="9"/>
  <c r="D170" i="9" s="1"/>
  <c r="E169" i="9"/>
  <c r="E170" i="9" s="1"/>
  <c r="F169" i="9"/>
  <c r="F170" i="9" s="1"/>
  <c r="G169" i="9"/>
  <c r="G170" i="9" s="1"/>
  <c r="H169" i="9"/>
  <c r="H170" i="9" s="1"/>
  <c r="I169" i="9"/>
  <c r="I170" i="9" s="1"/>
  <c r="J169" i="9"/>
  <c r="J170" i="9" s="1"/>
  <c r="K169" i="9"/>
  <c r="K170" i="9" s="1"/>
  <c r="L169" i="9"/>
  <c r="M169" i="9"/>
  <c r="N169" i="9"/>
  <c r="N170" i="9" s="1"/>
  <c r="O169" i="9"/>
  <c r="O170" i="9" s="1"/>
  <c r="P169" i="9"/>
  <c r="P170" i="9" s="1"/>
  <c r="Q169" i="9"/>
  <c r="Q170" i="9" s="1"/>
  <c r="R169" i="9"/>
  <c r="R170" i="9" s="1"/>
  <c r="S169" i="9"/>
  <c r="S170" i="9" s="1"/>
  <c r="T169" i="9"/>
  <c r="T170" i="9" s="1"/>
  <c r="U169" i="9"/>
  <c r="U170" i="9" s="1"/>
  <c r="V170" i="9"/>
  <c r="J172" i="9"/>
  <c r="J174" i="9" s="1"/>
  <c r="K172" i="9"/>
  <c r="K174" i="9" s="1"/>
  <c r="L172" i="9"/>
  <c r="L174" i="9" s="1"/>
  <c r="M172" i="9"/>
  <c r="M174" i="9" s="1"/>
  <c r="O172" i="9"/>
  <c r="O174" i="9" s="1"/>
  <c r="P172" i="9"/>
  <c r="P174" i="9" s="1"/>
  <c r="Q172" i="9"/>
  <c r="Q174" i="9" s="1"/>
  <c r="R172" i="9"/>
  <c r="R174" i="9" s="1"/>
  <c r="T172" i="9"/>
  <c r="U172" i="9"/>
  <c r="W174" i="9"/>
  <c r="X174" i="9" s="1"/>
  <c r="Y174" i="9" s="1"/>
  <c r="Z174" i="9" s="1"/>
  <c r="AA174" i="9" s="1"/>
  <c r="AB174" i="9" s="1"/>
  <c r="AC174" i="9" s="1"/>
  <c r="X175" i="9"/>
  <c r="Y175" i="9" s="1"/>
  <c r="D176" i="9"/>
  <c r="D177" i="9" s="1"/>
  <c r="E176" i="9"/>
  <c r="E177" i="9" s="1"/>
  <c r="F176" i="9"/>
  <c r="F177" i="9" s="1"/>
  <c r="G176" i="9"/>
  <c r="G177" i="9" s="1"/>
  <c r="H176" i="9"/>
  <c r="H177" i="9" s="1"/>
  <c r="I176" i="9"/>
  <c r="I177" i="9" s="1"/>
  <c r="J176" i="9"/>
  <c r="J177" i="9" s="1"/>
  <c r="K176" i="9"/>
  <c r="K177" i="9" s="1"/>
  <c r="L176" i="9"/>
  <c r="L177" i="9" s="1"/>
  <c r="M176" i="9"/>
  <c r="M177" i="9" s="1"/>
  <c r="N176" i="9"/>
  <c r="N177" i="9" s="1"/>
  <c r="O176" i="9"/>
  <c r="O177" i="9" s="1"/>
  <c r="P176" i="9"/>
  <c r="P177" i="9" s="1"/>
  <c r="Q176" i="9"/>
  <c r="Q177" i="9" s="1"/>
  <c r="R176" i="9"/>
  <c r="R177" i="9" s="1"/>
  <c r="S176" i="9"/>
  <c r="S177" i="9" s="1"/>
  <c r="X178" i="9"/>
  <c r="Y178" i="9" s="1"/>
  <c r="F179" i="9"/>
  <c r="G179" i="9"/>
  <c r="H179" i="9"/>
  <c r="I179" i="9"/>
  <c r="J179" i="9"/>
  <c r="J180" i="9" s="1"/>
  <c r="K179" i="9"/>
  <c r="K180" i="9" s="1"/>
  <c r="L179" i="9"/>
  <c r="L180" i="9" s="1"/>
  <c r="M179" i="9"/>
  <c r="M180" i="9" s="1"/>
  <c r="N179" i="9"/>
  <c r="N180" i="9" s="1"/>
  <c r="O179" i="9"/>
  <c r="O180" i="9" s="1"/>
  <c r="P179" i="9"/>
  <c r="P180" i="9" s="1"/>
  <c r="Q179" i="9"/>
  <c r="Q180" i="9" s="1"/>
  <c r="R179" i="9"/>
  <c r="R180" i="9" s="1"/>
  <c r="S179" i="9"/>
  <c r="S180" i="9" s="1"/>
  <c r="N181" i="9"/>
  <c r="N263" i="9" s="1"/>
  <c r="O181" i="9"/>
  <c r="O263" i="9" s="1"/>
  <c r="P181" i="9"/>
  <c r="P263" i="9" s="1"/>
  <c r="Q181" i="9"/>
  <c r="Q263" i="9" s="1"/>
  <c r="R181" i="9"/>
  <c r="R263" i="9" s="1"/>
  <c r="S181" i="9"/>
  <c r="V185" i="9"/>
  <c r="W185" i="9"/>
  <c r="X185" i="9"/>
  <c r="Y185" i="9"/>
  <c r="Z185" i="9"/>
  <c r="AA185" i="9"/>
  <c r="V189" i="9"/>
  <c r="W189" i="9"/>
  <c r="X189" i="9"/>
  <c r="Y189" i="9"/>
  <c r="V193" i="9"/>
  <c r="W193" i="9"/>
  <c r="X193" i="9"/>
  <c r="Y193" i="9"/>
  <c r="W194" i="9"/>
  <c r="X194" i="9"/>
  <c r="Y198" i="9"/>
  <c r="Y194" i="9" s="1"/>
  <c r="W199" i="9"/>
  <c r="X199" i="9"/>
  <c r="Z199" i="9"/>
  <c r="AA199" i="9" s="1"/>
  <c r="W203" i="9"/>
  <c r="W216" i="9" s="1"/>
  <c r="X206" i="9"/>
  <c r="Y206" i="9" s="1"/>
  <c r="Z206" i="9" s="1"/>
  <c r="AA206" i="9" s="1"/>
  <c r="AB206" i="9" s="1"/>
  <c r="AC206" i="9" s="1"/>
  <c r="X208" i="9"/>
  <c r="Y208" i="9" s="1"/>
  <c r="Z208" i="9" s="1"/>
  <c r="AA208" i="9" s="1"/>
  <c r="AB208" i="9" s="1"/>
  <c r="AC208" i="9" s="1"/>
  <c r="X211" i="9"/>
  <c r="W214" i="9"/>
  <c r="W209" i="9" s="1"/>
  <c r="X214" i="9"/>
  <c r="Z214" i="9"/>
  <c r="X215" i="9"/>
  <c r="Y215" i="9" s="1"/>
  <c r="Z215" i="9" s="1"/>
  <c r="AA215" i="9" s="1"/>
  <c r="AB215" i="9" s="1"/>
  <c r="AC215" i="9" s="1"/>
  <c r="V224" i="9"/>
  <c r="W224" i="9"/>
  <c r="X224" i="9"/>
  <c r="Y224" i="9"/>
  <c r="V231" i="9"/>
  <c r="W231" i="9"/>
  <c r="X231" i="9"/>
  <c r="Y231" i="9"/>
  <c r="V235" i="9"/>
  <c r="W235" i="9"/>
  <c r="X235" i="9"/>
  <c r="Y235" i="9"/>
  <c r="Z235" i="9"/>
  <c r="Y237" i="9"/>
  <c r="Y238" i="9" s="1"/>
  <c r="Z237" i="9"/>
  <c r="Z238" i="9" s="1"/>
  <c r="V238" i="9"/>
  <c r="W238" i="9"/>
  <c r="X238" i="9"/>
  <c r="V242" i="9"/>
  <c r="V244" i="9" s="1"/>
  <c r="W244" i="9"/>
  <c r="Y244" i="9"/>
  <c r="L248" i="9"/>
  <c r="T248" i="9"/>
  <c r="W252" i="9"/>
  <c r="X252" i="9"/>
  <c r="P255" i="9"/>
  <c r="S256" i="9"/>
  <c r="D259" i="9"/>
  <c r="E259" i="9"/>
  <c r="F259" i="9"/>
  <c r="G259" i="9"/>
  <c r="H259" i="9"/>
  <c r="I259" i="9"/>
  <c r="J259" i="9"/>
  <c r="K259" i="9"/>
  <c r="N259" i="9"/>
  <c r="O259" i="9"/>
  <c r="P259" i="9"/>
  <c r="Q259" i="9"/>
  <c r="R259" i="9"/>
  <c r="S259" i="9"/>
  <c r="T259" i="9"/>
  <c r="U259" i="9"/>
  <c r="V259" i="9"/>
  <c r="W259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H263" i="9"/>
  <c r="I263" i="9"/>
  <c r="J263" i="9"/>
  <c r="K263" i="9"/>
  <c r="L263" i="9"/>
  <c r="M263" i="9"/>
  <c r="T263" i="9"/>
  <c r="U263" i="9"/>
  <c r="V263" i="9"/>
  <c r="N266" i="9"/>
  <c r="N267" i="9" s="1"/>
  <c r="P266" i="9"/>
  <c r="P267" i="9" s="1"/>
  <c r="Q266" i="9"/>
  <c r="R266" i="9"/>
  <c r="S266" i="9"/>
  <c r="T266" i="9"/>
  <c r="U266" i="9"/>
  <c r="V266" i="9"/>
  <c r="O267" i="9"/>
  <c r="N268" i="9"/>
  <c r="N284" i="9" s="1"/>
  <c r="O269" i="9"/>
  <c r="P269" i="9"/>
  <c r="Q269" i="9"/>
  <c r="Q267" i="9" s="1"/>
  <c r="R269" i="9"/>
  <c r="R267" i="9" s="1"/>
  <c r="S269" i="9"/>
  <c r="S173" i="9" s="1"/>
  <c r="T269" i="9"/>
  <c r="T173" i="9" s="1"/>
  <c r="S270" i="9"/>
  <c r="T270" i="9"/>
  <c r="U270" i="9"/>
  <c r="V270" i="9"/>
  <c r="W270" i="9"/>
  <c r="W285" i="9" s="1"/>
  <c r="N274" i="9"/>
  <c r="P274" i="9"/>
  <c r="P275" i="9" s="1"/>
  <c r="Q274" i="9"/>
  <c r="Q275" i="9" s="1"/>
  <c r="R274" i="9"/>
  <c r="R275" i="9" s="1"/>
  <c r="S274" i="9"/>
  <c r="S275" i="9" s="1"/>
  <c r="V274" i="9"/>
  <c r="O275" i="9"/>
  <c r="T275" i="9"/>
  <c r="U275" i="9"/>
  <c r="M277" i="9"/>
  <c r="O277" i="9"/>
  <c r="P277" i="9"/>
  <c r="Q277" i="9"/>
  <c r="R277" i="9"/>
  <c r="S277" i="9"/>
  <c r="S252" i="9" s="1"/>
  <c r="S251" i="9" s="1"/>
  <c r="T277" i="9"/>
  <c r="T252" i="9" s="1"/>
  <c r="T251" i="9" s="1"/>
  <c r="U277" i="9"/>
  <c r="U252" i="9" s="1"/>
  <c r="U251" i="9" s="1"/>
  <c r="V277" i="9"/>
  <c r="V252" i="9" s="1"/>
  <c r="S279" i="9"/>
  <c r="T279" i="9"/>
  <c r="U279" i="9"/>
  <c r="V279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V282" i="9"/>
  <c r="W282" i="9"/>
  <c r="X282" i="9"/>
  <c r="O283" i="9"/>
  <c r="I284" i="9"/>
  <c r="J284" i="9"/>
  <c r="K284" i="9"/>
  <c r="L284" i="9"/>
  <c r="M284" i="9"/>
  <c r="O284" i="9"/>
  <c r="P284" i="9"/>
  <c r="Q284" i="9"/>
  <c r="R284" i="9"/>
  <c r="S284" i="9"/>
  <c r="T284" i="9"/>
  <c r="U284" i="9"/>
  <c r="V284" i="9"/>
  <c r="W284" i="9"/>
  <c r="X284" i="9"/>
  <c r="I285" i="9"/>
  <c r="J285" i="9"/>
  <c r="K285" i="9"/>
  <c r="L285" i="9"/>
  <c r="M285" i="9"/>
  <c r="N285" i="9"/>
  <c r="O285" i="9"/>
  <c r="P285" i="9"/>
  <c r="Q285" i="9"/>
  <c r="R285" i="9"/>
  <c r="X285" i="9"/>
  <c r="U289" i="9"/>
  <c r="U290" i="9" s="1"/>
  <c r="V289" i="9"/>
  <c r="W289" i="9" s="1"/>
  <c r="U291" i="9"/>
  <c r="U304" i="9" s="1"/>
  <c r="V291" i="9"/>
  <c r="V298" i="9" s="1"/>
  <c r="T300" i="9"/>
  <c r="U300" i="9"/>
  <c r="V300" i="9"/>
  <c r="T301" i="9"/>
  <c r="U301" i="9"/>
  <c r="V301" i="9"/>
  <c r="S304" i="9"/>
  <c r="T304" i="9"/>
  <c r="S305" i="9"/>
  <c r="T305" i="9"/>
  <c r="U305" i="9"/>
  <c r="V305" i="9"/>
  <c r="S306" i="9"/>
  <c r="T306" i="9"/>
  <c r="U306" i="9"/>
  <c r="V306" i="9"/>
  <c r="D313" i="9"/>
  <c r="U313" i="9"/>
  <c r="V313" i="9"/>
  <c r="W317" i="9"/>
  <c r="W366" i="9" s="1"/>
  <c r="W406" i="9" s="1"/>
  <c r="X317" i="9"/>
  <c r="X366" i="9" s="1"/>
  <c r="X406" i="9" s="1"/>
  <c r="Y317" i="9"/>
  <c r="Y366" i="9" s="1"/>
  <c r="Y406" i="9" s="1"/>
  <c r="Z317" i="9"/>
  <c r="Z366" i="9" s="1"/>
  <c r="Z406" i="9" s="1"/>
  <c r="AA317" i="9"/>
  <c r="AA366" i="9" s="1"/>
  <c r="AA406" i="9" s="1"/>
  <c r="AB317" i="9"/>
  <c r="AB366" i="9" s="1"/>
  <c r="AB406" i="9" s="1"/>
  <c r="AC317" i="9"/>
  <c r="D266" i="9"/>
  <c r="E266" i="9"/>
  <c r="F266" i="9"/>
  <c r="G266" i="9"/>
  <c r="H266" i="9"/>
  <c r="I266" i="9"/>
  <c r="I267" i="9" s="1"/>
  <c r="J266" i="9"/>
  <c r="J267" i="9" s="1"/>
  <c r="K266" i="9"/>
  <c r="K267" i="9" s="1"/>
  <c r="L266" i="9"/>
  <c r="L267" i="9" s="1"/>
  <c r="M266" i="9"/>
  <c r="M267" i="9" s="1"/>
  <c r="L353" i="9"/>
  <c r="M353" i="9"/>
  <c r="N326" i="9"/>
  <c r="O326" i="9"/>
  <c r="P326" i="9"/>
  <c r="Q326" i="9"/>
  <c r="R326" i="9"/>
  <c r="S326" i="9"/>
  <c r="T326" i="9"/>
  <c r="U326" i="9"/>
  <c r="V326" i="9"/>
  <c r="W326" i="9"/>
  <c r="X326" i="9"/>
  <c r="D274" i="9"/>
  <c r="E274" i="9"/>
  <c r="F274" i="9"/>
  <c r="G274" i="9"/>
  <c r="H274" i="9"/>
  <c r="I274" i="9"/>
  <c r="J274" i="9"/>
  <c r="K274" i="9"/>
  <c r="L274" i="9"/>
  <c r="M274" i="9"/>
  <c r="N328" i="9"/>
  <c r="N329" i="9" s="1"/>
  <c r="O328" i="9"/>
  <c r="O329" i="9" s="1"/>
  <c r="P328" i="9"/>
  <c r="P329" i="9" s="1"/>
  <c r="Q328" i="9"/>
  <c r="Q329" i="9" s="1"/>
  <c r="R328" i="9"/>
  <c r="R329" i="9" s="1"/>
  <c r="S328" i="9"/>
  <c r="S329" i="9" s="1"/>
  <c r="T328" i="9"/>
  <c r="T329" i="9" s="1"/>
  <c r="U328" i="9"/>
  <c r="U329" i="9" s="1"/>
  <c r="V328" i="9"/>
  <c r="V329" i="9" s="1"/>
  <c r="W328" i="9"/>
  <c r="W329" i="9" s="1"/>
  <c r="X330" i="9"/>
  <c r="X329" i="9" s="1"/>
  <c r="N334" i="9"/>
  <c r="N335" i="9" s="1"/>
  <c r="O334" i="9"/>
  <c r="O357" i="9" s="1"/>
  <c r="P334" i="9"/>
  <c r="P357" i="9" s="1"/>
  <c r="Q334" i="9"/>
  <c r="Q357" i="9" s="1"/>
  <c r="R334" i="9"/>
  <c r="R357" i="9" s="1"/>
  <c r="D363" i="9"/>
  <c r="L343" i="9"/>
  <c r="M343" i="9"/>
  <c r="N338" i="9"/>
  <c r="O338" i="9"/>
  <c r="P338" i="9"/>
  <c r="Q338" i="9"/>
  <c r="R338" i="9"/>
  <c r="S338" i="9"/>
  <c r="T338" i="9"/>
  <c r="U338" i="9"/>
  <c r="V338" i="9"/>
  <c r="R341" i="9"/>
  <c r="R343" i="9" s="1"/>
  <c r="R346" i="9" s="1"/>
  <c r="S341" i="9"/>
  <c r="S343" i="9" s="1"/>
  <c r="S346" i="9" s="1"/>
  <c r="O343" i="9"/>
  <c r="P343" i="9"/>
  <c r="R344" i="9"/>
  <c r="S344" i="9"/>
  <c r="N345" i="9"/>
  <c r="O345" i="9"/>
  <c r="P345" i="9"/>
  <c r="Q346" i="9"/>
  <c r="N351" i="9"/>
  <c r="N350" i="9" s="1"/>
  <c r="O351" i="9"/>
  <c r="O350" i="9" s="1"/>
  <c r="P351" i="9"/>
  <c r="P350" i="9" s="1"/>
  <c r="Q351" i="9"/>
  <c r="Q350" i="9" s="1"/>
  <c r="R351" i="9"/>
  <c r="R350" i="9" s="1"/>
  <c r="S351" i="9"/>
  <c r="N352" i="9"/>
  <c r="O352" i="9"/>
  <c r="P352" i="9"/>
  <c r="Q352" i="9"/>
  <c r="R352" i="9"/>
  <c r="S352" i="9"/>
  <c r="N353" i="9"/>
  <c r="O353" i="9"/>
  <c r="P353" i="9"/>
  <c r="Q353" i="9"/>
  <c r="R353" i="9"/>
  <c r="S353" i="9"/>
  <c r="N354" i="9"/>
  <c r="O354" i="9"/>
  <c r="P354" i="9"/>
  <c r="Q354" i="9"/>
  <c r="R354" i="9"/>
  <c r="S354" i="9"/>
  <c r="N355" i="9"/>
  <c r="O355" i="9"/>
  <c r="P355" i="9"/>
  <c r="Q355" i="9"/>
  <c r="R355" i="9"/>
  <c r="S355" i="9"/>
  <c r="O356" i="9"/>
  <c r="P356" i="9"/>
  <c r="Q356" i="9"/>
  <c r="R356" i="9"/>
  <c r="S356" i="9"/>
  <c r="S357" i="9"/>
  <c r="O360" i="9"/>
  <c r="P360" i="9"/>
  <c r="Q360" i="9"/>
  <c r="R360" i="9"/>
  <c r="S360" i="9"/>
  <c r="T360" i="9"/>
  <c r="U360" i="9"/>
  <c r="V360" i="9"/>
  <c r="W360" i="9"/>
  <c r="X360" i="9"/>
  <c r="O361" i="9"/>
  <c r="P361" i="9"/>
  <c r="Q361" i="9"/>
  <c r="R361" i="9"/>
  <c r="S361" i="9"/>
  <c r="T361" i="9"/>
  <c r="U361" i="9"/>
  <c r="V361" i="9"/>
  <c r="W361" i="9"/>
  <c r="X361" i="9"/>
  <c r="O362" i="9"/>
  <c r="P362" i="9"/>
  <c r="Q362" i="9"/>
  <c r="R362" i="9"/>
  <c r="S362" i="9"/>
  <c r="T362" i="9"/>
  <c r="U362" i="9"/>
  <c r="V362" i="9"/>
  <c r="W362" i="9"/>
  <c r="P363" i="9"/>
  <c r="Q363" i="9"/>
  <c r="R363" i="9"/>
  <c r="S363" i="9"/>
  <c r="T363" i="9"/>
  <c r="U363" i="9"/>
  <c r="V363" i="9"/>
  <c r="W363" i="9"/>
  <c r="X363" i="9"/>
  <c r="L366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D369" i="9"/>
  <c r="D172" i="9" s="1"/>
  <c r="D174" i="9" s="1"/>
  <c r="N369" i="9"/>
  <c r="N172" i="9" s="1"/>
  <c r="N174" i="9" s="1"/>
  <c r="K370" i="9"/>
  <c r="L370" i="9"/>
  <c r="M370" i="9"/>
  <c r="P370" i="9"/>
  <c r="Q370" i="9"/>
  <c r="R370" i="9"/>
  <c r="U370" i="9"/>
  <c r="V370" i="9"/>
  <c r="S371" i="9"/>
  <c r="S369" i="9" s="1"/>
  <c r="T371" i="9"/>
  <c r="U372" i="9" s="1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V372" i="9"/>
  <c r="W373" i="9"/>
  <c r="X373" i="9" s="1"/>
  <c r="Y373" i="9" s="1"/>
  <c r="K374" i="9"/>
  <c r="L374" i="9"/>
  <c r="M374" i="9"/>
  <c r="N374" i="9"/>
  <c r="O374" i="9"/>
  <c r="P374" i="9"/>
  <c r="Q374" i="9"/>
  <c r="R374" i="9"/>
  <c r="S374" i="9"/>
  <c r="T374" i="9"/>
  <c r="U374" i="9"/>
  <c r="V374" i="9"/>
  <c r="W375" i="9"/>
  <c r="X375" i="9" s="1"/>
  <c r="Y375" i="9" s="1"/>
  <c r="K376" i="9"/>
  <c r="L376" i="9"/>
  <c r="M376" i="9"/>
  <c r="N376" i="9"/>
  <c r="O376" i="9"/>
  <c r="P376" i="9"/>
  <c r="Q376" i="9"/>
  <c r="R376" i="9"/>
  <c r="S376" i="9"/>
  <c r="T376" i="9"/>
  <c r="U376" i="9"/>
  <c r="V376" i="9"/>
  <c r="K378" i="9"/>
  <c r="L378" i="9"/>
  <c r="M378" i="9"/>
  <c r="N378" i="9"/>
  <c r="O378" i="9"/>
  <c r="P378" i="9"/>
  <c r="Q378" i="9"/>
  <c r="R378" i="9"/>
  <c r="S378" i="9"/>
  <c r="T378" i="9"/>
  <c r="W379" i="9"/>
  <c r="X379" i="9" s="1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1" i="9"/>
  <c r="X381" i="9" s="1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3" i="9"/>
  <c r="X383" i="9" s="1"/>
  <c r="J384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5" i="9"/>
  <c r="X385" i="9" s="1"/>
  <c r="K386" i="9"/>
  <c r="L386" i="9"/>
  <c r="M386" i="9"/>
  <c r="N386" i="9"/>
  <c r="O386" i="9"/>
  <c r="P386" i="9"/>
  <c r="Q386" i="9"/>
  <c r="R386" i="9"/>
  <c r="S386" i="9"/>
  <c r="T386" i="9"/>
  <c r="U386" i="9"/>
  <c r="V386" i="9"/>
  <c r="M388" i="9"/>
  <c r="N388" i="9"/>
  <c r="O388" i="9"/>
  <c r="P388" i="9"/>
  <c r="Q388" i="9"/>
  <c r="R388" i="9"/>
  <c r="S388" i="9"/>
  <c r="T388" i="9"/>
  <c r="U388" i="9"/>
  <c r="V388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O393" i="9"/>
  <c r="P393" i="9"/>
  <c r="Q393" i="9"/>
  <c r="R393" i="9"/>
  <c r="T393" i="9"/>
  <c r="V404" i="9"/>
  <c r="W404" i="9"/>
  <c r="X404" i="9"/>
  <c r="L406" i="9"/>
  <c r="L413" i="9" s="1"/>
  <c r="M406" i="9"/>
  <c r="M413" i="9" s="1"/>
  <c r="N406" i="9"/>
  <c r="N413" i="9" s="1"/>
  <c r="O406" i="9"/>
  <c r="O430" i="9" s="1"/>
  <c r="P406" i="9"/>
  <c r="P413" i="9" s="1"/>
  <c r="Q406" i="9"/>
  <c r="R406" i="9"/>
  <c r="S406" i="9"/>
  <c r="T406" i="9"/>
  <c r="U406" i="9"/>
  <c r="V406" i="9"/>
  <c r="J407" i="9"/>
  <c r="K407" i="9"/>
  <c r="L407" i="9"/>
  <c r="L414" i="9" s="1"/>
  <c r="K409" i="9"/>
  <c r="L409" i="9"/>
  <c r="L416" i="9" s="1"/>
  <c r="M409" i="9"/>
  <c r="M416" i="9" s="1"/>
  <c r="J410" i="9"/>
  <c r="K410" i="9"/>
  <c r="L410" i="9"/>
  <c r="L417" i="9" s="1"/>
  <c r="O410" i="9"/>
  <c r="O417" i="9" s="1"/>
  <c r="P410" i="9"/>
  <c r="P417" i="9" s="1"/>
  <c r="N411" i="9"/>
  <c r="O411" i="9"/>
  <c r="P411" i="9"/>
  <c r="M414" i="9"/>
  <c r="N414" i="9"/>
  <c r="O414" i="9"/>
  <c r="P414" i="9"/>
  <c r="M417" i="9"/>
  <c r="N417" i="9"/>
  <c r="W428" i="9"/>
  <c r="X456" i="9" s="1"/>
  <c r="E431" i="9"/>
  <c r="E436" i="9" s="1"/>
  <c r="F431" i="9"/>
  <c r="F436" i="9" s="1"/>
  <c r="G431" i="9"/>
  <c r="G436" i="9" s="1"/>
  <c r="H431" i="9"/>
  <c r="H436" i="9" s="1"/>
  <c r="I431" i="9"/>
  <c r="I436" i="9" s="1"/>
  <c r="J431" i="9"/>
  <c r="J436" i="9" s="1"/>
  <c r="J409" i="9" s="1"/>
  <c r="K431" i="9"/>
  <c r="K435" i="9" s="1"/>
  <c r="L431" i="9"/>
  <c r="L435" i="9" s="1"/>
  <c r="M431" i="9"/>
  <c r="M435" i="9" s="1"/>
  <c r="N431" i="9"/>
  <c r="N436" i="9" s="1"/>
  <c r="N409" i="9" s="1"/>
  <c r="N416" i="9" s="1"/>
  <c r="O431" i="9"/>
  <c r="O436" i="9" s="1"/>
  <c r="O409" i="9" s="1"/>
  <c r="O416" i="9" s="1"/>
  <c r="P431" i="9"/>
  <c r="P436" i="9" s="1"/>
  <c r="P409" i="9" s="1"/>
  <c r="P416" i="9" s="1"/>
  <c r="E434" i="9"/>
  <c r="F434" i="9"/>
  <c r="G434" i="9"/>
  <c r="H434" i="9"/>
  <c r="I434" i="9"/>
  <c r="J434" i="9"/>
  <c r="K434" i="9"/>
  <c r="L434" i="9"/>
  <c r="M434" i="9"/>
  <c r="N434" i="9"/>
  <c r="O434" i="9"/>
  <c r="P434" i="9"/>
  <c r="W439" i="9"/>
  <c r="X439" i="9"/>
  <c r="W440" i="9"/>
  <c r="X440" i="9"/>
  <c r="W441" i="9"/>
  <c r="X441" i="9"/>
  <c r="W442" i="9"/>
  <c r="X442" i="9"/>
  <c r="W443" i="9"/>
  <c r="X443" i="9"/>
  <c r="W444" i="9"/>
  <c r="X444" i="9"/>
  <c r="W445" i="9"/>
  <c r="X445" i="9"/>
  <c r="W449" i="9"/>
  <c r="X449" i="9"/>
  <c r="W450" i="9"/>
  <c r="X450" i="9"/>
  <c r="W451" i="9"/>
  <c r="X451" i="9"/>
  <c r="W452" i="9"/>
  <c r="X452" i="9"/>
  <c r="W453" i="9"/>
  <c r="X453" i="9"/>
  <c r="W454" i="9"/>
  <c r="X454" i="9"/>
  <c r="W455" i="9"/>
  <c r="X455" i="9"/>
  <c r="R478" i="9"/>
  <c r="N495" i="9"/>
  <c r="O495" i="9"/>
  <c r="P495" i="9"/>
  <c r="Q495" i="9"/>
  <c r="R495" i="9"/>
  <c r="S495" i="9"/>
  <c r="K519" i="9"/>
  <c r="M519" i="9"/>
  <c r="N519" i="9"/>
  <c r="O519" i="9"/>
  <c r="P519" i="9"/>
  <c r="Q519" i="9"/>
  <c r="R519" i="9"/>
  <c r="S519" i="9"/>
  <c r="M522" i="9"/>
  <c r="S522" i="9"/>
  <c r="T545" i="9"/>
  <c r="M5" i="8"/>
  <c r="M30" i="8" s="1"/>
  <c r="P5" i="8"/>
  <c r="P29" i="8" s="1"/>
  <c r="P32" i="8" s="1"/>
  <c r="P34" i="8" s="1"/>
  <c r="E6" i="8"/>
  <c r="F6" i="8"/>
  <c r="K6" i="8"/>
  <c r="N6" i="8"/>
  <c r="Q6" i="8"/>
  <c r="R6" i="8"/>
  <c r="R7" i="8"/>
  <c r="S7" i="8"/>
  <c r="U7" i="8"/>
  <c r="V7" i="8"/>
  <c r="S8" i="8"/>
  <c r="U8" i="8"/>
  <c r="V8" i="8"/>
  <c r="W8" i="8"/>
  <c r="M10" i="8"/>
  <c r="M89" i="8" s="1"/>
  <c r="R10" i="8"/>
  <c r="E11" i="8"/>
  <c r="F11" i="8"/>
  <c r="K11" i="8"/>
  <c r="N11" i="8"/>
  <c r="Q11" i="8"/>
  <c r="T12" i="8"/>
  <c r="T13" i="8"/>
  <c r="R15" i="8"/>
  <c r="R67" i="8" s="1"/>
  <c r="S15" i="8"/>
  <c r="S50" i="8" s="1"/>
  <c r="D16" i="8"/>
  <c r="E16" i="8"/>
  <c r="F16" i="8"/>
  <c r="J16" i="8"/>
  <c r="K16" i="8"/>
  <c r="N16" i="8"/>
  <c r="Q16" i="8"/>
  <c r="R16" i="8"/>
  <c r="S16" i="8"/>
  <c r="D18" i="8"/>
  <c r="D24" i="8" s="1"/>
  <c r="E18" i="8"/>
  <c r="E24" i="8" s="1"/>
  <c r="F18" i="8"/>
  <c r="J18" i="8"/>
  <c r="J24" i="8" s="1"/>
  <c r="K18" i="8"/>
  <c r="N18" i="8"/>
  <c r="M18" i="8" s="1"/>
  <c r="Q18" i="8"/>
  <c r="S19" i="8"/>
  <c r="U19" i="8"/>
  <c r="V19" i="8"/>
  <c r="T20" i="8"/>
  <c r="W7" i="8"/>
  <c r="R23" i="8"/>
  <c r="R55" i="8" s="1"/>
  <c r="S23" i="8"/>
  <c r="S24" i="8"/>
  <c r="Q26" i="8"/>
  <c r="Q27" i="8" s="1"/>
  <c r="O29" i="8"/>
  <c r="O32" i="8" s="1"/>
  <c r="D30" i="8"/>
  <c r="E30" i="8"/>
  <c r="F30" i="8"/>
  <c r="J30" i="8"/>
  <c r="K30" i="8"/>
  <c r="L30" i="8"/>
  <c r="N30" i="8"/>
  <c r="Q30" i="8"/>
  <c r="D32" i="8"/>
  <c r="D84" i="8" s="1"/>
  <c r="E32" i="8"/>
  <c r="F32" i="8"/>
  <c r="J32" i="8"/>
  <c r="K32" i="8"/>
  <c r="K34" i="8" s="1"/>
  <c r="L32" i="8"/>
  <c r="N32" i="8"/>
  <c r="N34" i="8" s="1"/>
  <c r="Q32" i="8"/>
  <c r="O36" i="8"/>
  <c r="P36" i="8"/>
  <c r="E37" i="8"/>
  <c r="F37" i="8" s="1"/>
  <c r="O38" i="8"/>
  <c r="P38" i="8"/>
  <c r="T40" i="8"/>
  <c r="V40" i="8"/>
  <c r="W40" i="8" s="1"/>
  <c r="X40" i="8" s="1"/>
  <c r="AF40" i="8" s="1"/>
  <c r="E44" i="8"/>
  <c r="L46" i="8"/>
  <c r="M46" i="8" s="1"/>
  <c r="M48" i="8" s="1"/>
  <c r="M50" i="8" s="1"/>
  <c r="O46" i="8"/>
  <c r="P46" i="8" s="1"/>
  <c r="T46" i="8"/>
  <c r="E47" i="8"/>
  <c r="F47" i="8"/>
  <c r="G47" i="8"/>
  <c r="H47" i="8"/>
  <c r="I47" i="8"/>
  <c r="J47" i="8"/>
  <c r="K47" i="8"/>
  <c r="N47" i="8"/>
  <c r="Q47" i="8"/>
  <c r="D48" i="8"/>
  <c r="D50" i="8" s="1"/>
  <c r="W49" i="8"/>
  <c r="O50" i="8"/>
  <c r="P50" i="8"/>
  <c r="E52" i="8"/>
  <c r="F52" i="8" s="1"/>
  <c r="G52" i="8" s="1"/>
  <c r="K52" i="8"/>
  <c r="K69" i="8" s="1"/>
  <c r="L52" i="8"/>
  <c r="O52" i="8"/>
  <c r="P52" i="8" s="1"/>
  <c r="P53" i="8" s="1"/>
  <c r="T52" i="8"/>
  <c r="D53" i="8"/>
  <c r="D55" i="8" s="1"/>
  <c r="E54" i="8"/>
  <c r="F54" i="8" s="1"/>
  <c r="G54" i="8" s="1"/>
  <c r="O55" i="8"/>
  <c r="P55" i="8"/>
  <c r="T58" i="8"/>
  <c r="T59" i="8" s="1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U59" i="8"/>
  <c r="V59" i="8"/>
  <c r="E60" i="8"/>
  <c r="F60" i="8" s="1"/>
  <c r="G60" i="8" s="1"/>
  <c r="H60" i="8" s="1"/>
  <c r="I60" i="8" s="1"/>
  <c r="J60" i="8" s="1"/>
  <c r="K60" i="8" s="1"/>
  <c r="N60" i="8" s="1"/>
  <c r="Q60" i="8" s="1"/>
  <c r="T60" i="8" s="1"/>
  <c r="U60" i="8" s="1"/>
  <c r="V60" i="8" s="1"/>
  <c r="W60" i="8" s="1"/>
  <c r="T63" i="8"/>
  <c r="U63" i="8" s="1"/>
  <c r="V63" i="8" s="1"/>
  <c r="D65" i="8"/>
  <c r="E65" i="8"/>
  <c r="F65" i="8"/>
  <c r="G65" i="8"/>
  <c r="H65" i="8"/>
  <c r="I65" i="8"/>
  <c r="J65" i="8"/>
  <c r="K65" i="8"/>
  <c r="N65" i="8"/>
  <c r="L65" i="8" s="1"/>
  <c r="Q65" i="8"/>
  <c r="O65" i="8" s="1"/>
  <c r="D66" i="8"/>
  <c r="E66" i="8"/>
  <c r="F66" i="8"/>
  <c r="G66" i="8"/>
  <c r="H66" i="8"/>
  <c r="I66" i="8"/>
  <c r="J66" i="8"/>
  <c r="K66" i="8"/>
  <c r="N66" i="8"/>
  <c r="Q66" i="8"/>
  <c r="T66" i="8"/>
  <c r="U66" i="8"/>
  <c r="V66" i="8"/>
  <c r="L67" i="8"/>
  <c r="M67" i="8"/>
  <c r="O67" i="8"/>
  <c r="P67" i="8"/>
  <c r="D69" i="8"/>
  <c r="J69" i="8"/>
  <c r="N69" i="8"/>
  <c r="L69" i="8" s="1"/>
  <c r="Q69" i="8"/>
  <c r="O69" i="8" s="1"/>
  <c r="D70" i="8"/>
  <c r="L71" i="8"/>
  <c r="M71" i="8"/>
  <c r="O71" i="8"/>
  <c r="P71" i="8"/>
  <c r="Q74" i="8"/>
  <c r="T74" i="8"/>
  <c r="Y212" i="9" s="1"/>
  <c r="F75" i="8"/>
  <c r="G75" i="8" s="1"/>
  <c r="T76" i="8"/>
  <c r="V76" i="8"/>
  <c r="W76" i="8" s="1"/>
  <c r="X76" i="8" s="1"/>
  <c r="Y76" i="8" s="1"/>
  <c r="Z76" i="8" s="1"/>
  <c r="AA76" i="8" s="1"/>
  <c r="AB76" i="8" s="1"/>
  <c r="E79" i="8"/>
  <c r="F79" i="8"/>
  <c r="K79" i="8"/>
  <c r="N79" i="8"/>
  <c r="D80" i="8"/>
  <c r="E80" i="8"/>
  <c r="F80" i="8"/>
  <c r="J80" i="8"/>
  <c r="K80" i="8"/>
  <c r="L80" i="8"/>
  <c r="N80" i="8"/>
  <c r="P84" i="8"/>
  <c r="R85" i="8"/>
  <c r="O86" i="8"/>
  <c r="Q86" i="8"/>
  <c r="R86" i="8"/>
  <c r="R87" i="8"/>
  <c r="R89" i="8" s="1"/>
  <c r="E88" i="8"/>
  <c r="F88" i="8"/>
  <c r="K88" i="8"/>
  <c r="N88" i="8"/>
  <c r="O88" i="8"/>
  <c r="P88" i="8"/>
  <c r="Q88" i="8"/>
  <c r="Q90" i="8"/>
  <c r="Q92" i="8" s="1"/>
  <c r="R91" i="8"/>
  <c r="S91" i="8"/>
  <c r="D95" i="8"/>
  <c r="E95" i="8"/>
  <c r="F95" i="8"/>
  <c r="J95" i="8"/>
  <c r="K95" i="8"/>
  <c r="L95" i="8"/>
  <c r="N95" i="8"/>
  <c r="O95" i="8"/>
  <c r="Q95" i="8"/>
  <c r="R95" i="8"/>
  <c r="O97" i="8"/>
  <c r="Q97" i="8"/>
  <c r="R97" i="8"/>
  <c r="AA214" i="9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D4" i="7"/>
  <c r="D12" i="7" s="1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D19" i="7"/>
  <c r="D21" i="7" s="1"/>
  <c r="E19" i="7"/>
  <c r="E21" i="7" s="1"/>
  <c r="F19" i="7"/>
  <c r="F21" i="7" s="1"/>
  <c r="G19" i="7"/>
  <c r="G21" i="7" s="1"/>
  <c r="H19" i="7"/>
  <c r="H21" i="7" s="1"/>
  <c r="I19" i="7"/>
  <c r="I21" i="7" s="1"/>
  <c r="J19" i="7"/>
  <c r="J21" i="7" s="1"/>
  <c r="K19" i="7"/>
  <c r="K21" i="7" s="1"/>
  <c r="L19" i="7"/>
  <c r="L21" i="7" s="1"/>
  <c r="M19" i="7"/>
  <c r="M21" i="7" s="1"/>
  <c r="N19" i="7"/>
  <c r="N21" i="7" s="1"/>
  <c r="O19" i="7"/>
  <c r="O21" i="7" s="1"/>
  <c r="P19" i="7"/>
  <c r="P21" i="7" s="1"/>
  <c r="Q19" i="7"/>
  <c r="Q21" i="7" s="1"/>
  <c r="R19" i="7"/>
  <c r="R21" i="7" s="1"/>
  <c r="S19" i="7"/>
  <c r="S21" i="7" s="1"/>
  <c r="T19" i="7"/>
  <c r="T21" i="7" s="1"/>
  <c r="U19" i="7"/>
  <c r="U21" i="7" s="1"/>
  <c r="D23" i="7"/>
  <c r="G23" i="7"/>
  <c r="K23" i="7"/>
  <c r="Q23" i="7"/>
  <c r="S23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D30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U54" i="7"/>
  <c r="D57" i="7"/>
  <c r="S57" i="7"/>
  <c r="D60" i="7"/>
  <c r="Q60" i="7"/>
  <c r="D61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D71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D80" i="7"/>
  <c r="D81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AA169" i="14" s="1"/>
  <c r="S88" i="7"/>
  <c r="T88" i="7"/>
  <c r="U88" i="7"/>
  <c r="D89" i="7"/>
  <c r="E89" i="7"/>
  <c r="H89" i="7"/>
  <c r="M89" i="7"/>
  <c r="N89" i="7"/>
  <c r="P89" i="7"/>
  <c r="Q89" i="7"/>
  <c r="R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T90" i="7"/>
  <c r="U90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D117" i="7"/>
  <c r="G117" i="7"/>
  <c r="K117" i="7"/>
  <c r="N117" i="7"/>
  <c r="S117" i="7"/>
  <c r="D124" i="7"/>
  <c r="F124" i="7"/>
  <c r="D125" i="7"/>
  <c r="J125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U126" i="7"/>
  <c r="D127" i="7"/>
  <c r="D130" i="7"/>
  <c r="D131" i="7"/>
  <c r="E131" i="7"/>
  <c r="F131" i="7"/>
  <c r="I131" i="7"/>
  <c r="M131" i="7"/>
  <c r="O131" i="7"/>
  <c r="P131" i="7"/>
  <c r="U131" i="7"/>
  <c r="D133" i="7"/>
  <c r="P133" i="7"/>
  <c r="Q133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D136" i="7"/>
  <c r="K136" i="7"/>
  <c r="L136" i="7"/>
  <c r="D137" i="7"/>
  <c r="D138" i="7"/>
  <c r="D140" i="7"/>
  <c r="M140" i="7"/>
  <c r="D141" i="7"/>
  <c r="H141" i="7"/>
  <c r="T141" i="7"/>
  <c r="D142" i="7"/>
  <c r="D145" i="7"/>
  <c r="D146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D151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D154" i="7"/>
  <c r="E154" i="7"/>
  <c r="F154" i="7"/>
  <c r="G154" i="7"/>
  <c r="H154" i="7"/>
  <c r="I154" i="7"/>
  <c r="P154" i="7"/>
  <c r="Q154" i="7"/>
  <c r="R154" i="7"/>
  <c r="S154" i="7"/>
  <c r="T154" i="7"/>
  <c r="U154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O157" i="7"/>
  <c r="P157" i="7"/>
  <c r="Q157" i="7"/>
  <c r="R157" i="7"/>
  <c r="S157" i="7"/>
  <c r="T157" i="7"/>
  <c r="U157" i="7"/>
  <c r="D158" i="7"/>
  <c r="K158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AF166" i="7" s="1"/>
  <c r="AG166" i="7" s="1"/>
  <c r="AH166" i="7" s="1"/>
  <c r="AI166" i="7" s="1"/>
  <c r="AJ166" i="7" s="1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AF174" i="7"/>
  <c r="AG174" i="7" s="1"/>
  <c r="AH174" i="7" s="1"/>
  <c r="AI174" i="7" s="1"/>
  <c r="AJ174" i="7" s="1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E209" i="7"/>
  <c r="F209" i="7"/>
  <c r="G209" i="7"/>
  <c r="K209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E215" i="7"/>
  <c r="F215" i="7"/>
  <c r="G215" i="7"/>
  <c r="Q215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E217" i="7"/>
  <c r="F217" i="7"/>
  <c r="G217" i="7"/>
  <c r="H217" i="7"/>
  <c r="L217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E219" i="7"/>
  <c r="F219" i="7"/>
  <c r="G219" i="7"/>
  <c r="J219" i="7"/>
  <c r="K219" i="7"/>
  <c r="U219" i="7"/>
  <c r="E221" i="7"/>
  <c r="F221" i="7"/>
  <c r="G221" i="7"/>
  <c r="I221" i="7"/>
  <c r="J221" i="7"/>
  <c r="O221" i="7"/>
  <c r="U221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S478" i="9" l="1"/>
  <c r="R11" i="8"/>
  <c r="R92" i="8"/>
  <c r="D24" i="7"/>
  <c r="W5" i="14"/>
  <c r="P40" i="7"/>
  <c r="U16" i="7"/>
  <c r="U17" i="7"/>
  <c r="Z17" i="7"/>
  <c r="X16" i="7"/>
  <c r="O16" i="7"/>
  <c r="O17" i="7"/>
  <c r="T17" i="7"/>
  <c r="T16" i="7"/>
  <c r="Y17" i="7"/>
  <c r="W16" i="7"/>
  <c r="P16" i="7"/>
  <c r="P17" i="7"/>
  <c r="S17" i="7"/>
  <c r="S16" i="7"/>
  <c r="X17" i="7"/>
  <c r="V16" i="7"/>
  <c r="R16" i="7"/>
  <c r="R17" i="7"/>
  <c r="W17" i="7"/>
  <c r="Q17" i="7"/>
  <c r="Q16" i="7"/>
  <c r="V17" i="7"/>
  <c r="K190" i="13"/>
  <c r="M190" i="13"/>
  <c r="G190" i="13"/>
  <c r="Q6" i="7"/>
  <c r="J6" i="7"/>
  <c r="BE166" i="14"/>
  <c r="Y46" i="9"/>
  <c r="BE169" i="14"/>
  <c r="D6" i="7"/>
  <c r="Q194" i="7"/>
  <c r="U98" i="7"/>
  <c r="L190" i="13"/>
  <c r="F190" i="13"/>
  <c r="P6" i="7"/>
  <c r="I6" i="7"/>
  <c r="AS166" i="14"/>
  <c r="X46" i="9"/>
  <c r="AS169" i="14"/>
  <c r="D5" i="7"/>
  <c r="D7" i="7" s="1"/>
  <c r="E190" i="13"/>
  <c r="N6" i="7"/>
  <c r="H6" i="7"/>
  <c r="AJ166" i="14"/>
  <c r="W46" i="9"/>
  <c r="AJ169" i="14"/>
  <c r="U194" i="7"/>
  <c r="J190" i="13"/>
  <c r="M6" i="7"/>
  <c r="AA166" i="14"/>
  <c r="V169" i="14"/>
  <c r="T169" i="14"/>
  <c r="U169" i="14"/>
  <c r="D69" i="7"/>
  <c r="I190" i="13"/>
  <c r="L6" i="7"/>
  <c r="F6" i="7"/>
  <c r="E5" i="7"/>
  <c r="AA168" i="14"/>
  <c r="N190" i="13"/>
  <c r="H190" i="13"/>
  <c r="R6" i="7"/>
  <c r="E6" i="7"/>
  <c r="V31" i="7"/>
  <c r="I57" i="9"/>
  <c r="Q33" i="8"/>
  <c r="Q34" i="8"/>
  <c r="O78" i="8"/>
  <c r="O79" i="8" s="1"/>
  <c r="O34" i="8"/>
  <c r="L84" i="8"/>
  <c r="L97" i="8" s="1"/>
  <c r="L34" i="8"/>
  <c r="J84" i="8"/>
  <c r="J97" i="8" s="1"/>
  <c r="J34" i="8"/>
  <c r="N84" i="8"/>
  <c r="N33" i="8"/>
  <c r="F84" i="8"/>
  <c r="F33" i="8"/>
  <c r="K84" i="8"/>
  <c r="K90" i="8" s="1"/>
  <c r="K92" i="8" s="1"/>
  <c r="K33" i="8"/>
  <c r="E84" i="8"/>
  <c r="E90" i="8" s="1"/>
  <c r="E92" i="8" s="1"/>
  <c r="E33" i="8"/>
  <c r="Q478" i="9"/>
  <c r="AG21" i="9"/>
  <c r="AG20" i="9"/>
  <c r="D57" i="9"/>
  <c r="E57" i="9"/>
  <c r="L479" i="9"/>
  <c r="J57" i="9"/>
  <c r="O481" i="9"/>
  <c r="K479" i="9"/>
  <c r="AM11" i="14"/>
  <c r="S209" i="7"/>
  <c r="S211" i="7" s="1"/>
  <c r="I107" i="13"/>
  <c r="I127" i="7" s="1"/>
  <c r="BR13" i="13"/>
  <c r="F56" i="13"/>
  <c r="F61" i="7" s="1"/>
  <c r="O203" i="13"/>
  <c r="R161" i="13"/>
  <c r="R146" i="7" s="1"/>
  <c r="M221" i="7"/>
  <c r="X27" i="9"/>
  <c r="S260" i="13"/>
  <c r="O158" i="7"/>
  <c r="BC11" i="14"/>
  <c r="AI11" i="14"/>
  <c r="O35" i="9"/>
  <c r="O49" i="9" s="1"/>
  <c r="O52" i="9" s="1"/>
  <c r="O479" i="9"/>
  <c r="H57" i="9"/>
  <c r="P481" i="9"/>
  <c r="N35" i="9"/>
  <c r="N49" i="9" s="1"/>
  <c r="N52" i="9" s="1"/>
  <c r="AR11" i="14"/>
  <c r="AN11" i="14"/>
  <c r="AX11" i="14"/>
  <c r="BH10" i="14"/>
  <c r="AW11" i="14"/>
  <c r="BT11" i="14"/>
  <c r="AE11" i="14"/>
  <c r="AV11" i="14"/>
  <c r="BR11" i="14"/>
  <c r="AD11" i="14"/>
  <c r="V71" i="14"/>
  <c r="U115" i="7"/>
  <c r="I209" i="7"/>
  <c r="I211" i="7" s="1"/>
  <c r="E125" i="7"/>
  <c r="T203" i="13"/>
  <c r="T212" i="13" s="1"/>
  <c r="J106" i="13"/>
  <c r="R260" i="13"/>
  <c r="S158" i="7"/>
  <c r="Q221" i="7"/>
  <c r="X33" i="9"/>
  <c r="AR50" i="13"/>
  <c r="T44" i="13"/>
  <c r="AV44" i="13" s="1"/>
  <c r="E151" i="7"/>
  <c r="E155" i="7" s="1"/>
  <c r="R107" i="13"/>
  <c r="R127" i="7" s="1"/>
  <c r="F106" i="13"/>
  <c r="M351" i="9"/>
  <c r="M350" i="9" s="1"/>
  <c r="G351" i="9"/>
  <c r="G350" i="9" s="1"/>
  <c r="BH19" i="14"/>
  <c r="K131" i="7"/>
  <c r="L89" i="7"/>
  <c r="D28" i="9"/>
  <c r="T227" i="13"/>
  <c r="F183" i="13"/>
  <c r="F187" i="13" s="1"/>
  <c r="F165" i="13" s="1"/>
  <c r="F163" i="13" s="1"/>
  <c r="F161" i="13" s="1"/>
  <c r="F146" i="7" s="1"/>
  <c r="G107" i="13"/>
  <c r="G127" i="7" s="1"/>
  <c r="U195" i="7"/>
  <c r="H209" i="7"/>
  <c r="H211" i="7" s="1"/>
  <c r="R125" i="7"/>
  <c r="O70" i="8"/>
  <c r="P203" i="13"/>
  <c r="P212" i="13" s="1"/>
  <c r="O107" i="13"/>
  <c r="O127" i="7" s="1"/>
  <c r="J56" i="13"/>
  <c r="J61" i="7" s="1"/>
  <c r="AJ50" i="13"/>
  <c r="BC12" i="13"/>
  <c r="Q131" i="7"/>
  <c r="N107" i="13"/>
  <c r="N127" i="7" s="1"/>
  <c r="F125" i="7"/>
  <c r="U148" i="13"/>
  <c r="I148" i="13"/>
  <c r="S127" i="13"/>
  <c r="S126" i="13" s="1"/>
  <c r="G127" i="13"/>
  <c r="G126" i="13" s="1"/>
  <c r="M195" i="7"/>
  <c r="K195" i="7"/>
  <c r="P479" i="9"/>
  <c r="K351" i="9"/>
  <c r="K350" i="9" s="1"/>
  <c r="E351" i="9"/>
  <c r="E350" i="9" s="1"/>
  <c r="O125" i="7"/>
  <c r="N125" i="7"/>
  <c r="J124" i="7"/>
  <c r="T115" i="7"/>
  <c r="L351" i="9"/>
  <c r="L350" i="9" s="1"/>
  <c r="F351" i="9"/>
  <c r="F350" i="9" s="1"/>
  <c r="Y129" i="9"/>
  <c r="Y131" i="9" s="1"/>
  <c r="H203" i="13"/>
  <c r="H212" i="13" s="1"/>
  <c r="Q148" i="13"/>
  <c r="E148" i="13"/>
  <c r="O127" i="13"/>
  <c r="O126" i="13" s="1"/>
  <c r="F107" i="13"/>
  <c r="F127" i="7" s="1"/>
  <c r="S107" i="13"/>
  <c r="S127" i="7" s="1"/>
  <c r="M107" i="13"/>
  <c r="M127" i="7" s="1"/>
  <c r="AL50" i="13"/>
  <c r="I194" i="7"/>
  <c r="S372" i="9"/>
  <c r="G28" i="9"/>
  <c r="N106" i="13"/>
  <c r="J60" i="7"/>
  <c r="J351" i="9"/>
  <c r="J350" i="9" s="1"/>
  <c r="F28" i="9"/>
  <c r="X19" i="9"/>
  <c r="Y19" i="9" s="1"/>
  <c r="O227" i="13"/>
  <c r="L203" i="13"/>
  <c r="Q107" i="13"/>
  <c r="Q127" i="7" s="1"/>
  <c r="K107" i="13"/>
  <c r="K127" i="7" s="1"/>
  <c r="N221" i="7"/>
  <c r="I151" i="7"/>
  <c r="I155" i="7" s="1"/>
  <c r="I351" i="9"/>
  <c r="I350" i="9" s="1"/>
  <c r="E28" i="9"/>
  <c r="L227" i="13"/>
  <c r="J107" i="13"/>
  <c r="J127" i="7" s="1"/>
  <c r="BU58" i="13"/>
  <c r="N479" i="9"/>
  <c r="P86" i="8"/>
  <c r="R71" i="8"/>
  <c r="R73" i="8" s="1"/>
  <c r="R50" i="8"/>
  <c r="R57" i="8" s="1"/>
  <c r="R43" i="8" s="1"/>
  <c r="P95" i="8"/>
  <c r="N481" i="9"/>
  <c r="S481" i="9"/>
  <c r="S482" i="9" s="1"/>
  <c r="R522" i="9"/>
  <c r="R499" i="9" s="1"/>
  <c r="S149" i="13"/>
  <c r="S142" i="7" s="1"/>
  <c r="Q56" i="13"/>
  <c r="D351" i="9"/>
  <c r="D350" i="9" s="1"/>
  <c r="BH81" i="14"/>
  <c r="AG72" i="7"/>
  <c r="E194" i="7"/>
  <c r="S196" i="7"/>
  <c r="S195" i="7"/>
  <c r="G195" i="7"/>
  <c r="Q196" i="7"/>
  <c r="O195" i="7"/>
  <c r="I196" i="7"/>
  <c r="M194" i="7"/>
  <c r="J479" i="9"/>
  <c r="BC9" i="13"/>
  <c r="M73" i="8"/>
  <c r="T23" i="8"/>
  <c r="U23" i="8" s="1"/>
  <c r="H351" i="9"/>
  <c r="H350" i="9" s="1"/>
  <c r="T106" i="7"/>
  <c r="R182" i="7"/>
  <c r="K197" i="7"/>
  <c r="R24" i="7"/>
  <c r="P28" i="7"/>
  <c r="P96" i="7" s="1"/>
  <c r="S97" i="7"/>
  <c r="O101" i="7"/>
  <c r="R158" i="7"/>
  <c r="U141" i="7"/>
  <c r="M141" i="7"/>
  <c r="E141" i="7"/>
  <c r="I104" i="7"/>
  <c r="U161" i="13"/>
  <c r="U160" i="13" s="1"/>
  <c r="Q161" i="13"/>
  <c r="Q160" i="13" s="1"/>
  <c r="T148" i="13"/>
  <c r="E98" i="7"/>
  <c r="R197" i="7"/>
  <c r="K196" i="7"/>
  <c r="E195" i="7"/>
  <c r="Q141" i="7"/>
  <c r="I141" i="7"/>
  <c r="F89" i="7"/>
  <c r="F28" i="7"/>
  <c r="F96" i="7" s="1"/>
  <c r="D15" i="7"/>
  <c r="F58" i="9"/>
  <c r="N197" i="7"/>
  <c r="L212" i="13"/>
  <c r="O197" i="7"/>
  <c r="G197" i="7"/>
  <c r="S141" i="7"/>
  <c r="D106" i="7"/>
  <c r="P148" i="13"/>
  <c r="Q209" i="7"/>
  <c r="Q211" i="7" s="1"/>
  <c r="U196" i="7"/>
  <c r="O196" i="7"/>
  <c r="G196" i="7"/>
  <c r="Q195" i="7"/>
  <c r="I195" i="7"/>
  <c r="D192" i="7"/>
  <c r="L181" i="7"/>
  <c r="S131" i="7"/>
  <c r="H131" i="7"/>
  <c r="D93" i="7"/>
  <c r="J89" i="7"/>
  <c r="U23" i="7"/>
  <c r="G101" i="7"/>
  <c r="P73" i="8"/>
  <c r="N24" i="8"/>
  <c r="Q38" i="8" s="1"/>
  <c r="F148" i="13"/>
  <c r="BU60" i="13"/>
  <c r="AT50" i="13"/>
  <c r="M209" i="7"/>
  <c r="M211" i="7" s="1"/>
  <c r="T131" i="7"/>
  <c r="T65" i="8"/>
  <c r="R65" i="8" s="1"/>
  <c r="R66" i="8" s="1"/>
  <c r="O212" i="13"/>
  <c r="M214" i="7"/>
  <c r="U209" i="7"/>
  <c r="U211" i="7" s="1"/>
  <c r="P209" i="7"/>
  <c r="P211" i="7" s="1"/>
  <c r="S197" i="7"/>
  <c r="M197" i="7"/>
  <c r="T196" i="7"/>
  <c r="M196" i="7"/>
  <c r="E196" i="7"/>
  <c r="D187" i="7"/>
  <c r="D181" i="7"/>
  <c r="L131" i="7"/>
  <c r="G131" i="7"/>
  <c r="D122" i="7"/>
  <c r="Q107" i="7"/>
  <c r="F60" i="7"/>
  <c r="S67" i="8"/>
  <c r="R26" i="8"/>
  <c r="R27" i="8" s="1"/>
  <c r="R18" i="8"/>
  <c r="R19" i="8" s="1"/>
  <c r="R21" i="8" s="1"/>
  <c r="R8" i="8" s="1"/>
  <c r="P522" i="9"/>
  <c r="P499" i="9" s="1"/>
  <c r="T251" i="13"/>
  <c r="P251" i="13"/>
  <c r="L251" i="13"/>
  <c r="H251" i="13"/>
  <c r="U203" i="13"/>
  <c r="U212" i="13" s="1"/>
  <c r="Q203" i="13"/>
  <c r="Q212" i="13" s="1"/>
  <c r="M203" i="13"/>
  <c r="M212" i="13" s="1"/>
  <c r="I203" i="13"/>
  <c r="I212" i="13" s="1"/>
  <c r="S203" i="13"/>
  <c r="S212" i="13" s="1"/>
  <c r="K203" i="13"/>
  <c r="K212" i="13" s="1"/>
  <c r="T183" i="13"/>
  <c r="BU74" i="13"/>
  <c r="T181" i="7"/>
  <c r="F5" i="7"/>
  <c r="J182" i="7"/>
  <c r="T197" i="7"/>
  <c r="L197" i="7"/>
  <c r="H197" i="7"/>
  <c r="I214" i="7"/>
  <c r="R209" i="7"/>
  <c r="R211" i="7" s="1"/>
  <c r="N209" i="7"/>
  <c r="N211" i="7" s="1"/>
  <c r="J209" i="7"/>
  <c r="J211" i="7" s="1"/>
  <c r="U197" i="7"/>
  <c r="P197" i="7"/>
  <c r="L196" i="7"/>
  <c r="Q158" i="7"/>
  <c r="T151" i="7"/>
  <c r="T155" i="7" s="1"/>
  <c r="F140" i="7"/>
  <c r="S125" i="7"/>
  <c r="I107" i="7"/>
  <c r="I89" i="7"/>
  <c r="Q57" i="7"/>
  <c r="Q101" i="7"/>
  <c r="P97" i="8"/>
  <c r="Q67" i="8"/>
  <c r="E19" i="8"/>
  <c r="T16" i="8"/>
  <c r="U16" i="8" s="1"/>
  <c r="L522" i="9"/>
  <c r="L499" i="9" s="1"/>
  <c r="N393" i="9"/>
  <c r="N418" i="9" s="1"/>
  <c r="L148" i="13"/>
  <c r="H148" i="13"/>
  <c r="BU67" i="13"/>
  <c r="BS65" i="13"/>
  <c r="BU59" i="13"/>
  <c r="AP50" i="13"/>
  <c r="N370" i="9"/>
  <c r="BU35" i="13"/>
  <c r="T221" i="7"/>
  <c r="P221" i="7"/>
  <c r="L221" i="7"/>
  <c r="H221" i="7"/>
  <c r="E214" i="7"/>
  <c r="E197" i="7"/>
  <c r="U158" i="7"/>
  <c r="H151" i="7"/>
  <c r="H155" i="7" s="1"/>
  <c r="R131" i="7"/>
  <c r="N131" i="7"/>
  <c r="J131" i="7"/>
  <c r="M97" i="7"/>
  <c r="R203" i="13"/>
  <c r="R212" i="13" s="1"/>
  <c r="N203" i="13"/>
  <c r="J203" i="13"/>
  <c r="J212" i="13" s="1"/>
  <c r="J183" i="13"/>
  <c r="J187" i="13" s="1"/>
  <c r="J165" i="13" s="1"/>
  <c r="J163" i="13" s="1"/>
  <c r="J161" i="13" s="1"/>
  <c r="BR65" i="13"/>
  <c r="S36" i="8"/>
  <c r="Q214" i="7"/>
  <c r="J180" i="7"/>
  <c r="D160" i="7"/>
  <c r="K125" i="7"/>
  <c r="M98" i="7"/>
  <c r="I97" i="7"/>
  <c r="U104" i="7"/>
  <c r="Q104" i="7"/>
  <c r="M104" i="7"/>
  <c r="E104" i="7"/>
  <c r="M101" i="7"/>
  <c r="O66" i="8"/>
  <c r="L48" i="8"/>
  <c r="L50" i="8" s="1"/>
  <c r="P47" i="8"/>
  <c r="P346" i="9"/>
  <c r="U107" i="13"/>
  <c r="U127" i="7" s="1"/>
  <c r="AU56" i="13"/>
  <c r="BR56" i="13" s="1"/>
  <c r="M56" i="13"/>
  <c r="M61" i="7" s="1"/>
  <c r="I56" i="13"/>
  <c r="I61" i="7" s="1"/>
  <c r="E56" i="13"/>
  <c r="E61" i="7" s="1"/>
  <c r="AH50" i="13"/>
  <c r="W62" i="9"/>
  <c r="N212" i="13"/>
  <c r="O186" i="7"/>
  <c r="D155" i="7"/>
  <c r="F155" i="7"/>
  <c r="L58" i="9"/>
  <c r="H58" i="9"/>
  <c r="D58" i="9"/>
  <c r="U183" i="13"/>
  <c r="R106" i="13"/>
  <c r="BS13" i="13"/>
  <c r="U28" i="7"/>
  <c r="V29" i="7" s="1"/>
  <c r="K97" i="7"/>
  <c r="T260" i="13"/>
  <c r="P260" i="13"/>
  <c r="L260" i="13"/>
  <c r="H260" i="13"/>
  <c r="R251" i="13"/>
  <c r="N251" i="13"/>
  <c r="J251" i="13"/>
  <c r="BU12" i="13"/>
  <c r="BU9" i="13"/>
  <c r="U251" i="13"/>
  <c r="S161" i="13"/>
  <c r="S146" i="7" s="1"/>
  <c r="O161" i="13"/>
  <c r="O160" i="13" s="1"/>
  <c r="AV65" i="13"/>
  <c r="BU62" i="13"/>
  <c r="AP54" i="13"/>
  <c r="AH54" i="13"/>
  <c r="U97" i="7"/>
  <c r="Q97" i="7"/>
  <c r="E69" i="8"/>
  <c r="O57" i="8"/>
  <c r="O43" i="8" s="1"/>
  <c r="V285" i="9"/>
  <c r="R183" i="13"/>
  <c r="N183" i="13"/>
  <c r="N187" i="13" s="1"/>
  <c r="N157" i="7" s="1"/>
  <c r="G58" i="9"/>
  <c r="J58" i="9"/>
  <c r="G51" i="11"/>
  <c r="AQ51" i="11" s="1"/>
  <c r="J28" i="7"/>
  <c r="J96" i="7" s="1"/>
  <c r="O214" i="7"/>
  <c r="G214" i="7"/>
  <c r="Q197" i="7"/>
  <c r="I197" i="7"/>
  <c r="P196" i="7"/>
  <c r="R195" i="7"/>
  <c r="N195" i="7"/>
  <c r="J195" i="7"/>
  <c r="F195" i="7"/>
  <c r="N182" i="7"/>
  <c r="P181" i="7"/>
  <c r="U107" i="7"/>
  <c r="E107" i="7"/>
  <c r="Q98" i="7"/>
  <c r="R28" i="7"/>
  <c r="R96" i="7" s="1"/>
  <c r="H28" i="7"/>
  <c r="H96" i="7" s="1"/>
  <c r="E101" i="7"/>
  <c r="U214" i="7"/>
  <c r="S214" i="7"/>
  <c r="K214" i="7"/>
  <c r="H196" i="7"/>
  <c r="T195" i="7"/>
  <c r="P195" i="7"/>
  <c r="L195" i="7"/>
  <c r="H195" i="7"/>
  <c r="F187" i="7"/>
  <c r="G186" i="7"/>
  <c r="H181" i="7"/>
  <c r="M155" i="7"/>
  <c r="M107" i="7"/>
  <c r="L106" i="7"/>
  <c r="I98" i="7"/>
  <c r="E97" i="7"/>
  <c r="T56" i="7"/>
  <c r="N28" i="7"/>
  <c r="N96" i="7" s="1"/>
  <c r="I101" i="7"/>
  <c r="M58" i="9"/>
  <c r="I58" i="9"/>
  <c r="E58" i="9"/>
  <c r="Y37" i="9"/>
  <c r="Y38" i="9" s="1"/>
  <c r="R481" i="9"/>
  <c r="R482" i="9" s="1"/>
  <c r="U155" i="7"/>
  <c r="L155" i="7"/>
  <c r="D77" i="7"/>
  <c r="T28" i="7"/>
  <c r="T96" i="7" s="1"/>
  <c r="L28" i="7"/>
  <c r="L96" i="7" s="1"/>
  <c r="D28" i="7"/>
  <c r="D96" i="7" s="1"/>
  <c r="P418" i="9"/>
  <c r="O346" i="9"/>
  <c r="N283" i="9"/>
  <c r="R196" i="7"/>
  <c r="N196" i="7"/>
  <c r="J196" i="7"/>
  <c r="F196" i="7"/>
  <c r="R155" i="7"/>
  <c r="J155" i="7"/>
  <c r="O105" i="7"/>
  <c r="J56" i="7"/>
  <c r="T165" i="13"/>
  <c r="T163" i="13" s="1"/>
  <c r="T161" i="13" s="1"/>
  <c r="T160" i="13" s="1"/>
  <c r="T158" i="7"/>
  <c r="P165" i="13"/>
  <c r="P163" i="13" s="1"/>
  <c r="P161" i="13" s="1"/>
  <c r="P146" i="7" s="1"/>
  <c r="P158" i="7"/>
  <c r="F5" i="13"/>
  <c r="G5" i="13" s="1"/>
  <c r="E7" i="13"/>
  <c r="I4" i="9" s="1"/>
  <c r="E193" i="13"/>
  <c r="E4" i="7"/>
  <c r="E91" i="13"/>
  <c r="P56" i="7"/>
  <c r="L56" i="7"/>
  <c r="H56" i="7"/>
  <c r="D56" i="7"/>
  <c r="N56" i="7"/>
  <c r="F56" i="7"/>
  <c r="Q28" i="7"/>
  <c r="Q96" i="7" s="1"/>
  <c r="Q100" i="7"/>
  <c r="M28" i="7"/>
  <c r="M96" i="7" s="1"/>
  <c r="I100" i="7"/>
  <c r="I28" i="7"/>
  <c r="I96" i="7" s="1"/>
  <c r="E28" i="7"/>
  <c r="E96" i="7" s="1"/>
  <c r="K99" i="7"/>
  <c r="S98" i="7"/>
  <c r="S107" i="7"/>
  <c r="S101" i="7"/>
  <c r="S104" i="7"/>
  <c r="O104" i="7"/>
  <c r="O97" i="7"/>
  <c r="O98" i="7"/>
  <c r="O107" i="7"/>
  <c r="K98" i="7"/>
  <c r="K107" i="7"/>
  <c r="K101" i="7"/>
  <c r="K104" i="7"/>
  <c r="G104" i="7"/>
  <c r="G97" i="7"/>
  <c r="G98" i="7"/>
  <c r="G107" i="7"/>
  <c r="S90" i="7"/>
  <c r="O79" i="13"/>
  <c r="O81" i="7" s="1"/>
  <c r="O89" i="7"/>
  <c r="K79" i="13"/>
  <c r="K81" i="7" s="1"/>
  <c r="K89" i="7"/>
  <c r="G79" i="13"/>
  <c r="G81" i="7" s="1"/>
  <c r="G89" i="7"/>
  <c r="AV13" i="13"/>
  <c r="BU13" i="13" s="1"/>
  <c r="T16" i="13"/>
  <c r="G105" i="7"/>
  <c r="G28" i="7"/>
  <c r="G96" i="7" s="1"/>
  <c r="S151" i="7"/>
  <c r="S155" i="7" s="1"/>
  <c r="S183" i="13"/>
  <c r="G183" i="13"/>
  <c r="G187" i="13" s="1"/>
  <c r="G165" i="13" s="1"/>
  <c r="G163" i="13" s="1"/>
  <c r="G161" i="13" s="1"/>
  <c r="G146" i="7" s="1"/>
  <c r="G151" i="7"/>
  <c r="G155" i="7" s="1"/>
  <c r="O149" i="13"/>
  <c r="O142" i="7" s="1"/>
  <c r="O140" i="7"/>
  <c r="K149" i="13"/>
  <c r="K142" i="7" s="1"/>
  <c r="K140" i="7"/>
  <c r="G149" i="13"/>
  <c r="G142" i="7" s="1"/>
  <c r="G140" i="7"/>
  <c r="T106" i="13"/>
  <c r="T125" i="7"/>
  <c r="P106" i="13"/>
  <c r="P107" i="13"/>
  <c r="P127" i="7" s="1"/>
  <c r="P125" i="7"/>
  <c r="L106" i="13"/>
  <c r="L107" i="13"/>
  <c r="L127" i="7" s="1"/>
  <c r="L125" i="7"/>
  <c r="H106" i="13"/>
  <c r="H107" i="13"/>
  <c r="H127" i="7" s="1"/>
  <c r="H125" i="7"/>
  <c r="K186" i="7"/>
  <c r="S99" i="7"/>
  <c r="R56" i="7"/>
  <c r="K28" i="7"/>
  <c r="K96" i="7" s="1"/>
  <c r="AV50" i="13"/>
  <c r="T57" i="7"/>
  <c r="AN50" i="13"/>
  <c r="P57" i="7"/>
  <c r="X60" i="9"/>
  <c r="X38" i="9"/>
  <c r="R149" i="13"/>
  <c r="R142" i="7" s="1"/>
  <c r="N149" i="13"/>
  <c r="N142" i="7" s="1"/>
  <c r="J149" i="13"/>
  <c r="J142" i="7" s="1"/>
  <c r="F149" i="13"/>
  <c r="F142" i="7" s="1"/>
  <c r="S56" i="13"/>
  <c r="O56" i="13"/>
  <c r="K155" i="7"/>
  <c r="P183" i="13"/>
  <c r="L183" i="13"/>
  <c r="L187" i="13" s="1"/>
  <c r="L165" i="13" s="1"/>
  <c r="L163" i="13" s="1"/>
  <c r="L161" i="13" s="1"/>
  <c r="L160" i="13" s="1"/>
  <c r="S148" i="13"/>
  <c r="O148" i="13"/>
  <c r="K148" i="13"/>
  <c r="G148" i="13"/>
  <c r="T149" i="13"/>
  <c r="T142" i="7" s="1"/>
  <c r="P149" i="13"/>
  <c r="P142" i="7" s="1"/>
  <c r="L149" i="13"/>
  <c r="L142" i="7" s="1"/>
  <c r="H149" i="13"/>
  <c r="H142" i="7" s="1"/>
  <c r="U127" i="13"/>
  <c r="U137" i="7" s="1"/>
  <c r="Q127" i="13"/>
  <c r="Q137" i="7" s="1"/>
  <c r="M127" i="13"/>
  <c r="M126" i="13" s="1"/>
  <c r="I127" i="13"/>
  <c r="I137" i="7" s="1"/>
  <c r="E127" i="13"/>
  <c r="E126" i="13" s="1"/>
  <c r="AT54" i="13"/>
  <c r="AL54" i="13"/>
  <c r="L56" i="13"/>
  <c r="L61" i="7" s="1"/>
  <c r="H56" i="13"/>
  <c r="H61" i="7" s="1"/>
  <c r="U56" i="13"/>
  <c r="N275" i="9"/>
  <c r="T174" i="9"/>
  <c r="X262" i="9"/>
  <c r="E49" i="11"/>
  <c r="AO49" i="11" s="1"/>
  <c r="W382" i="9"/>
  <c r="L317" i="9"/>
  <c r="V275" i="9"/>
  <c r="Y164" i="9"/>
  <c r="Y165" i="9" s="1"/>
  <c r="F45" i="11"/>
  <c r="AP45" i="11" s="1"/>
  <c r="J352" i="9"/>
  <c r="F352" i="9"/>
  <c r="M480" i="9"/>
  <c r="M509" i="9" s="1"/>
  <c r="M357" i="9"/>
  <c r="I357" i="9"/>
  <c r="E357" i="9"/>
  <c r="J329" i="9"/>
  <c r="F329" i="9"/>
  <c r="K352" i="9"/>
  <c r="G352" i="9"/>
  <c r="D11" i="9"/>
  <c r="D264" i="9" s="1"/>
  <c r="F11" i="9"/>
  <c r="F264" i="9" s="1"/>
  <c r="U106" i="7"/>
  <c r="Q106" i="7"/>
  <c r="V69" i="7"/>
  <c r="S56" i="7"/>
  <c r="O56" i="7"/>
  <c r="K56" i="7"/>
  <c r="G56" i="7"/>
  <c r="R208" i="7"/>
  <c r="U180" i="7"/>
  <c r="T104" i="7"/>
  <c r="P104" i="7"/>
  <c r="L104" i="7"/>
  <c r="D104" i="7"/>
  <c r="U208" i="7"/>
  <c r="D147" i="7"/>
  <c r="O106" i="7"/>
  <c r="K106" i="7"/>
  <c r="G106" i="7"/>
  <c r="U56" i="7"/>
  <c r="Q56" i="7"/>
  <c r="M56" i="7"/>
  <c r="I56" i="7"/>
  <c r="E56" i="7"/>
  <c r="S28" i="7"/>
  <c r="S96" i="7" s="1"/>
  <c r="O28" i="7"/>
  <c r="O96" i="7" s="1"/>
  <c r="V15" i="7"/>
  <c r="T208" i="7"/>
  <c r="R104" i="7"/>
  <c r="N104" i="7"/>
  <c r="J104" i="7"/>
  <c r="F104" i="7"/>
  <c r="O80" i="8"/>
  <c r="L357" i="9"/>
  <c r="H357" i="9"/>
  <c r="D357" i="9"/>
  <c r="M329" i="9"/>
  <c r="I329" i="9"/>
  <c r="E329" i="9"/>
  <c r="E11" i="9"/>
  <c r="E264" i="9" s="1"/>
  <c r="BM12" i="13"/>
  <c r="BM9" i="13"/>
  <c r="J357" i="9"/>
  <c r="F357" i="9"/>
  <c r="K329" i="9"/>
  <c r="G329" i="9"/>
  <c r="L352" i="9"/>
  <c r="H352" i="9"/>
  <c r="D352" i="9"/>
  <c r="K357" i="9"/>
  <c r="G357" i="9"/>
  <c r="L329" i="9"/>
  <c r="H329" i="9"/>
  <c r="D329" i="9"/>
  <c r="M352" i="9"/>
  <c r="I352" i="9"/>
  <c r="E352" i="9"/>
  <c r="BK67" i="13"/>
  <c r="BK58" i="13"/>
  <c r="BK60" i="13"/>
  <c r="BG59" i="14"/>
  <c r="BG8" i="14"/>
  <c r="BG149" i="14"/>
  <c r="BG137" i="14"/>
  <c r="BG112" i="14"/>
  <c r="BG89" i="14"/>
  <c r="BG85" i="14"/>
  <c r="BG82" i="14"/>
  <c r="AE6" i="14"/>
  <c r="BG106" i="14"/>
  <c r="BG57" i="14"/>
  <c r="AO33" i="14"/>
  <c r="BG139" i="14"/>
  <c r="BG134" i="14"/>
  <c r="BG142" i="14"/>
  <c r="BG123" i="14"/>
  <c r="BA80" i="14"/>
  <c r="BG50" i="14"/>
  <c r="L70" i="8"/>
  <c r="Q35" i="8"/>
  <c r="L73" i="8"/>
  <c r="K19" i="8"/>
  <c r="S38" i="8"/>
  <c r="AO41" i="11"/>
  <c r="AP37" i="11"/>
  <c r="D45" i="11"/>
  <c r="AN45" i="11" s="1"/>
  <c r="O418" i="9"/>
  <c r="P283" i="9"/>
  <c r="U285" i="9"/>
  <c r="S285" i="9"/>
  <c r="J11" i="9"/>
  <c r="J264" i="9" s="1"/>
  <c r="H11" i="9"/>
  <c r="H264" i="9" s="1"/>
  <c r="M478" i="9"/>
  <c r="K11" i="9"/>
  <c r="K264" i="9" s="1"/>
  <c r="I11" i="9"/>
  <c r="I264" i="9" s="1"/>
  <c r="G11" i="9"/>
  <c r="G264" i="9" s="1"/>
  <c r="O478" i="9"/>
  <c r="K478" i="9"/>
  <c r="N478" i="9"/>
  <c r="L478" i="9"/>
  <c r="J478" i="9"/>
  <c r="X49" i="8"/>
  <c r="Y49" i="8" s="1"/>
  <c r="Q522" i="9"/>
  <c r="Q499" i="9" s="1"/>
  <c r="N357" i="9"/>
  <c r="E338" i="9"/>
  <c r="L264" i="9"/>
  <c r="X66" i="9"/>
  <c r="Y65" i="9"/>
  <c r="Y59" i="9"/>
  <c r="W456" i="9"/>
  <c r="N343" i="9"/>
  <c r="N346" i="9" s="1"/>
  <c r="N356" i="9"/>
  <c r="M430" i="9"/>
  <c r="O413" i="9"/>
  <c r="S263" i="9"/>
  <c r="S22" i="9"/>
  <c r="M170" i="9"/>
  <c r="AA147" i="9"/>
  <c r="Y82" i="9"/>
  <c r="Y83" i="9" s="1"/>
  <c r="T285" i="9"/>
  <c r="Y13" i="9"/>
  <c r="Y57" i="9"/>
  <c r="V304" i="9"/>
  <c r="W22" i="9"/>
  <c r="N226" i="7"/>
  <c r="E24" i="7"/>
  <c r="P194" i="7"/>
  <c r="Q15" i="7"/>
  <c r="N181" i="7"/>
  <c r="J181" i="7"/>
  <c r="F181" i="7"/>
  <c r="D180" i="7"/>
  <c r="T194" i="7"/>
  <c r="R106" i="7"/>
  <c r="R194" i="7"/>
  <c r="N106" i="7"/>
  <c r="N194" i="7"/>
  <c r="L194" i="7"/>
  <c r="J106" i="7"/>
  <c r="J194" i="7"/>
  <c r="H194" i="7"/>
  <c r="F106" i="7"/>
  <c r="F194" i="7"/>
  <c r="T107" i="7"/>
  <c r="R107" i="7"/>
  <c r="P107" i="7"/>
  <c r="N107" i="7"/>
  <c r="L107" i="7"/>
  <c r="J107" i="7"/>
  <c r="H107" i="7"/>
  <c r="F107" i="7"/>
  <c r="D107" i="7"/>
  <c r="U105" i="7"/>
  <c r="Q105" i="7"/>
  <c r="M105" i="7"/>
  <c r="I105" i="7"/>
  <c r="E105" i="7"/>
  <c r="S100" i="7"/>
  <c r="O100" i="7"/>
  <c r="K100" i="7"/>
  <c r="G100" i="7"/>
  <c r="U99" i="7"/>
  <c r="Q99" i="7"/>
  <c r="M99" i="7"/>
  <c r="I99" i="7"/>
  <c r="E99" i="7"/>
  <c r="T214" i="7"/>
  <c r="R214" i="7"/>
  <c r="P214" i="7"/>
  <c r="N214" i="7"/>
  <c r="L214" i="7"/>
  <c r="J214" i="7"/>
  <c r="H214" i="7"/>
  <c r="F214" i="7"/>
  <c r="S194" i="7"/>
  <c r="O194" i="7"/>
  <c r="K194" i="7"/>
  <c r="G194" i="7"/>
  <c r="T182" i="7"/>
  <c r="P182" i="7"/>
  <c r="L182" i="7"/>
  <c r="H182" i="7"/>
  <c r="D182" i="7"/>
  <c r="R181" i="7"/>
  <c r="R186" i="7"/>
  <c r="P186" i="7"/>
  <c r="N186" i="7"/>
  <c r="L186" i="7"/>
  <c r="J186" i="7"/>
  <c r="H186" i="7"/>
  <c r="F186" i="7"/>
  <c r="D186" i="7"/>
  <c r="O187" i="7"/>
  <c r="K187" i="7"/>
  <c r="G187" i="7"/>
  <c r="U182" i="7"/>
  <c r="S182" i="7"/>
  <c r="Q182" i="7"/>
  <c r="M182" i="7"/>
  <c r="I182" i="7"/>
  <c r="E182" i="7"/>
  <c r="U181" i="7"/>
  <c r="S181" i="7"/>
  <c r="Q181" i="7"/>
  <c r="O181" i="7"/>
  <c r="M181" i="7"/>
  <c r="K181" i="7"/>
  <c r="I181" i="7"/>
  <c r="G181" i="7"/>
  <c r="E181" i="7"/>
  <c r="Q180" i="7"/>
  <c r="M180" i="7"/>
  <c r="I180" i="7"/>
  <c r="G180" i="7"/>
  <c r="P106" i="7"/>
  <c r="H106" i="7"/>
  <c r="S105" i="7"/>
  <c r="K105" i="7"/>
  <c r="U100" i="7"/>
  <c r="M100" i="7"/>
  <c r="E100" i="7"/>
  <c r="O99" i="7"/>
  <c r="G99" i="7"/>
  <c r="W446" i="9"/>
  <c r="W376" i="9"/>
  <c r="T372" i="9"/>
  <c r="O363" i="9"/>
  <c r="H52" i="8"/>
  <c r="I52" i="8" s="1"/>
  <c r="I69" i="8" s="1"/>
  <c r="G69" i="8"/>
  <c r="Q85" i="8"/>
  <c r="N97" i="8"/>
  <c r="E53" i="8"/>
  <c r="E55" i="8" s="1"/>
  <c r="T7" i="8"/>
  <c r="K97" i="8"/>
  <c r="M95" i="8"/>
  <c r="M80" i="8"/>
  <c r="Q78" i="8"/>
  <c r="O73" i="8"/>
  <c r="S71" i="8"/>
  <c r="F70" i="8"/>
  <c r="T69" i="8"/>
  <c r="R69" i="8" s="1"/>
  <c r="F69" i="8"/>
  <c r="K67" i="8"/>
  <c r="G67" i="8"/>
  <c r="S55" i="8"/>
  <c r="S57" i="8" s="1"/>
  <c r="S43" i="8" s="1"/>
  <c r="P54" i="8"/>
  <c r="O53" i="8"/>
  <c r="O54" i="8" s="1"/>
  <c r="R36" i="8"/>
  <c r="Q19" i="8"/>
  <c r="N19" i="8"/>
  <c r="F19" i="8"/>
  <c r="T15" i="8"/>
  <c r="U15" i="8" s="1"/>
  <c r="AD76" i="14"/>
  <c r="AW65" i="14"/>
  <c r="AR65" i="14"/>
  <c r="AM65" i="14"/>
  <c r="AE65" i="14"/>
  <c r="N86" i="8"/>
  <c r="E86" i="8"/>
  <c r="AC46" i="9"/>
  <c r="AD208" i="9"/>
  <c r="AD206" i="9"/>
  <c r="AD174" i="9"/>
  <c r="P430" i="9"/>
  <c r="N430" i="9"/>
  <c r="L430" i="9"/>
  <c r="W374" i="9"/>
  <c r="AC366" i="9"/>
  <c r="AC406" i="9" s="1"/>
  <c r="X362" i="9"/>
  <c r="V251" i="9"/>
  <c r="X244" i="9"/>
  <c r="AD215" i="9"/>
  <c r="Y205" i="9"/>
  <c r="Y203" i="9" s="1"/>
  <c r="Y216" i="9" s="1"/>
  <c r="X163" i="9"/>
  <c r="X156" i="9" s="1"/>
  <c r="X161" i="9"/>
  <c r="X159" i="9"/>
  <c r="X157" i="9"/>
  <c r="AB127" i="9"/>
  <c r="AC127" i="9" s="1"/>
  <c r="AD85" i="9"/>
  <c r="X261" i="9"/>
  <c r="Y133" i="9"/>
  <c r="Z133" i="9" s="1"/>
  <c r="AA133" i="9" s="1"/>
  <c r="AB133" i="9" s="1"/>
  <c r="AC133" i="9" s="1"/>
  <c r="X259" i="9"/>
  <c r="AQ55" i="11"/>
  <c r="E38" i="9"/>
  <c r="R487" i="9"/>
  <c r="X60" i="8"/>
  <c r="Y60" i="8" s="1"/>
  <c r="Z60" i="8" s="1"/>
  <c r="AA60" i="8" s="1"/>
  <c r="AB60" i="8" s="1"/>
  <c r="N85" i="8"/>
  <c r="W61" i="9"/>
  <c r="W68" i="9"/>
  <c r="G7" i="9"/>
  <c r="F313" i="9"/>
  <c r="Y7" i="9"/>
  <c r="X313" i="9"/>
  <c r="W313" i="9"/>
  <c r="E313" i="9"/>
  <c r="Y18" i="9"/>
  <c r="Y16" i="9"/>
  <c r="X58" i="9"/>
  <c r="J86" i="8"/>
  <c r="D86" i="8"/>
  <c r="D97" i="8"/>
  <c r="N90" i="8"/>
  <c r="N92" i="8" s="1"/>
  <c r="P78" i="8"/>
  <c r="P79" i="8" s="1"/>
  <c r="E45" i="11"/>
  <c r="AO45" i="11" s="1"/>
  <c r="G56" i="11"/>
  <c r="G55" i="11"/>
  <c r="AQ56" i="11"/>
  <c r="R226" i="7"/>
  <c r="I67" i="8"/>
  <c r="E67" i="8"/>
  <c r="X446" i="9"/>
  <c r="U269" i="9"/>
  <c r="U173" i="9" s="1"/>
  <c r="U174" i="9" s="1"/>
  <c r="AE237" i="9"/>
  <c r="L170" i="9"/>
  <c r="DJ57" i="14"/>
  <c r="DF57" i="14" s="1"/>
  <c r="W131" i="9"/>
  <c r="W133" i="9" s="1"/>
  <c r="AC102" i="9"/>
  <c r="AD101" i="9"/>
  <c r="L50" i="9"/>
  <c r="L485" i="9" s="1"/>
  <c r="L486" i="9" s="1"/>
  <c r="J67" i="8"/>
  <c r="H67" i="8"/>
  <c r="F67" i="8"/>
  <c r="F49" i="11"/>
  <c r="AP49" i="11" s="1"/>
  <c r="D49" i="11"/>
  <c r="AN49" i="11" s="1"/>
  <c r="BG98" i="14"/>
  <c r="AW107" i="14"/>
  <c r="BC65" i="14"/>
  <c r="U68" i="14"/>
  <c r="AN71" i="14"/>
  <c r="BI65" i="13"/>
  <c r="BD65" i="13"/>
  <c r="K36" i="7"/>
  <c r="K135" i="7"/>
  <c r="S106" i="7"/>
  <c r="M106" i="7"/>
  <c r="I106" i="7"/>
  <c r="E106" i="7"/>
  <c r="H69" i="7"/>
  <c r="O86" i="7"/>
  <c r="T226" i="7"/>
  <c r="P226" i="7"/>
  <c r="L226" i="7"/>
  <c r="T187" i="7"/>
  <c r="R187" i="7"/>
  <c r="P187" i="7"/>
  <c r="N187" i="7"/>
  <c r="L187" i="7"/>
  <c r="H187" i="7"/>
  <c r="T105" i="7"/>
  <c r="R105" i="7"/>
  <c r="P105" i="7"/>
  <c r="N105" i="7"/>
  <c r="L105" i="7"/>
  <c r="J105" i="7"/>
  <c r="H105" i="7"/>
  <c r="F105" i="7"/>
  <c r="D105" i="7"/>
  <c r="H104" i="7"/>
  <c r="Q86" i="7"/>
  <c r="P86" i="7"/>
  <c r="N86" i="7"/>
  <c r="U77" i="7"/>
  <c r="O72" i="7"/>
  <c r="I15" i="7"/>
  <c r="E50" i="11"/>
  <c r="AO50" i="11" s="1"/>
  <c r="E48" i="11"/>
  <c r="AO48" i="11" s="1"/>
  <c r="E47" i="11"/>
  <c r="AO47" i="11" s="1"/>
  <c r="E46" i="11"/>
  <c r="AO46" i="11" s="1"/>
  <c r="R225" i="7"/>
  <c r="J225" i="7"/>
  <c r="F225" i="7"/>
  <c r="G211" i="7"/>
  <c r="E211" i="7"/>
  <c r="S135" i="7"/>
  <c r="I24" i="7"/>
  <c r="L24" i="7"/>
  <c r="D47" i="11"/>
  <c r="AN47" i="11" s="1"/>
  <c r="BG130" i="14"/>
  <c r="BG119" i="14"/>
  <c r="AN128" i="14"/>
  <c r="AI128" i="14"/>
  <c r="AD128" i="14"/>
  <c r="V128" i="14"/>
  <c r="AV104" i="14"/>
  <c r="AN104" i="14"/>
  <c r="AI104" i="14"/>
  <c r="AD104" i="14"/>
  <c r="V104" i="14"/>
  <c r="AR71" i="14"/>
  <c r="AW68" i="14"/>
  <c r="AM68" i="14"/>
  <c r="AE68" i="14"/>
  <c r="AE28" i="14"/>
  <c r="W164" i="9"/>
  <c r="W165" i="9" s="1"/>
  <c r="X130" i="9"/>
  <c r="E85" i="8"/>
  <c r="D67" i="8"/>
  <c r="D71" i="8"/>
  <c r="D57" i="8"/>
  <c r="D43" i="8" s="1"/>
  <c r="O35" i="8"/>
  <c r="O135" i="7"/>
  <c r="G135" i="7"/>
  <c r="S36" i="7"/>
  <c r="D31" i="7"/>
  <c r="D102" i="7"/>
  <c r="D128" i="7"/>
  <c r="E77" i="7"/>
  <c r="O36" i="7"/>
  <c r="G36" i="7"/>
  <c r="T97" i="7"/>
  <c r="T98" i="7"/>
  <c r="T99" i="7"/>
  <c r="T100" i="7"/>
  <c r="R97" i="7"/>
  <c r="R98" i="7"/>
  <c r="R99" i="7"/>
  <c r="R100" i="7"/>
  <c r="R101" i="7"/>
  <c r="P97" i="7"/>
  <c r="P98" i="7"/>
  <c r="P99" i="7"/>
  <c r="P100" i="7"/>
  <c r="P101" i="7"/>
  <c r="N24" i="7"/>
  <c r="N97" i="7"/>
  <c r="N98" i="7"/>
  <c r="N99" i="7"/>
  <c r="N100" i="7"/>
  <c r="N101" i="7"/>
  <c r="M15" i="7"/>
  <c r="L97" i="7"/>
  <c r="L98" i="7"/>
  <c r="L99" i="7"/>
  <c r="L100" i="7"/>
  <c r="L101" i="7"/>
  <c r="J97" i="7"/>
  <c r="J98" i="7"/>
  <c r="J99" i="7"/>
  <c r="J100" i="7"/>
  <c r="J101" i="7"/>
  <c r="H97" i="7"/>
  <c r="H98" i="7"/>
  <c r="H99" i="7"/>
  <c r="H100" i="7"/>
  <c r="H101" i="7"/>
  <c r="F97" i="7"/>
  <c r="F98" i="7"/>
  <c r="F99" i="7"/>
  <c r="F100" i="7"/>
  <c r="F101" i="7"/>
  <c r="E15" i="7"/>
  <c r="D97" i="7"/>
  <c r="D98" i="7"/>
  <c r="D99" i="7"/>
  <c r="D100" i="7"/>
  <c r="D101" i="7"/>
  <c r="T69" i="7"/>
  <c r="Q72" i="7"/>
  <c r="P69" i="7"/>
  <c r="L69" i="7"/>
  <c r="F91" i="13"/>
  <c r="U149" i="13"/>
  <c r="U142" i="7" s="1"/>
  <c r="Q149" i="13"/>
  <c r="Q142" i="7" s="1"/>
  <c r="M149" i="13"/>
  <c r="M142" i="7" s="1"/>
  <c r="I149" i="13"/>
  <c r="I142" i="7" s="1"/>
  <c r="E149" i="13"/>
  <c r="E142" i="7" s="1"/>
  <c r="R148" i="13"/>
  <c r="N148" i="13"/>
  <c r="J148" i="13"/>
  <c r="K56" i="13"/>
  <c r="K61" i="7" s="1"/>
  <c r="G56" i="13"/>
  <c r="G61" i="7" s="1"/>
  <c r="U86" i="7"/>
  <c r="S86" i="7"/>
  <c r="S72" i="7"/>
  <c r="X67" i="9"/>
  <c r="Y66" i="9"/>
  <c r="X59" i="9"/>
  <c r="H165" i="13"/>
  <c r="H163" i="13" s="1"/>
  <c r="H161" i="13" s="1"/>
  <c r="H160" i="13" s="1"/>
  <c r="T107" i="13"/>
  <c r="T127" i="7" s="1"/>
  <c r="F62" i="9"/>
  <c r="G248" i="9"/>
  <c r="F61" i="9"/>
  <c r="L62" i="9"/>
  <c r="J62" i="9"/>
  <c r="H62" i="9"/>
  <c r="N490" i="9"/>
  <c r="L411" i="9"/>
  <c r="L408" i="9" s="1"/>
  <c r="L415" i="9" s="1"/>
  <c r="AD71" i="14"/>
  <c r="BI107" i="14"/>
  <c r="AR104" i="14"/>
  <c r="AM104" i="14"/>
  <c r="AE104" i="14"/>
  <c r="Z104" i="14"/>
  <c r="U104" i="14"/>
  <c r="AM76" i="14"/>
  <c r="AE76" i="14"/>
  <c r="U76" i="14"/>
  <c r="AI71" i="14"/>
  <c r="AV65" i="14"/>
  <c r="AN65" i="14"/>
  <c r="AI65" i="14"/>
  <c r="AD65" i="14"/>
  <c r="AW28" i="14"/>
  <c r="AR28" i="14"/>
  <c r="AM28" i="14"/>
  <c r="AY10" i="14"/>
  <c r="AN76" i="14"/>
  <c r="AF10" i="14"/>
  <c r="BC128" i="14"/>
  <c r="AV128" i="14"/>
  <c r="AR128" i="14"/>
  <c r="AM128" i="14"/>
  <c r="AE128" i="14"/>
  <c r="Z128" i="14"/>
  <c r="U128" i="14"/>
  <c r="BC76" i="14"/>
  <c r="AV76" i="14"/>
  <c r="AI76" i="14"/>
  <c r="V76" i="14"/>
  <c r="AV71" i="14"/>
  <c r="AX70" i="14"/>
  <c r="AE70" i="14"/>
  <c r="U71" i="14"/>
  <c r="AV68" i="14"/>
  <c r="BC68" i="14"/>
  <c r="AN68" i="14"/>
  <c r="AI68" i="14"/>
  <c r="AD68" i="14"/>
  <c r="U65" i="14"/>
  <c r="AW6" i="14"/>
  <c r="K58" i="9"/>
  <c r="K57" i="9"/>
  <c r="M62" i="9"/>
  <c r="K62" i="9"/>
  <c r="I62" i="9"/>
  <c r="G62" i="9"/>
  <c r="E62" i="9"/>
  <c r="D62" i="9"/>
  <c r="X32" i="9"/>
  <c r="Y379" i="9"/>
  <c r="Z379" i="9" s="1"/>
  <c r="X380" i="9"/>
  <c r="Y383" i="9"/>
  <c r="Z383" i="9" s="1"/>
  <c r="X384" i="9"/>
  <c r="S488" i="9"/>
  <c r="S487" i="9"/>
  <c r="S486" i="9"/>
  <c r="W384" i="9"/>
  <c r="W380" i="9"/>
  <c r="X153" i="9"/>
  <c r="I31" i="11"/>
  <c r="AR31" i="11" s="1"/>
  <c r="I27" i="11"/>
  <c r="AR27" i="11" s="1"/>
  <c r="I24" i="9"/>
  <c r="I28" i="9" s="1"/>
  <c r="T22" i="9"/>
  <c r="R22" i="9"/>
  <c r="Y17" i="9"/>
  <c r="S521" i="9"/>
  <c r="S513" i="9" s="1"/>
  <c r="Q521" i="9"/>
  <c r="Q513" i="9" s="1"/>
  <c r="O521" i="9"/>
  <c r="O513" i="9" s="1"/>
  <c r="M521" i="9"/>
  <c r="M513" i="9" s="1"/>
  <c r="K521" i="9"/>
  <c r="K513" i="9" s="1"/>
  <c r="I521" i="9"/>
  <c r="R488" i="9"/>
  <c r="P488" i="9"/>
  <c r="P487" i="9"/>
  <c r="R486" i="9"/>
  <c r="P486" i="9"/>
  <c r="AS34" i="11"/>
  <c r="I32" i="11"/>
  <c r="AR32" i="11" s="1"/>
  <c r="I30" i="11"/>
  <c r="AR30" i="11" s="1"/>
  <c r="G225" i="7"/>
  <c r="E225" i="7"/>
  <c r="P155" i="7"/>
  <c r="D143" i="7"/>
  <c r="U135" i="7"/>
  <c r="Q135" i="7"/>
  <c r="M135" i="7"/>
  <c r="I135" i="7"/>
  <c r="E135" i="7"/>
  <c r="E132" i="7"/>
  <c r="V53" i="7"/>
  <c r="V228" i="7"/>
  <c r="M77" i="7"/>
  <c r="U72" i="7"/>
  <c r="P24" i="7"/>
  <c r="F24" i="7"/>
  <c r="U15" i="7"/>
  <c r="V34" i="7"/>
  <c r="V77" i="7"/>
  <c r="V68" i="14"/>
  <c r="V65" i="14"/>
  <c r="BH26" i="14"/>
  <c r="M495" i="9"/>
  <c r="K495" i="9"/>
  <c r="K406" i="9"/>
  <c r="K430" i="9" s="1"/>
  <c r="K366" i="9"/>
  <c r="D270" i="9"/>
  <c r="J492" i="9"/>
  <c r="F68" i="9"/>
  <c r="J411" i="9"/>
  <c r="J408" i="9" s="1"/>
  <c r="R492" i="9"/>
  <c r="N363" i="9"/>
  <c r="F181" i="9"/>
  <c r="F263" i="9" s="1"/>
  <c r="O480" i="9"/>
  <c r="O509" i="9" s="1"/>
  <c r="J61" i="9"/>
  <c r="E343" i="9"/>
  <c r="E346" i="9" s="1"/>
  <c r="Q479" i="9"/>
  <c r="G406" i="9"/>
  <c r="J393" i="9"/>
  <c r="N361" i="9"/>
  <c r="M338" i="9"/>
  <c r="K480" i="9"/>
  <c r="K509" i="9" s="1"/>
  <c r="M479" i="9"/>
  <c r="S480" i="9"/>
  <c r="S509" i="9" s="1"/>
  <c r="CB42" i="14"/>
  <c r="BV127" i="14"/>
  <c r="CO129" i="14" s="1"/>
  <c r="EC129" i="14"/>
  <c r="CC129" i="14"/>
  <c r="BC79" i="14"/>
  <c r="CC81" i="14"/>
  <c r="CB51" i="14"/>
  <c r="F47" i="11"/>
  <c r="AP47" i="11" s="1"/>
  <c r="Q480" i="9"/>
  <c r="Q509" i="9" s="1"/>
  <c r="S479" i="9"/>
  <c r="I66" i="9"/>
  <c r="I65" i="9"/>
  <c r="F50" i="11"/>
  <c r="AP50" i="11" s="1"/>
  <c r="D50" i="11"/>
  <c r="AN50" i="11" s="1"/>
  <c r="F48" i="11"/>
  <c r="AP48" i="11" s="1"/>
  <c r="D48" i="11"/>
  <c r="AN48" i="11" s="1"/>
  <c r="E5" i="11"/>
  <c r="AP22" i="11"/>
  <c r="G5" i="11"/>
  <c r="F5" i="11"/>
  <c r="T86" i="7"/>
  <c r="R86" i="7"/>
  <c r="S77" i="7"/>
  <c r="O77" i="7"/>
  <c r="K77" i="7"/>
  <c r="G77" i="7"/>
  <c r="U69" i="7"/>
  <c r="S69" i="7"/>
  <c r="Q69" i="7"/>
  <c r="O69" i="7"/>
  <c r="M69" i="7"/>
  <c r="K69" i="7"/>
  <c r="I69" i="7"/>
  <c r="G69" i="7"/>
  <c r="E69" i="7"/>
  <c r="T36" i="7"/>
  <c r="R36" i="7"/>
  <c r="P36" i="7"/>
  <c r="N36" i="7"/>
  <c r="L36" i="7"/>
  <c r="J36" i="7"/>
  <c r="H36" i="7"/>
  <c r="F36" i="7"/>
  <c r="D36" i="7"/>
  <c r="J24" i="7"/>
  <c r="H24" i="7"/>
  <c r="T15" i="7"/>
  <c r="R15" i="7"/>
  <c r="P15" i="7"/>
  <c r="N15" i="7"/>
  <c r="L15" i="7"/>
  <c r="J15" i="7"/>
  <c r="H15" i="7"/>
  <c r="F15" i="7"/>
  <c r="U226" i="7"/>
  <c r="S226" i="7"/>
  <c r="S227" i="7" s="1"/>
  <c r="Q226" i="7"/>
  <c r="O226" i="7"/>
  <c r="M226" i="7"/>
  <c r="U225" i="7"/>
  <c r="S225" i="7"/>
  <c r="O225" i="7"/>
  <c r="K225" i="7"/>
  <c r="I225" i="7"/>
  <c r="F211" i="7"/>
  <c r="S208" i="7"/>
  <c r="Q208" i="7"/>
  <c r="T186" i="7"/>
  <c r="Q155" i="7"/>
  <c r="O155" i="7"/>
  <c r="T135" i="7"/>
  <c r="R135" i="7"/>
  <c r="P135" i="7"/>
  <c r="N135" i="7"/>
  <c r="L135" i="7"/>
  <c r="J135" i="7"/>
  <c r="H135" i="7"/>
  <c r="F135" i="7"/>
  <c r="D135" i="7"/>
  <c r="F132" i="7"/>
  <c r="D132" i="7"/>
  <c r="Q77" i="7"/>
  <c r="I77" i="7"/>
  <c r="T72" i="7"/>
  <c r="R72" i="7"/>
  <c r="P72" i="7"/>
  <c r="R69" i="7"/>
  <c r="N69" i="7"/>
  <c r="J69" i="7"/>
  <c r="F69" i="7"/>
  <c r="U36" i="7"/>
  <c r="U40" i="7" s="1"/>
  <c r="Q36" i="7"/>
  <c r="M36" i="7"/>
  <c r="I36" i="7"/>
  <c r="E36" i="7"/>
  <c r="S24" i="7"/>
  <c r="Q24" i="7"/>
  <c r="O24" i="7"/>
  <c r="M24" i="7"/>
  <c r="K24" i="7"/>
  <c r="G24" i="7"/>
  <c r="S15" i="7"/>
  <c r="O15" i="7"/>
  <c r="K15" i="7"/>
  <c r="G15" i="7"/>
  <c r="AV157" i="14"/>
  <c r="AY43" i="14"/>
  <c r="BT105" i="14"/>
  <c r="AW48" i="14"/>
  <c r="AY48" i="14" s="1"/>
  <c r="BT42" i="14"/>
  <c r="AX28" i="14"/>
  <c r="AW37" i="14"/>
  <c r="AY37" i="14" s="1"/>
  <c r="BT107" i="14"/>
  <c r="AW76" i="14"/>
  <c r="BT76" i="14"/>
  <c r="AN43" i="14"/>
  <c r="AO43" i="14" s="1"/>
  <c r="BT43" i="14"/>
  <c r="CL44" i="14" s="1"/>
  <c r="BQ36" i="11"/>
  <c r="R480" i="9"/>
  <c r="R509" i="9" s="1"/>
  <c r="P480" i="9"/>
  <c r="N480" i="9"/>
  <c r="L480" i="9"/>
  <c r="L509" i="9" s="1"/>
  <c r="J480" i="9"/>
  <c r="J509" i="9" s="1"/>
  <c r="R479" i="9"/>
  <c r="P478" i="9"/>
  <c r="N499" i="9"/>
  <c r="R515" i="9"/>
  <c r="P515" i="9"/>
  <c r="N515" i="9"/>
  <c r="L515" i="9"/>
  <c r="J515" i="9"/>
  <c r="X209" i="9"/>
  <c r="L491" i="9"/>
  <c r="I50" i="11"/>
  <c r="AR50" i="11" s="1"/>
  <c r="AR42" i="11"/>
  <c r="F393" i="9"/>
  <c r="F369" i="9" s="1"/>
  <c r="F172" i="9" s="1"/>
  <c r="F174" i="9" s="1"/>
  <c r="N362" i="9"/>
  <c r="J360" i="9"/>
  <c r="D355" i="9"/>
  <c r="I338" i="9"/>
  <c r="G270" i="9"/>
  <c r="E270" i="9"/>
  <c r="E285" i="9" s="1"/>
  <c r="D60" i="9"/>
  <c r="G38" i="9"/>
  <c r="AM44" i="13"/>
  <c r="AN44" i="13" s="1"/>
  <c r="G343" i="9"/>
  <c r="G346" i="9" s="1"/>
  <c r="D49" i="9"/>
  <c r="D52" i="9" s="1"/>
  <c r="L60" i="9"/>
  <c r="F59" i="9"/>
  <c r="D38" i="9"/>
  <c r="M411" i="9"/>
  <c r="M408" i="9" s="1"/>
  <c r="M415" i="9" s="1"/>
  <c r="K411" i="9"/>
  <c r="K408" i="9" s="1"/>
  <c r="I406" i="9"/>
  <c r="E406" i="9"/>
  <c r="L393" i="9"/>
  <c r="H393" i="9"/>
  <c r="H369" i="9" s="1"/>
  <c r="H172" i="9" s="1"/>
  <c r="H174" i="9" s="1"/>
  <c r="D393" i="9"/>
  <c r="I366" i="9"/>
  <c r="E366" i="9"/>
  <c r="G363" i="9"/>
  <c r="J362" i="9"/>
  <c r="G361" i="9"/>
  <c r="D360" i="9"/>
  <c r="L355" i="9"/>
  <c r="F354" i="9"/>
  <c r="K338" i="9"/>
  <c r="G338" i="9"/>
  <c r="F363" i="9"/>
  <c r="H283" i="9"/>
  <c r="G279" i="9"/>
  <c r="D68" i="9"/>
  <c r="G67" i="9"/>
  <c r="D65" i="9"/>
  <c r="L61" i="9"/>
  <c r="H61" i="9"/>
  <c r="D61" i="9"/>
  <c r="L49" i="9"/>
  <c r="L52" i="9" s="1"/>
  <c r="F49" i="9"/>
  <c r="F52" i="9" s="1"/>
  <c r="M37" i="9"/>
  <c r="M38" i="9" s="1"/>
  <c r="K37" i="9"/>
  <c r="K481" i="9" s="1"/>
  <c r="I37" i="9"/>
  <c r="I38" i="9" s="1"/>
  <c r="K68" i="9"/>
  <c r="I68" i="9"/>
  <c r="G68" i="9"/>
  <c r="E68" i="9"/>
  <c r="L67" i="9"/>
  <c r="J67" i="9"/>
  <c r="H67" i="9"/>
  <c r="L66" i="9"/>
  <c r="J66" i="9"/>
  <c r="H66" i="9"/>
  <c r="F38" i="9"/>
  <c r="M65" i="9"/>
  <c r="K65" i="9"/>
  <c r="E65" i="9"/>
  <c r="L495" i="9"/>
  <c r="J495" i="9"/>
  <c r="K363" i="9"/>
  <c r="F362" i="9"/>
  <c r="K361" i="9"/>
  <c r="N360" i="9"/>
  <c r="F360" i="9"/>
  <c r="H355" i="9"/>
  <c r="J354" i="9"/>
  <c r="J68" i="9"/>
  <c r="K67" i="9"/>
  <c r="M66" i="9"/>
  <c r="E66" i="9"/>
  <c r="H60" i="9"/>
  <c r="J59" i="9"/>
  <c r="AQ44" i="13"/>
  <c r="AR44" i="13" s="1"/>
  <c r="AI44" i="13"/>
  <c r="AJ44" i="13" s="1"/>
  <c r="F356" i="9"/>
  <c r="AR81" i="14"/>
  <c r="BC71" i="14"/>
  <c r="AY18" i="14"/>
  <c r="AM6" i="14"/>
  <c r="AO74" i="14"/>
  <c r="W74" i="14"/>
  <c r="AO73" i="14"/>
  <c r="AR70" i="14"/>
  <c r="AO63" i="14"/>
  <c r="AY57" i="14"/>
  <c r="AX6" i="14"/>
  <c r="AR6" i="14"/>
  <c r="BC129" i="14"/>
  <c r="AO106" i="14"/>
  <c r="G65" i="9"/>
  <c r="J366" i="9"/>
  <c r="H366" i="9"/>
  <c r="F366" i="9"/>
  <c r="D366" i="9"/>
  <c r="M363" i="9"/>
  <c r="I363" i="9"/>
  <c r="E363" i="9"/>
  <c r="L362" i="9"/>
  <c r="H362" i="9"/>
  <c r="D362" i="9"/>
  <c r="M361" i="9"/>
  <c r="I361" i="9"/>
  <c r="E361" i="9"/>
  <c r="L360" i="9"/>
  <c r="H360" i="9"/>
  <c r="J356" i="9"/>
  <c r="D356" i="9"/>
  <c r="J355" i="9"/>
  <c r="F355" i="9"/>
  <c r="L354" i="9"/>
  <c r="H354" i="9"/>
  <c r="D354" i="9"/>
  <c r="F341" i="9"/>
  <c r="F343" i="9" s="1"/>
  <c r="F346" i="9" s="1"/>
  <c r="L68" i="9"/>
  <c r="H68" i="9"/>
  <c r="M67" i="9"/>
  <c r="I67" i="9"/>
  <c r="E67" i="9"/>
  <c r="K66" i="9"/>
  <c r="G66" i="9"/>
  <c r="M61" i="9"/>
  <c r="K61" i="9"/>
  <c r="I61" i="9"/>
  <c r="G61" i="9"/>
  <c r="E61" i="9"/>
  <c r="J60" i="9"/>
  <c r="F60" i="9"/>
  <c r="L59" i="9"/>
  <c r="H59" i="9"/>
  <c r="D59" i="9"/>
  <c r="BQ55" i="11"/>
  <c r="AR40" i="11"/>
  <c r="L346" i="9"/>
  <c r="AF57" i="14"/>
  <c r="AY149" i="14"/>
  <c r="AF149" i="14"/>
  <c r="AW104" i="14"/>
  <c r="AW71" i="14"/>
  <c r="AM71" i="14"/>
  <c r="AE71" i="14"/>
  <c r="AY61" i="14"/>
  <c r="AO59" i="14"/>
  <c r="W59" i="14"/>
  <c r="AW46" i="14"/>
  <c r="AY46" i="14" s="1"/>
  <c r="AO27" i="14"/>
  <c r="BC19" i="14"/>
  <c r="AY8" i="14"/>
  <c r="AF8" i="14"/>
  <c r="AO142" i="14"/>
  <c r="W142" i="14"/>
  <c r="AY139" i="14"/>
  <c r="AY137" i="14"/>
  <c r="AY134" i="14"/>
  <c r="AY130" i="14"/>
  <c r="AV80" i="14"/>
  <c r="AV79" i="14"/>
  <c r="W73" i="14"/>
  <c r="AV42" i="14"/>
  <c r="BR42" i="14"/>
  <c r="AF41" i="14"/>
  <c r="AY33" i="14"/>
  <c r="BR107" i="14"/>
  <c r="AF159" i="14"/>
  <c r="AO158" i="14"/>
  <c r="AF157" i="14"/>
  <c r="AW128" i="14"/>
  <c r="AV105" i="14"/>
  <c r="AW77" i="14"/>
  <c r="AY77" i="14" s="1"/>
  <c r="BV81" i="14" s="1"/>
  <c r="BA79" i="14"/>
  <c r="AM70" i="14"/>
  <c r="BR51" i="14"/>
  <c r="W27" i="14"/>
  <c r="BR19" i="14"/>
  <c r="L356" i="9"/>
  <c r="H356" i="9"/>
  <c r="BP74" i="13"/>
  <c r="BH67" i="13"/>
  <c r="BH60" i="13"/>
  <c r="BP35" i="13"/>
  <c r="BL13" i="13"/>
  <c r="BB13" i="13"/>
  <c r="N492" i="9"/>
  <c r="R490" i="9"/>
  <c r="J490" i="9"/>
  <c r="M59" i="9"/>
  <c r="K59" i="9"/>
  <c r="I59" i="9"/>
  <c r="G59" i="9"/>
  <c r="E59" i="9"/>
  <c r="BR70" i="14"/>
  <c r="M346" i="9"/>
  <c r="BK25" i="13"/>
  <c r="P491" i="9"/>
  <c r="R491" i="9"/>
  <c r="P490" i="9"/>
  <c r="N491" i="9"/>
  <c r="L490" i="9"/>
  <c r="J491" i="9"/>
  <c r="J406" i="9"/>
  <c r="H406" i="9"/>
  <c r="F406" i="9"/>
  <c r="M393" i="9"/>
  <c r="K393" i="9"/>
  <c r="I393" i="9"/>
  <c r="I369" i="9" s="1"/>
  <c r="I172" i="9" s="1"/>
  <c r="I174" i="9" s="1"/>
  <c r="G393" i="9"/>
  <c r="G369" i="9" s="1"/>
  <c r="G172" i="9" s="1"/>
  <c r="G174" i="9" s="1"/>
  <c r="E393" i="9"/>
  <c r="E369" i="9" s="1"/>
  <c r="E172" i="9" s="1"/>
  <c r="E174" i="9" s="1"/>
  <c r="L363" i="9"/>
  <c r="J363" i="9"/>
  <c r="H363" i="9"/>
  <c r="M362" i="9"/>
  <c r="K362" i="9"/>
  <c r="I362" i="9"/>
  <c r="G362" i="9"/>
  <c r="E362" i="9"/>
  <c r="L361" i="9"/>
  <c r="J361" i="9"/>
  <c r="H361" i="9"/>
  <c r="F361" i="9"/>
  <c r="D361" i="9"/>
  <c r="M360" i="9"/>
  <c r="K360" i="9"/>
  <c r="I360" i="9"/>
  <c r="G360" i="9"/>
  <c r="E360" i="9"/>
  <c r="M356" i="9"/>
  <c r="K356" i="9"/>
  <c r="I356" i="9"/>
  <c r="G356" i="9"/>
  <c r="E356" i="9"/>
  <c r="M355" i="9"/>
  <c r="K355" i="9"/>
  <c r="I355" i="9"/>
  <c r="G355" i="9"/>
  <c r="E355" i="9"/>
  <c r="M354" i="9"/>
  <c r="K354" i="9"/>
  <c r="I354" i="9"/>
  <c r="G354" i="9"/>
  <c r="E354" i="9"/>
  <c r="L338" i="9"/>
  <c r="J338" i="9"/>
  <c r="H338" i="9"/>
  <c r="F338" i="9"/>
  <c r="D338" i="9"/>
  <c r="H279" i="9"/>
  <c r="H285" i="9" s="1"/>
  <c r="F279" i="9"/>
  <c r="F285" i="9" s="1"/>
  <c r="D279" i="9"/>
  <c r="M68" i="9"/>
  <c r="F67" i="9"/>
  <c r="D67" i="9"/>
  <c r="F66" i="9"/>
  <c r="D66" i="9"/>
  <c r="N65" i="9"/>
  <c r="L65" i="9"/>
  <c r="J65" i="9"/>
  <c r="H65" i="9"/>
  <c r="F65" i="9"/>
  <c r="M60" i="9"/>
  <c r="K60" i="9"/>
  <c r="I60" i="9"/>
  <c r="G60" i="9"/>
  <c r="E60" i="9"/>
  <c r="M49" i="9"/>
  <c r="M52" i="9" s="1"/>
  <c r="BM74" i="13"/>
  <c r="BI56" i="13"/>
  <c r="BD56" i="13"/>
  <c r="AS44" i="13"/>
  <c r="AT44" i="13" s="1"/>
  <c r="AO44" i="13"/>
  <c r="AP44" i="13" s="1"/>
  <c r="AK44" i="13"/>
  <c r="AL44" i="13" s="1"/>
  <c r="AG44" i="13"/>
  <c r="AH44" i="13" s="1"/>
  <c r="BH35" i="13"/>
  <c r="BC35" i="13"/>
  <c r="BF25" i="13"/>
  <c r="BH16" i="13"/>
  <c r="BH12" i="13"/>
  <c r="BH9" i="13"/>
  <c r="AR37" i="11"/>
  <c r="AR41" i="11"/>
  <c r="BC104" i="14"/>
  <c r="Q492" i="9"/>
  <c r="O492" i="9"/>
  <c r="M492" i="9"/>
  <c r="K492" i="9"/>
  <c r="S491" i="9"/>
  <c r="Q491" i="9"/>
  <c r="O491" i="9"/>
  <c r="M491" i="9"/>
  <c r="K491" i="9"/>
  <c r="Q490" i="9"/>
  <c r="O490" i="9"/>
  <c r="M490" i="9"/>
  <c r="K490" i="9"/>
  <c r="BP62" i="13"/>
  <c r="BF62" i="13"/>
  <c r="BF60" i="13"/>
  <c r="BK59" i="13"/>
  <c r="BH25" i="13"/>
  <c r="BC25" i="13"/>
  <c r="P492" i="9"/>
  <c r="L492" i="9"/>
  <c r="BK62" i="13"/>
  <c r="BP59" i="13"/>
  <c r="BF59" i="13"/>
  <c r="BH58" i="13"/>
  <c r="BF58" i="13"/>
  <c r="BM16" i="13"/>
  <c r="AR16" i="13"/>
  <c r="BK16" i="13" s="1"/>
  <c r="AJ16" i="13"/>
  <c r="S499" i="9"/>
  <c r="O499" i="9"/>
  <c r="M499" i="9"/>
  <c r="S515" i="9"/>
  <c r="Q515" i="9"/>
  <c r="O515" i="9"/>
  <c r="M515" i="9"/>
  <c r="K515" i="9"/>
  <c r="S492" i="9"/>
  <c r="S490" i="9"/>
  <c r="D343" i="9"/>
  <c r="D346" i="9" s="1"/>
  <c r="G49" i="9"/>
  <c r="G52" i="9" s="1"/>
  <c r="E49" i="9"/>
  <c r="E52" i="9" s="1"/>
  <c r="BF67" i="13"/>
  <c r="BM62" i="13"/>
  <c r="BC60" i="13"/>
  <c r="BM59" i="13"/>
  <c r="BH59" i="13"/>
  <c r="BC59" i="13"/>
  <c r="BC58" i="13"/>
  <c r="BC16" i="13"/>
  <c r="BP12" i="13"/>
  <c r="BF12" i="13"/>
  <c r="BK9" i="13"/>
  <c r="BK35" i="13"/>
  <c r="BF35" i="13"/>
  <c r="BP25" i="13"/>
  <c r="BK12" i="13"/>
  <c r="BP9" i="13"/>
  <c r="BF9" i="13"/>
  <c r="CC59" i="14"/>
  <c r="BV59" i="14" s="1"/>
  <c r="AV28" i="14"/>
  <c r="AN28" i="14"/>
  <c r="AD28" i="14"/>
  <c r="AO5" i="14"/>
  <c r="AN6" i="14"/>
  <c r="AD6" i="14"/>
  <c r="W164" i="14"/>
  <c r="AO162" i="14"/>
  <c r="AY161" i="14"/>
  <c r="AF161" i="14"/>
  <c r="AO160" i="14"/>
  <c r="AR129" i="14"/>
  <c r="AY127" i="14"/>
  <c r="AF127" i="14"/>
  <c r="AO123" i="14"/>
  <c r="AO119" i="14"/>
  <c r="AO112" i="14"/>
  <c r="AW105" i="14"/>
  <c r="AO102" i="14"/>
  <c r="W102" i="14"/>
  <c r="AY98" i="14"/>
  <c r="AY89" i="14"/>
  <c r="AY85" i="14"/>
  <c r="AY82" i="14"/>
  <c r="AU80" i="14"/>
  <c r="AO77" i="14"/>
  <c r="AW70" i="14"/>
  <c r="AO69" i="14"/>
  <c r="AN70" i="14"/>
  <c r="W69" i="14"/>
  <c r="AD70" i="14"/>
  <c r="AO66" i="14"/>
  <c r="W66" i="14"/>
  <c r="AV51" i="14"/>
  <c r="AF50" i="14"/>
  <c r="AW42" i="14"/>
  <c r="BC34" i="14"/>
  <c r="BC80" i="14"/>
  <c r="W63" i="8"/>
  <c r="H75" i="8"/>
  <c r="H54" i="8"/>
  <c r="G70" i="8"/>
  <c r="U199" i="7"/>
  <c r="S199" i="7"/>
  <c r="Q199" i="7"/>
  <c r="O199" i="7"/>
  <c r="M199" i="7"/>
  <c r="K199" i="7"/>
  <c r="I199" i="7"/>
  <c r="G199" i="7"/>
  <c r="E199" i="7"/>
  <c r="U176" i="7"/>
  <c r="S176" i="7"/>
  <c r="Q176" i="7"/>
  <c r="O176" i="7"/>
  <c r="M176" i="7"/>
  <c r="K176" i="7"/>
  <c r="I176" i="7"/>
  <c r="G176" i="7"/>
  <c r="E176" i="7"/>
  <c r="U172" i="7"/>
  <c r="S172" i="7"/>
  <c r="Q172" i="7"/>
  <c r="O172" i="7"/>
  <c r="M172" i="7"/>
  <c r="K172" i="7"/>
  <c r="I172" i="7"/>
  <c r="G172" i="7"/>
  <c r="E172" i="7"/>
  <c r="U164" i="7"/>
  <c r="S164" i="7"/>
  <c r="Q164" i="7"/>
  <c r="O164" i="7"/>
  <c r="M164" i="7"/>
  <c r="K164" i="7"/>
  <c r="I164" i="7"/>
  <c r="G164" i="7"/>
  <c r="E164" i="7"/>
  <c r="T77" i="7"/>
  <c r="R77" i="7"/>
  <c r="P77" i="7"/>
  <c r="N77" i="7"/>
  <c r="L77" i="7"/>
  <c r="J77" i="7"/>
  <c r="H77" i="7"/>
  <c r="F77" i="7"/>
  <c r="E70" i="8"/>
  <c r="N67" i="8"/>
  <c r="L66" i="8"/>
  <c r="W66" i="8"/>
  <c r="W59" i="8"/>
  <c r="P57" i="8"/>
  <c r="P43" i="8" s="1"/>
  <c r="R52" i="8"/>
  <c r="R53" i="8" s="1"/>
  <c r="R54" i="8" s="1"/>
  <c r="U52" i="8"/>
  <c r="M52" i="8"/>
  <c r="M53" i="8" s="1"/>
  <c r="L53" i="8"/>
  <c r="O47" i="8"/>
  <c r="R46" i="8"/>
  <c r="R47" i="8" s="1"/>
  <c r="U46" i="8"/>
  <c r="V46" i="8" s="1"/>
  <c r="W46" i="8" s="1"/>
  <c r="X46" i="8" s="1"/>
  <c r="Y46" i="8" s="1"/>
  <c r="F36" i="8"/>
  <c r="G37" i="8"/>
  <c r="H37" i="8" s="1"/>
  <c r="I37" i="8" s="1"/>
  <c r="J37" i="8" s="1"/>
  <c r="K37" i="8" s="1"/>
  <c r="Y385" i="9"/>
  <c r="X386" i="9"/>
  <c r="Y381" i="9"/>
  <c r="X382" i="9"/>
  <c r="Y371" i="9"/>
  <c r="Z373" i="9"/>
  <c r="Y374" i="9"/>
  <c r="Z178" i="9"/>
  <c r="Y262" i="9"/>
  <c r="AB87" i="9"/>
  <c r="DK35" i="14" s="1"/>
  <c r="AC91" i="9"/>
  <c r="AC87" i="9" s="1"/>
  <c r="AC81" i="9" s="1"/>
  <c r="AC82" i="9" s="1"/>
  <c r="T199" i="7"/>
  <c r="R199" i="7"/>
  <c r="P199" i="7"/>
  <c r="N199" i="7"/>
  <c r="L199" i="7"/>
  <c r="J199" i="7"/>
  <c r="H199" i="7"/>
  <c r="F199" i="7"/>
  <c r="T176" i="7"/>
  <c r="R176" i="7"/>
  <c r="P176" i="7"/>
  <c r="N176" i="7"/>
  <c r="L176" i="7"/>
  <c r="J176" i="7"/>
  <c r="H176" i="7"/>
  <c r="F176" i="7"/>
  <c r="D176" i="7"/>
  <c r="T172" i="7"/>
  <c r="R172" i="7"/>
  <c r="P172" i="7"/>
  <c r="N172" i="7"/>
  <c r="L172" i="7"/>
  <c r="J172" i="7"/>
  <c r="H172" i="7"/>
  <c r="F172" i="7"/>
  <c r="D172" i="7"/>
  <c r="T164" i="7"/>
  <c r="R164" i="7"/>
  <c r="P164" i="7"/>
  <c r="N164" i="7"/>
  <c r="L164" i="7"/>
  <c r="J164" i="7"/>
  <c r="H164" i="7"/>
  <c r="F164" i="7"/>
  <c r="D164" i="7"/>
  <c r="F44" i="8"/>
  <c r="E48" i="8"/>
  <c r="E50" i="8" s="1"/>
  <c r="Z375" i="9"/>
  <c r="Y376" i="9"/>
  <c r="X289" i="9"/>
  <c r="Z175" i="9"/>
  <c r="Y261" i="9"/>
  <c r="Z168" i="9"/>
  <c r="Y259" i="9"/>
  <c r="Z129" i="9"/>
  <c r="Y96" i="9"/>
  <c r="Z98" i="9"/>
  <c r="Q486" i="9"/>
  <c r="Q487" i="9"/>
  <c r="Q488" i="9"/>
  <c r="M486" i="9"/>
  <c r="M487" i="9"/>
  <c r="M488" i="9"/>
  <c r="E36" i="8"/>
  <c r="M32" i="8"/>
  <c r="K24" i="8"/>
  <c r="K38" i="8" s="1"/>
  <c r="F24" i="8"/>
  <c r="F38" i="8" s="1"/>
  <c r="S18" i="8"/>
  <c r="R521" i="9"/>
  <c r="R513" i="9" s="1"/>
  <c r="P521" i="9"/>
  <c r="P513" i="9" s="1"/>
  <c r="N521" i="9"/>
  <c r="N513" i="9" s="1"/>
  <c r="L521" i="9"/>
  <c r="L513" i="9" s="1"/>
  <c r="J521" i="9"/>
  <c r="J513" i="9" s="1"/>
  <c r="W386" i="9"/>
  <c r="X376" i="9"/>
  <c r="X374" i="9"/>
  <c r="W371" i="9"/>
  <c r="W369" i="9" s="1"/>
  <c r="W370" i="9" s="1"/>
  <c r="O370" i="9"/>
  <c r="V290" i="9"/>
  <c r="W290" i="9" s="1"/>
  <c r="X290" i="9" s="1"/>
  <c r="Y290" i="9" s="1"/>
  <c r="Z290" i="9" s="1"/>
  <c r="AA290" i="9" s="1"/>
  <c r="AB290" i="9" s="1"/>
  <c r="AC290" i="9" s="1"/>
  <c r="Y211" i="9"/>
  <c r="Z211" i="9" s="1"/>
  <c r="AA211" i="9" s="1"/>
  <c r="AB211" i="9" s="1"/>
  <c r="V164" i="9"/>
  <c r="V165" i="9" s="1"/>
  <c r="X162" i="9"/>
  <c r="X160" i="9"/>
  <c r="X158" i="9"/>
  <c r="AA150" i="9"/>
  <c r="AB135" i="9"/>
  <c r="AA134" i="9"/>
  <c r="X99" i="9"/>
  <c r="Z87" i="9"/>
  <c r="Z81" i="9" s="1"/>
  <c r="Z82" i="9" s="1"/>
  <c r="S10" i="8"/>
  <c r="X371" i="9"/>
  <c r="X369" i="9" s="1"/>
  <c r="X203" i="9"/>
  <c r="X216" i="9" s="1"/>
  <c r="AA87" i="9"/>
  <c r="AA81" i="9" s="1"/>
  <c r="AA82" i="9" s="1"/>
  <c r="Q183" i="13"/>
  <c r="O183" i="13"/>
  <c r="M183" i="13"/>
  <c r="M187" i="13" s="1"/>
  <c r="M165" i="13" s="1"/>
  <c r="M163" i="13" s="1"/>
  <c r="M161" i="13" s="1"/>
  <c r="K183" i="13"/>
  <c r="K187" i="13" s="1"/>
  <c r="K165" i="13" s="1"/>
  <c r="K163" i="13" s="1"/>
  <c r="K161" i="13" s="1"/>
  <c r="AT67" i="13"/>
  <c r="BP67" i="13" s="1"/>
  <c r="BM67" i="13"/>
  <c r="BG56" i="13"/>
  <c r="BH62" i="13"/>
  <c r="BB56" i="13"/>
  <c r="BC62" i="13"/>
  <c r="AV54" i="13"/>
  <c r="T56" i="13"/>
  <c r="AR54" i="13"/>
  <c r="R56" i="13"/>
  <c r="AN54" i="13"/>
  <c r="P56" i="13"/>
  <c r="AJ54" i="13"/>
  <c r="N56" i="13"/>
  <c r="BM35" i="13"/>
  <c r="BL56" i="13"/>
  <c r="L37" i="9"/>
  <c r="L481" i="9" s="1"/>
  <c r="J37" i="9"/>
  <c r="J481" i="9" s="1"/>
  <c r="H37" i="9"/>
  <c r="H38" i="9" s="1"/>
  <c r="M28" i="9"/>
  <c r="K28" i="9"/>
  <c r="X24" i="9"/>
  <c r="L24" i="9"/>
  <c r="L28" i="9" s="1"/>
  <c r="J24" i="9"/>
  <c r="J28" i="9" s="1"/>
  <c r="H24" i="9"/>
  <c r="H28" i="9" s="1"/>
  <c r="Y15" i="9"/>
  <c r="Y58" i="9" s="1"/>
  <c r="F46" i="11"/>
  <c r="AP46" i="11" s="1"/>
  <c r="D46" i="11"/>
  <c r="AN46" i="11" s="1"/>
  <c r="AR35" i="11"/>
  <c r="S251" i="13"/>
  <c r="Q251" i="13"/>
  <c r="O251" i="13"/>
  <c r="M251" i="13"/>
  <c r="K251" i="13"/>
  <c r="I251" i="13"/>
  <c r="I165" i="13"/>
  <c r="I163" i="13" s="1"/>
  <c r="I161" i="13" s="1"/>
  <c r="I160" i="13" s="1"/>
  <c r="E165" i="13"/>
  <c r="E163" i="13" s="1"/>
  <c r="E161" i="13" s="1"/>
  <c r="E146" i="7" s="1"/>
  <c r="U106" i="13"/>
  <c r="S106" i="13"/>
  <c r="Q106" i="13"/>
  <c r="O106" i="13"/>
  <c r="M106" i="13"/>
  <c r="K106" i="13"/>
  <c r="I106" i="13"/>
  <c r="G106" i="13"/>
  <c r="E106" i="13"/>
  <c r="BG65" i="13"/>
  <c r="BH74" i="13"/>
  <c r="BB65" i="13"/>
  <c r="BC74" i="13"/>
  <c r="BK74" i="13"/>
  <c r="BF74" i="13"/>
  <c r="BC67" i="13"/>
  <c r="AT60" i="13"/>
  <c r="BP60" i="13" s="1"/>
  <c r="BM60" i="13"/>
  <c r="AT58" i="13"/>
  <c r="BP58" i="13" s="1"/>
  <c r="BM58" i="13"/>
  <c r="BM25" i="13"/>
  <c r="BU25" i="13"/>
  <c r="T127" i="13"/>
  <c r="T126" i="13" s="1"/>
  <c r="R127" i="13"/>
  <c r="R126" i="13" s="1"/>
  <c r="P127" i="13"/>
  <c r="P126" i="13" s="1"/>
  <c r="N127" i="13"/>
  <c r="N137" i="7" s="1"/>
  <c r="L127" i="13"/>
  <c r="L137" i="7" s="1"/>
  <c r="J127" i="13"/>
  <c r="J126" i="13" s="1"/>
  <c r="H127" i="13"/>
  <c r="H126" i="13" s="1"/>
  <c r="F127" i="13"/>
  <c r="F137" i="7" s="1"/>
  <c r="BN65" i="13"/>
  <c r="AS65" i="13"/>
  <c r="AT65" i="13" s="1"/>
  <c r="AQ65" i="13"/>
  <c r="AR65" i="13" s="1"/>
  <c r="AO65" i="13"/>
  <c r="AP65" i="13" s="1"/>
  <c r="AM65" i="13"/>
  <c r="AN65" i="13" s="1"/>
  <c r="AK65" i="13"/>
  <c r="AL65" i="13" s="1"/>
  <c r="AI65" i="13"/>
  <c r="AJ65" i="13" s="1"/>
  <c r="AG65" i="13"/>
  <c r="AH65" i="13" s="1"/>
  <c r="BN56" i="13"/>
  <c r="AS56" i="13"/>
  <c r="AQ56" i="13"/>
  <c r="AO56" i="13"/>
  <c r="AP56" i="13" s="1"/>
  <c r="AM56" i="13"/>
  <c r="AK56" i="13"/>
  <c r="AI56" i="13"/>
  <c r="AG56" i="13"/>
  <c r="AN16" i="13"/>
  <c r="AT16" i="13"/>
  <c r="BP16" i="13" s="1"/>
  <c r="AP16" i="13"/>
  <c r="BF16" i="13" s="1"/>
  <c r="AL16" i="13"/>
  <c r="AH16" i="13"/>
  <c r="AO127" i="14"/>
  <c r="W127" i="14"/>
  <c r="AO126" i="14"/>
  <c r="AO125" i="14"/>
  <c r="AO124" i="14"/>
  <c r="AY123" i="14"/>
  <c r="AY119" i="14"/>
  <c r="AY112" i="14"/>
  <c r="BC107" i="14"/>
  <c r="AY106" i="14"/>
  <c r="BC105" i="14"/>
  <c r="AR105" i="14"/>
  <c r="AY102" i="14"/>
  <c r="BU105" i="14" s="1"/>
  <c r="AF102" i="14"/>
  <c r="AO98" i="14"/>
  <c r="AO89" i="14"/>
  <c r="AO85" i="14"/>
  <c r="AO82" i="14"/>
  <c r="BL81" i="14"/>
  <c r="BC81" i="14"/>
  <c r="AR76" i="14"/>
  <c r="Z76" i="14"/>
  <c r="AY74" i="14"/>
  <c r="AF74" i="14"/>
  <c r="AY73" i="14"/>
  <c r="AF73" i="14"/>
  <c r="BC70" i="14"/>
  <c r="AV70" i="14"/>
  <c r="AI70" i="14"/>
  <c r="AY69" i="14"/>
  <c r="AF69" i="14"/>
  <c r="AR68" i="14"/>
  <c r="Z68" i="14"/>
  <c r="AY66" i="14"/>
  <c r="AF66" i="14"/>
  <c r="W63" i="14"/>
  <c r="Z65" i="14"/>
  <c r="AW51" i="14"/>
  <c r="AY41" i="14"/>
  <c r="BC42" i="14"/>
  <c r="AS13" i="13"/>
  <c r="AQ13" i="13"/>
  <c r="AO13" i="13"/>
  <c r="AM13" i="13"/>
  <c r="AN13" i="13" s="1"/>
  <c r="AK13" i="13"/>
  <c r="AL13" i="13" s="1"/>
  <c r="AI13" i="13"/>
  <c r="AJ13" i="13" s="1"/>
  <c r="AG13" i="13"/>
  <c r="AH13" i="13" s="1"/>
  <c r="AF164" i="14"/>
  <c r="AY162" i="14"/>
  <c r="AF162" i="14"/>
  <c r="AO161" i="14"/>
  <c r="AY160" i="14"/>
  <c r="AF160" i="14"/>
  <c r="BC159" i="14"/>
  <c r="AO159" i="14"/>
  <c r="AY158" i="14"/>
  <c r="AF158" i="14"/>
  <c r="AO157" i="14"/>
  <c r="AO149" i="14"/>
  <c r="W149" i="14"/>
  <c r="AY142" i="14"/>
  <c r="AF142" i="14"/>
  <c r="AY50" i="14"/>
  <c r="BC51" i="14"/>
  <c r="BG19" i="14"/>
  <c r="AY63" i="14"/>
  <c r="AF63" i="14"/>
  <c r="AO61" i="14"/>
  <c r="AY59" i="14"/>
  <c r="AF59" i="14"/>
  <c r="AO57" i="14"/>
  <c r="W57" i="14"/>
  <c r="AO50" i="14"/>
  <c r="W50" i="14"/>
  <c r="AO41" i="14"/>
  <c r="W41" i="14"/>
  <c r="BC38" i="14"/>
  <c r="BR28" i="14"/>
  <c r="BC28" i="14"/>
  <c r="AI28" i="14"/>
  <c r="AY27" i="14"/>
  <c r="AF27" i="14"/>
  <c r="BH24" i="14"/>
  <c r="BL19" i="14"/>
  <c r="AR19" i="14"/>
  <c r="AO10" i="14"/>
  <c r="W10" i="14"/>
  <c r="AO8" i="14"/>
  <c r="W8" i="14"/>
  <c r="BT6" i="14"/>
  <c r="BC6" i="14"/>
  <c r="AV6" i="14"/>
  <c r="AY5" i="14"/>
  <c r="AF5" i="14"/>
  <c r="U256" i="13"/>
  <c r="S256" i="13"/>
  <c r="R256" i="13"/>
  <c r="O256" i="13"/>
  <c r="K256" i="13"/>
  <c r="J256" i="13"/>
  <c r="I256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S172" i="9"/>
  <c r="S174" i="9" s="1"/>
  <c r="S370" i="9"/>
  <c r="T370" i="9"/>
  <c r="S393" i="9"/>
  <c r="M275" i="9"/>
  <c r="M283" i="9"/>
  <c r="L275" i="9"/>
  <c r="L283" i="9"/>
  <c r="K275" i="9"/>
  <c r="K283" i="9"/>
  <c r="J275" i="9"/>
  <c r="J283" i="9"/>
  <c r="I275" i="9"/>
  <c r="I283" i="9"/>
  <c r="CC157" i="14"/>
  <c r="BV157" i="14" s="1"/>
  <c r="AR43" i="11"/>
  <c r="AS42" i="11"/>
  <c r="AS41" i="11"/>
  <c r="AS40" i="11"/>
  <c r="AS37" i="11"/>
  <c r="K45" i="11"/>
  <c r="AS45" i="11" s="1"/>
  <c r="BH5" i="14"/>
  <c r="BI6" i="14"/>
  <c r="Q38" i="9"/>
  <c r="Q481" i="9"/>
  <c r="BV73" i="14"/>
  <c r="R160" i="13"/>
  <c r="U126" i="13"/>
  <c r="M137" i="7"/>
  <c r="K126" i="13"/>
  <c r="K137" i="7"/>
  <c r="U132" i="7"/>
  <c r="U34" i="7"/>
  <c r="T34" i="7"/>
  <c r="S34" i="7"/>
  <c r="R34" i="7"/>
  <c r="Q34" i="7"/>
  <c r="P132" i="7"/>
  <c r="P34" i="7"/>
  <c r="O132" i="7"/>
  <c r="O34" i="7"/>
  <c r="M132" i="7"/>
  <c r="I132" i="7"/>
  <c r="U79" i="13"/>
  <c r="U81" i="7" s="1"/>
  <c r="U89" i="7"/>
  <c r="T79" i="13"/>
  <c r="T81" i="7" s="1"/>
  <c r="T89" i="7"/>
  <c r="S79" i="13"/>
  <c r="S81" i="7" s="1"/>
  <c r="S89" i="7"/>
  <c r="U31" i="7"/>
  <c r="U102" i="7"/>
  <c r="T31" i="7"/>
  <c r="T102" i="7"/>
  <c r="S31" i="7"/>
  <c r="S102" i="7"/>
  <c r="R31" i="7"/>
  <c r="R102" i="7"/>
  <c r="Q31" i="7"/>
  <c r="Q102" i="7"/>
  <c r="P31" i="7"/>
  <c r="P102" i="7"/>
  <c r="O31" i="7"/>
  <c r="O102" i="7"/>
  <c r="N31" i="7"/>
  <c r="N102" i="7"/>
  <c r="M31" i="7"/>
  <c r="M102" i="7"/>
  <c r="L31" i="7"/>
  <c r="L102" i="7"/>
  <c r="K31" i="7"/>
  <c r="K102" i="7"/>
  <c r="J31" i="7"/>
  <c r="J102" i="7"/>
  <c r="I31" i="7"/>
  <c r="I102" i="7"/>
  <c r="H31" i="7"/>
  <c r="H102" i="7"/>
  <c r="G31" i="7"/>
  <c r="G102" i="7"/>
  <c r="F31" i="7"/>
  <c r="F102" i="7"/>
  <c r="E31" i="7"/>
  <c r="E102" i="7"/>
  <c r="BG127" i="14"/>
  <c r="BH128" i="14"/>
  <c r="BG102" i="14"/>
  <c r="BH104" i="14"/>
  <c r="BG74" i="14"/>
  <c r="BR6" i="14"/>
  <c r="BG27" i="14"/>
  <c r="BH107" i="14"/>
  <c r="T211" i="7"/>
  <c r="O211" i="7"/>
  <c r="L211" i="7"/>
  <c r="K211" i="7"/>
  <c r="P408" i="9"/>
  <c r="P415" i="9" s="1"/>
  <c r="O408" i="9"/>
  <c r="O415" i="9" s="1"/>
  <c r="N408" i="9"/>
  <c r="N415" i="9" s="1"/>
  <c r="W202" i="9"/>
  <c r="BH157" i="14"/>
  <c r="BC157" i="14"/>
  <c r="AW157" i="14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U53" i="7"/>
  <c r="T53" i="7"/>
  <c r="S53" i="7"/>
  <c r="R53" i="7"/>
  <c r="Q53" i="7"/>
  <c r="U5" i="7"/>
  <c r="V7" i="7" s="1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P69" i="8"/>
  <c r="P70" i="8" s="1"/>
  <c r="M69" i="8"/>
  <c r="M70" i="8" s="1"/>
  <c r="P65" i="8"/>
  <c r="P66" i="8" s="1"/>
  <c r="M65" i="8"/>
  <c r="M66" i="8" s="1"/>
  <c r="W19" i="8"/>
  <c r="T267" i="9"/>
  <c r="S267" i="9"/>
  <c r="Y51" i="9"/>
  <c r="K47" i="9"/>
  <c r="F17" i="11"/>
  <c r="AP17" i="11" s="1"/>
  <c r="E17" i="11"/>
  <c r="AO17" i="11" s="1"/>
  <c r="D17" i="11"/>
  <c r="AN17" i="11" s="1"/>
  <c r="F16" i="11"/>
  <c r="AP16" i="11" s="1"/>
  <c r="E16" i="11"/>
  <c r="AO16" i="11" s="1"/>
  <c r="D16" i="11"/>
  <c r="AN16" i="11" s="1"/>
  <c r="F12" i="11"/>
  <c r="E12" i="11"/>
  <c r="D12" i="11"/>
  <c r="C12" i="11"/>
  <c r="AM12" i="11" s="1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AW159" i="14"/>
  <c r="AV159" i="14"/>
  <c r="S11" i="8" l="1"/>
  <c r="S92" i="8"/>
  <c r="J90" i="8"/>
  <c r="J92" i="8" s="1"/>
  <c r="K86" i="8"/>
  <c r="K85" i="8"/>
  <c r="W65" i="14"/>
  <c r="W68" i="14"/>
  <c r="T227" i="7"/>
  <c r="T40" i="7"/>
  <c r="Q40" i="7"/>
  <c r="S40" i="7"/>
  <c r="R227" i="7"/>
  <c r="U101" i="7"/>
  <c r="U227" i="7"/>
  <c r="V227" i="7"/>
  <c r="R40" i="7"/>
  <c r="AN56" i="13"/>
  <c r="F85" i="8"/>
  <c r="AF6" i="14"/>
  <c r="W71" i="14"/>
  <c r="Q39" i="7"/>
  <c r="Q38" i="7"/>
  <c r="V39" i="7"/>
  <c r="R128" i="7"/>
  <c r="S39" i="7"/>
  <c r="S38" i="7"/>
  <c r="X39" i="7"/>
  <c r="V38" i="7"/>
  <c r="F197" i="7"/>
  <c r="F203" i="7" s="1"/>
  <c r="U38" i="7"/>
  <c r="U39" i="7"/>
  <c r="Z39" i="7"/>
  <c r="X38" i="7"/>
  <c r="R39" i="7"/>
  <c r="R38" i="7"/>
  <c r="W39" i="7"/>
  <c r="T38" i="7"/>
  <c r="T39" i="7"/>
  <c r="Y39" i="7"/>
  <c r="W38" i="7"/>
  <c r="E7" i="7"/>
  <c r="F180" i="7"/>
  <c r="Q256" i="13"/>
  <c r="I128" i="7"/>
  <c r="N256" i="13"/>
  <c r="Q225" i="7"/>
  <c r="F7" i="7"/>
  <c r="AJ168" i="14"/>
  <c r="N62" i="7"/>
  <c r="N61" i="7" s="1"/>
  <c r="G228" i="7"/>
  <c r="G6" i="7"/>
  <c r="T190" i="13"/>
  <c r="Q190" i="13"/>
  <c r="O190" i="13"/>
  <c r="S6" i="7"/>
  <c r="D62" i="7"/>
  <c r="P36" i="13"/>
  <c r="L184" i="7"/>
  <c r="V168" i="14"/>
  <c r="U168" i="14"/>
  <c r="T168" i="14"/>
  <c r="AA170" i="14"/>
  <c r="AS168" i="14"/>
  <c r="F62" i="7"/>
  <c r="K6" i="7"/>
  <c r="U190" i="13"/>
  <c r="R190" i="13"/>
  <c r="AE169" i="14"/>
  <c r="AC169" i="14"/>
  <c r="AD169" i="14"/>
  <c r="T6" i="7"/>
  <c r="E62" i="7"/>
  <c r="H36" i="13"/>
  <c r="K157" i="7"/>
  <c r="G220" i="7"/>
  <c r="S190" i="13"/>
  <c r="AN169" i="14"/>
  <c r="AL169" i="14"/>
  <c r="AM169" i="14"/>
  <c r="BE168" i="14"/>
  <c r="I62" i="7"/>
  <c r="O154" i="7"/>
  <c r="J36" i="13"/>
  <c r="G62" i="7"/>
  <c r="F228" i="7"/>
  <c r="O6" i="7"/>
  <c r="P190" i="13"/>
  <c r="J157" i="7"/>
  <c r="N155" i="7"/>
  <c r="E220" i="7"/>
  <c r="U6" i="7"/>
  <c r="L36" i="13"/>
  <c r="E228" i="7"/>
  <c r="J261" i="13"/>
  <c r="F220" i="7"/>
  <c r="T55" i="7"/>
  <c r="AH72" i="7"/>
  <c r="AV169" i="14"/>
  <c r="AW169" i="14"/>
  <c r="AU169" i="14"/>
  <c r="O482" i="9"/>
  <c r="L86" i="8"/>
  <c r="O85" i="8"/>
  <c r="E97" i="8"/>
  <c r="T67" i="8"/>
  <c r="F90" i="8"/>
  <c r="F97" i="8"/>
  <c r="F86" i="8"/>
  <c r="L90" i="8"/>
  <c r="L92" i="8" s="1"/>
  <c r="M84" i="8"/>
  <c r="M86" i="8" s="1"/>
  <c r="M34" i="8"/>
  <c r="AD60" i="8"/>
  <c r="AC60" i="8"/>
  <c r="S73" i="8"/>
  <c r="AK20" i="9"/>
  <c r="AL20" i="9" s="1"/>
  <c r="AM20" i="9" s="1"/>
  <c r="AN20" i="9" s="1"/>
  <c r="AO20" i="9" s="1"/>
  <c r="AP20" i="9" s="1"/>
  <c r="AH20" i="9"/>
  <c r="AH21" i="9"/>
  <c r="O483" i="9"/>
  <c r="P68" i="9"/>
  <c r="X28" i="9"/>
  <c r="Y28" i="9" s="1"/>
  <c r="Y29" i="9" s="1"/>
  <c r="Y32" i="9" s="1"/>
  <c r="O50" i="9"/>
  <c r="O485" i="9" s="1"/>
  <c r="O486" i="9" s="1"/>
  <c r="O61" i="9"/>
  <c r="X35" i="9"/>
  <c r="X61" i="9" s="1"/>
  <c r="U267" i="9"/>
  <c r="P484" i="9"/>
  <c r="N68" i="9"/>
  <c r="M128" i="7"/>
  <c r="K132" i="7"/>
  <c r="N180" i="7"/>
  <c r="J197" i="7"/>
  <c r="J203" i="7" s="1"/>
  <c r="J187" i="7"/>
  <c r="Q128" i="7"/>
  <c r="O36" i="13"/>
  <c r="E137" i="7"/>
  <c r="O137" i="7"/>
  <c r="AT56" i="13"/>
  <c r="BP56" i="13" s="1"/>
  <c r="X22" i="9"/>
  <c r="G137" i="7"/>
  <c r="S137" i="7"/>
  <c r="M225" i="7"/>
  <c r="N225" i="7"/>
  <c r="H137" i="7"/>
  <c r="M256" i="13"/>
  <c r="J128" i="7"/>
  <c r="R261" i="13"/>
  <c r="T225" i="7"/>
  <c r="BG10" i="14"/>
  <c r="N50" i="9"/>
  <c r="N485" i="9" s="1"/>
  <c r="N486" i="9" s="1"/>
  <c r="P482" i="9"/>
  <c r="O68" i="9"/>
  <c r="P483" i="9"/>
  <c r="N61" i="9"/>
  <c r="C14" i="11"/>
  <c r="AM14" i="11" s="1"/>
  <c r="I187" i="7"/>
  <c r="O62" i="7"/>
  <c r="O61" i="7" s="1"/>
  <c r="E128" i="7"/>
  <c r="R180" i="7"/>
  <c r="O128" i="7"/>
  <c r="E180" i="7"/>
  <c r="AF11" i="14"/>
  <c r="AO11" i="14"/>
  <c r="AY11" i="14"/>
  <c r="BH76" i="14"/>
  <c r="T180" i="7"/>
  <c r="S483" i="9"/>
  <c r="Y130" i="9"/>
  <c r="O180" i="7"/>
  <c r="O146" i="7"/>
  <c r="N128" i="7"/>
  <c r="G128" i="7"/>
  <c r="Q132" i="7"/>
  <c r="I126" i="13"/>
  <c r="P160" i="13"/>
  <c r="O29" i="7"/>
  <c r="F128" i="7"/>
  <c r="BU65" i="13"/>
  <c r="N483" i="9"/>
  <c r="Q146" i="7"/>
  <c r="L256" i="13"/>
  <c r="N484" i="9"/>
  <c r="L225" i="7"/>
  <c r="K182" i="7"/>
  <c r="H69" i="8"/>
  <c r="R70" i="8"/>
  <c r="F160" i="13"/>
  <c r="H143" i="7"/>
  <c r="U146" i="7"/>
  <c r="N482" i="9"/>
  <c r="L126" i="13"/>
  <c r="R143" i="7"/>
  <c r="E187" i="7"/>
  <c r="T137" i="7"/>
  <c r="E160" i="13"/>
  <c r="T256" i="13"/>
  <c r="V189" i="7"/>
  <c r="S187" i="7"/>
  <c r="S55" i="7"/>
  <c r="G132" i="7"/>
  <c r="S143" i="7"/>
  <c r="G182" i="7"/>
  <c r="O182" i="7"/>
  <c r="K188" i="7"/>
  <c r="N220" i="7"/>
  <c r="V55" i="7"/>
  <c r="Q186" i="7"/>
  <c r="H256" i="13"/>
  <c r="U128" i="7"/>
  <c r="E184" i="7"/>
  <c r="U189" i="7"/>
  <c r="R184" i="7"/>
  <c r="U220" i="7"/>
  <c r="J132" i="7"/>
  <c r="I220" i="7"/>
  <c r="E157" i="7"/>
  <c r="J228" i="7"/>
  <c r="U184" i="7"/>
  <c r="Q29" i="7"/>
  <c r="K220" i="7"/>
  <c r="H225" i="7"/>
  <c r="H261" i="13" s="1"/>
  <c r="S52" i="8"/>
  <c r="S53" i="8" s="1"/>
  <c r="S54" i="8" s="1"/>
  <c r="D14" i="11"/>
  <c r="AN14" i="11" s="1"/>
  <c r="R62" i="7"/>
  <c r="R61" i="7" s="1"/>
  <c r="O220" i="7"/>
  <c r="Q55" i="7"/>
  <c r="R29" i="7"/>
  <c r="U186" i="7"/>
  <c r="Q187" i="7"/>
  <c r="U187" i="7"/>
  <c r="J62" i="7"/>
  <c r="M220" i="7"/>
  <c r="U24" i="7"/>
  <c r="R55" i="7"/>
  <c r="U55" i="7"/>
  <c r="S65" i="8"/>
  <c r="S66" i="8" s="1"/>
  <c r="U71" i="8"/>
  <c r="V23" i="8"/>
  <c r="W23" i="8" s="1"/>
  <c r="W71" i="8" s="1"/>
  <c r="T71" i="8"/>
  <c r="T70" i="8" s="1"/>
  <c r="T62" i="7"/>
  <c r="T61" i="7" s="1"/>
  <c r="Z83" i="9"/>
  <c r="P220" i="7"/>
  <c r="S29" i="7"/>
  <c r="I186" i="7"/>
  <c r="D184" i="7"/>
  <c r="M187" i="7"/>
  <c r="U203" i="7"/>
  <c r="O188" i="7"/>
  <c r="M186" i="7"/>
  <c r="D157" i="7"/>
  <c r="R228" i="7"/>
  <c r="M143" i="7"/>
  <c r="F317" i="9"/>
  <c r="F167" i="9"/>
  <c r="J160" i="13"/>
  <c r="J146" i="7"/>
  <c r="Q36" i="13"/>
  <c r="Q62" i="7"/>
  <c r="Q61" i="7" s="1"/>
  <c r="L132" i="7"/>
  <c r="T132" i="7"/>
  <c r="N126" i="13"/>
  <c r="S160" i="13"/>
  <c r="U143" i="7"/>
  <c r="E186" i="7"/>
  <c r="F14" i="11"/>
  <c r="G15" i="11" s="1"/>
  <c r="AQ15" i="11" s="1"/>
  <c r="L220" i="7"/>
  <c r="F126" i="13"/>
  <c r="AL56" i="13"/>
  <c r="E143" i="7"/>
  <c r="P143" i="7"/>
  <c r="T29" i="7"/>
  <c r="H128" i="7"/>
  <c r="K184" i="7"/>
  <c r="K180" i="7"/>
  <c r="H180" i="7"/>
  <c r="U96" i="7"/>
  <c r="M203" i="7"/>
  <c r="L62" i="7"/>
  <c r="Q220" i="7"/>
  <c r="N132" i="7"/>
  <c r="F157" i="7"/>
  <c r="N143" i="7"/>
  <c r="K128" i="7"/>
  <c r="L157" i="7"/>
  <c r="BS56" i="13"/>
  <c r="G7" i="13"/>
  <c r="K4" i="9" s="1"/>
  <c r="H5" i="13"/>
  <c r="H4" i="7" s="1"/>
  <c r="H157" i="7"/>
  <c r="I203" i="7"/>
  <c r="P137" i="7"/>
  <c r="T146" i="7"/>
  <c r="R24" i="8"/>
  <c r="R38" i="8" s="1"/>
  <c r="K143" i="7"/>
  <c r="F4" i="7"/>
  <c r="F93" i="7" s="1"/>
  <c r="F143" i="7"/>
  <c r="N165" i="13"/>
  <c r="N163" i="13" s="1"/>
  <c r="N161" i="13" s="1"/>
  <c r="N160" i="13" s="1"/>
  <c r="G7" i="7"/>
  <c r="T220" i="7"/>
  <c r="S132" i="7"/>
  <c r="G160" i="13"/>
  <c r="L146" i="7"/>
  <c r="Y380" i="9"/>
  <c r="M157" i="7"/>
  <c r="N29" i="7"/>
  <c r="U29" i="7"/>
  <c r="F7" i="13"/>
  <c r="J4" i="9" s="1"/>
  <c r="E122" i="7"/>
  <c r="P128" i="7"/>
  <c r="F184" i="7"/>
  <c r="S186" i="7"/>
  <c r="T21" i="8"/>
  <c r="T24" i="8" s="1"/>
  <c r="U24" i="8" s="1"/>
  <c r="V24" i="8" s="1"/>
  <c r="W24" i="8" s="1"/>
  <c r="X24" i="8" s="1"/>
  <c r="Y24" i="8" s="1"/>
  <c r="Z24" i="8" s="1"/>
  <c r="AA24" i="8" s="1"/>
  <c r="Q203" i="7"/>
  <c r="H132" i="7"/>
  <c r="Q126" i="13"/>
  <c r="I146" i="7"/>
  <c r="AV56" i="13"/>
  <c r="L143" i="7"/>
  <c r="F193" i="13"/>
  <c r="P180" i="7"/>
  <c r="F182" i="7"/>
  <c r="K203" i="7"/>
  <c r="S203" i="7"/>
  <c r="H220" i="7"/>
  <c r="R137" i="7"/>
  <c r="X164" i="9"/>
  <c r="X165" i="9" s="1"/>
  <c r="E203" i="7"/>
  <c r="R483" i="9"/>
  <c r="E93" i="7"/>
  <c r="P225" i="7"/>
  <c r="X66" i="8"/>
  <c r="S180" i="7"/>
  <c r="J184" i="7"/>
  <c r="S62" i="7"/>
  <c r="S61" i="7" s="1"/>
  <c r="S220" i="7"/>
  <c r="R132" i="7"/>
  <c r="J137" i="7"/>
  <c r="H146" i="7"/>
  <c r="AH56" i="13"/>
  <c r="E57" i="8"/>
  <c r="E43" i="8" s="1"/>
  <c r="Y384" i="9"/>
  <c r="Q143" i="7"/>
  <c r="I157" i="7"/>
  <c r="P29" i="7"/>
  <c r="E91" i="8"/>
  <c r="L180" i="7"/>
  <c r="AF62" i="7"/>
  <c r="N203" i="7"/>
  <c r="P256" i="13"/>
  <c r="AJ56" i="13"/>
  <c r="AR56" i="13"/>
  <c r="BK56" i="13" s="1"/>
  <c r="E71" i="8"/>
  <c r="E73" i="8" s="1"/>
  <c r="E62" i="8" s="1"/>
  <c r="S128" i="7"/>
  <c r="I184" i="7"/>
  <c r="T10" i="8"/>
  <c r="T11" i="8" s="1"/>
  <c r="J143" i="7"/>
  <c r="J317" i="9"/>
  <c r="D167" i="9"/>
  <c r="D317" i="9"/>
  <c r="AG240" i="9"/>
  <c r="GZ159" i="14"/>
  <c r="GY159" i="14" s="1"/>
  <c r="M29" i="7"/>
  <c r="G71" i="8"/>
  <c r="G73" i="8" s="1"/>
  <c r="G62" i="8" s="1"/>
  <c r="S69" i="8"/>
  <c r="S70" i="8" s="1"/>
  <c r="S5" i="8"/>
  <c r="S26" i="8" s="1"/>
  <c r="S27" i="8" s="1"/>
  <c r="E317" i="9"/>
  <c r="K62" i="7"/>
  <c r="P62" i="7"/>
  <c r="P61" i="7" s="1"/>
  <c r="G143" i="7"/>
  <c r="O143" i="7"/>
  <c r="G188" i="7"/>
  <c r="T189" i="7"/>
  <c r="T143" i="7"/>
  <c r="I36" i="13"/>
  <c r="S36" i="13"/>
  <c r="H62" i="7"/>
  <c r="J220" i="7"/>
  <c r="R220" i="7"/>
  <c r="I143" i="7"/>
  <c r="L128" i="7"/>
  <c r="K36" i="13"/>
  <c r="E14" i="11"/>
  <c r="E36" i="11" s="1"/>
  <c r="M184" i="7"/>
  <c r="S189" i="7"/>
  <c r="F188" i="7"/>
  <c r="G184" i="7"/>
  <c r="G157" i="7"/>
  <c r="H184" i="7"/>
  <c r="T184" i="7"/>
  <c r="S184" i="7"/>
  <c r="K160" i="13"/>
  <c r="K146" i="7"/>
  <c r="K37" i="7"/>
  <c r="X14" i="9"/>
  <c r="X57" i="9" s="1"/>
  <c r="AV16" i="13"/>
  <c r="BU16" i="13" s="1"/>
  <c r="T23" i="7"/>
  <c r="S37" i="7"/>
  <c r="E192" i="7"/>
  <c r="E12" i="7"/>
  <c r="I167" i="9"/>
  <c r="P189" i="7"/>
  <c r="R189" i="7"/>
  <c r="D148" i="7"/>
  <c r="K103" i="7"/>
  <c r="S79" i="8"/>
  <c r="E167" i="9"/>
  <c r="J167" i="9"/>
  <c r="G285" i="9"/>
  <c r="I317" i="9"/>
  <c r="H317" i="9"/>
  <c r="H167" i="9"/>
  <c r="AO76" i="14"/>
  <c r="AF70" i="14"/>
  <c r="AY76" i="14"/>
  <c r="K317" i="9"/>
  <c r="G167" i="9"/>
  <c r="G317" i="9"/>
  <c r="K167" i="9"/>
  <c r="Z49" i="8"/>
  <c r="Z66" i="8" s="1"/>
  <c r="Y66" i="8"/>
  <c r="AA83" i="9"/>
  <c r="Y209" i="9"/>
  <c r="Y202" i="9" s="1"/>
  <c r="Y126" i="9"/>
  <c r="Y369" i="9"/>
  <c r="Y172" i="9" s="1"/>
  <c r="Y22" i="9"/>
  <c r="W372" i="9"/>
  <c r="AC135" i="9"/>
  <c r="AD135" i="9" s="1"/>
  <c r="G36" i="13"/>
  <c r="G203" i="7"/>
  <c r="O203" i="7"/>
  <c r="R203" i="7"/>
  <c r="G37" i="7"/>
  <c r="V269" i="9"/>
  <c r="V267" i="9" s="1"/>
  <c r="F71" i="8"/>
  <c r="F73" i="8" s="1"/>
  <c r="F62" i="8" s="1"/>
  <c r="S46" i="8"/>
  <c r="S47" i="8" s="1"/>
  <c r="X202" i="9"/>
  <c r="Q80" i="8"/>
  <c r="Q79" i="8"/>
  <c r="W47" i="9"/>
  <c r="W50" i="9" s="1"/>
  <c r="X47" i="9"/>
  <c r="X45" i="9" s="1"/>
  <c r="Y47" i="9"/>
  <c r="Y45" i="9" s="1"/>
  <c r="S103" i="7"/>
  <c r="AD46" i="9"/>
  <c r="AC129" i="9"/>
  <c r="AC131" i="9" s="1"/>
  <c r="AC126" i="9" s="1"/>
  <c r="AE215" i="9"/>
  <c r="Y372" i="9"/>
  <c r="AD290" i="9"/>
  <c r="AE85" i="9"/>
  <c r="AD127" i="9"/>
  <c r="AE174" i="9"/>
  <c r="AE206" i="9"/>
  <c r="AE208" i="9"/>
  <c r="AC211" i="9"/>
  <c r="AD133" i="9"/>
  <c r="Z7" i="9"/>
  <c r="Y313" i="9"/>
  <c r="H7" i="9"/>
  <c r="G313" i="9"/>
  <c r="L487" i="9"/>
  <c r="Z97" i="9"/>
  <c r="Y97" i="9"/>
  <c r="DK36" i="14"/>
  <c r="DE35" i="14"/>
  <c r="DI35" i="14"/>
  <c r="P80" i="8"/>
  <c r="N91" i="8"/>
  <c r="Q91" i="8"/>
  <c r="BF65" i="13"/>
  <c r="AE238" i="9"/>
  <c r="GI157" i="14"/>
  <c r="GH157" i="14" s="1"/>
  <c r="GG157" i="14" s="1"/>
  <c r="Y59" i="8"/>
  <c r="Z46" i="8"/>
  <c r="AA46" i="8" s="1"/>
  <c r="AB46" i="8" s="1"/>
  <c r="K38" i="9"/>
  <c r="L488" i="9"/>
  <c r="BK65" i="13"/>
  <c r="AF28" i="14"/>
  <c r="K28" i="11"/>
  <c r="K33" i="11"/>
  <c r="AE101" i="9"/>
  <c r="AD102" i="9"/>
  <c r="W251" i="9"/>
  <c r="W248" i="9" s="1"/>
  <c r="X372" i="9"/>
  <c r="AD91" i="9"/>
  <c r="AE91" i="9" s="1"/>
  <c r="IB158" i="14"/>
  <c r="HY158" i="14" s="1"/>
  <c r="AF237" i="9"/>
  <c r="W104" i="14"/>
  <c r="AF128" i="14"/>
  <c r="AT43" i="11"/>
  <c r="DJ157" i="14"/>
  <c r="DF157" i="14" s="1"/>
  <c r="X19" i="8"/>
  <c r="AO70" i="14"/>
  <c r="H188" i="7"/>
  <c r="L188" i="7"/>
  <c r="P188" i="7"/>
  <c r="T188" i="7"/>
  <c r="N188" i="7"/>
  <c r="R188" i="7"/>
  <c r="AF76" i="14"/>
  <c r="K50" i="11"/>
  <c r="AS50" i="11" s="1"/>
  <c r="AY128" i="14"/>
  <c r="L418" i="9"/>
  <c r="X62" i="9"/>
  <c r="D73" i="8"/>
  <c r="D62" i="8" s="1"/>
  <c r="D42" i="8" s="1"/>
  <c r="G103" i="7"/>
  <c r="O103" i="7"/>
  <c r="M146" i="7"/>
  <c r="M160" i="13"/>
  <c r="Q189" i="7"/>
  <c r="T128" i="7"/>
  <c r="G91" i="13"/>
  <c r="G193" i="13"/>
  <c r="G4" i="7"/>
  <c r="I370" i="9"/>
  <c r="M512" i="9"/>
  <c r="M496" i="9" s="1"/>
  <c r="M498" i="9" s="1"/>
  <c r="M503" i="9" s="1"/>
  <c r="Q512" i="9"/>
  <c r="Q496" i="9" s="1"/>
  <c r="Q506" i="9" s="1"/>
  <c r="Q507" i="9" s="1"/>
  <c r="Q508" i="9" s="1"/>
  <c r="AY159" i="14"/>
  <c r="AY44" i="14"/>
  <c r="AO6" i="14"/>
  <c r="AY19" i="14"/>
  <c r="S484" i="9"/>
  <c r="L512" i="9"/>
  <c r="L496" i="9" s="1"/>
  <c r="L506" i="9" s="1"/>
  <c r="L507" i="9" s="1"/>
  <c r="L508" i="9" s="1"/>
  <c r="P512" i="9"/>
  <c r="P496" i="9" s="1"/>
  <c r="P506" i="9" s="1"/>
  <c r="P507" i="9" s="1"/>
  <c r="K512" i="9"/>
  <c r="K496" i="9" s="1"/>
  <c r="K506" i="9" s="1"/>
  <c r="K507" i="9" s="1"/>
  <c r="K508" i="9" s="1"/>
  <c r="O512" i="9"/>
  <c r="O496" i="9" s="1"/>
  <c r="O498" i="9" s="1"/>
  <c r="O503" i="9" s="1"/>
  <c r="S512" i="9"/>
  <c r="S496" i="9" s="1"/>
  <c r="S498" i="9" s="1"/>
  <c r="D285" i="9"/>
  <c r="N509" i="9"/>
  <c r="AB238" i="9"/>
  <c r="AA238" i="9"/>
  <c r="AS43" i="11"/>
  <c r="H203" i="7"/>
  <c r="L203" i="7"/>
  <c r="P203" i="7"/>
  <c r="T203" i="7"/>
  <c r="M62" i="7"/>
  <c r="V37" i="7"/>
  <c r="U62" i="7"/>
  <c r="U61" i="7" s="1"/>
  <c r="P184" i="7"/>
  <c r="M36" i="13"/>
  <c r="U36" i="13"/>
  <c r="O37" i="7"/>
  <c r="N36" i="13"/>
  <c r="R36" i="13"/>
  <c r="T36" i="13"/>
  <c r="D185" i="7"/>
  <c r="CJ6" i="14"/>
  <c r="CJ71" i="14"/>
  <c r="K413" i="9"/>
  <c r="M481" i="9"/>
  <c r="M483" i="9" s="1"/>
  <c r="H370" i="9"/>
  <c r="G370" i="9"/>
  <c r="J512" i="9"/>
  <c r="J496" i="9" s="1"/>
  <c r="J506" i="9" s="1"/>
  <c r="J507" i="9" s="1"/>
  <c r="J508" i="9" s="1"/>
  <c r="N512" i="9"/>
  <c r="N496" i="9" s="1"/>
  <c r="R512" i="9"/>
  <c r="R496" i="9" s="1"/>
  <c r="M418" i="9"/>
  <c r="L38" i="9"/>
  <c r="F370" i="9"/>
  <c r="R484" i="9"/>
  <c r="O484" i="9"/>
  <c r="G430" i="9"/>
  <c r="G413" i="9"/>
  <c r="P509" i="9"/>
  <c r="BU51" i="14"/>
  <c r="BU42" i="14"/>
  <c r="BU129" i="14"/>
  <c r="BV129" i="14"/>
  <c r="AC147" i="9"/>
  <c r="AT34" i="11"/>
  <c r="AB147" i="9"/>
  <c r="M25" i="7"/>
  <c r="N25" i="7"/>
  <c r="I37" i="7"/>
  <c r="I103" i="7"/>
  <c r="Q37" i="7"/>
  <c r="Q103" i="7"/>
  <c r="Q184" i="7"/>
  <c r="K261" i="13"/>
  <c r="K228" i="7"/>
  <c r="O261" i="13"/>
  <c r="O228" i="7"/>
  <c r="S261" i="13"/>
  <c r="S228" i="7"/>
  <c r="O25" i="7"/>
  <c r="P25" i="7"/>
  <c r="E36" i="13"/>
  <c r="E37" i="7"/>
  <c r="E103" i="7"/>
  <c r="M37" i="7"/>
  <c r="M103" i="7"/>
  <c r="U37" i="7"/>
  <c r="U103" i="7"/>
  <c r="O184" i="7"/>
  <c r="I261" i="13"/>
  <c r="I228" i="7"/>
  <c r="U261" i="13"/>
  <c r="U228" i="7"/>
  <c r="D37" i="7"/>
  <c r="D103" i="7"/>
  <c r="F36" i="13"/>
  <c r="F37" i="7"/>
  <c r="F103" i="7"/>
  <c r="H37" i="7"/>
  <c r="H103" i="7"/>
  <c r="J37" i="7"/>
  <c r="J103" i="7"/>
  <c r="L37" i="7"/>
  <c r="L103" i="7"/>
  <c r="N37" i="7"/>
  <c r="N103" i="7"/>
  <c r="P37" i="7"/>
  <c r="P103" i="7"/>
  <c r="R37" i="7"/>
  <c r="R103" i="7"/>
  <c r="T37" i="7"/>
  <c r="T103" i="7"/>
  <c r="AY105" i="14"/>
  <c r="AY36" i="14"/>
  <c r="AW36" i="14" s="1"/>
  <c r="AN46" i="14"/>
  <c r="AO46" i="14" s="1"/>
  <c r="AY47" i="14" s="1"/>
  <c r="BT46" i="14"/>
  <c r="CL47" i="14" s="1"/>
  <c r="BA37" i="14"/>
  <c r="AP37" i="14" s="1"/>
  <c r="AN37" i="14"/>
  <c r="AO37" i="14" s="1"/>
  <c r="AY38" i="14" s="1"/>
  <c r="AN48" i="14"/>
  <c r="AO48" i="14" s="1"/>
  <c r="AY49" i="14" s="1"/>
  <c r="BT48" i="14"/>
  <c r="BC56" i="13"/>
  <c r="BC65" i="13"/>
  <c r="BM65" i="13"/>
  <c r="BV34" i="14"/>
  <c r="CC34" i="14"/>
  <c r="CE34" i="14"/>
  <c r="E430" i="9"/>
  <c r="E413" i="9"/>
  <c r="I430" i="9"/>
  <c r="I413" i="9"/>
  <c r="J38" i="9"/>
  <c r="BF56" i="13"/>
  <c r="BH56" i="13"/>
  <c r="AW79" i="14"/>
  <c r="AW80" i="14"/>
  <c r="W76" i="14"/>
  <c r="BH65" i="13"/>
  <c r="BM56" i="13"/>
  <c r="E370" i="9"/>
  <c r="J370" i="9"/>
  <c r="BP65" i="13"/>
  <c r="AW81" i="14"/>
  <c r="BG81" i="14" s="1"/>
  <c r="AY28" i="14"/>
  <c r="AO104" i="14"/>
  <c r="BG77" i="14"/>
  <c r="AY104" i="14"/>
  <c r="AY80" i="14"/>
  <c r="AY79" i="14"/>
  <c r="AY6" i="14"/>
  <c r="AO71" i="14"/>
  <c r="AY70" i="14"/>
  <c r="AY34" i="14"/>
  <c r="AO68" i="14"/>
  <c r="AY129" i="14"/>
  <c r="AO65" i="14"/>
  <c r="BR38" i="14"/>
  <c r="F413" i="9"/>
  <c r="F430" i="9"/>
  <c r="J413" i="9"/>
  <c r="J430" i="9"/>
  <c r="H413" i="9"/>
  <c r="H430" i="9"/>
  <c r="AF71" i="14"/>
  <c r="AY71" i="14"/>
  <c r="BY165" i="14"/>
  <c r="AF65" i="14"/>
  <c r="AO28" i="14"/>
  <c r="AY51" i="14"/>
  <c r="AR13" i="13"/>
  <c r="BK13" i="13" s="1"/>
  <c r="BH13" i="13"/>
  <c r="AY42" i="14"/>
  <c r="AF68" i="14"/>
  <c r="AO128" i="14"/>
  <c r="AT20" i="11"/>
  <c r="AB72" i="9"/>
  <c r="AB142" i="9"/>
  <c r="AA129" i="9"/>
  <c r="AA168" i="9"/>
  <c r="Z259" i="9"/>
  <c r="Z261" i="9"/>
  <c r="AA175" i="9"/>
  <c r="X288" i="9"/>
  <c r="Y289" i="9"/>
  <c r="U10" i="8"/>
  <c r="V15" i="8"/>
  <c r="U67" i="8"/>
  <c r="P35" i="8"/>
  <c r="G44" i="8"/>
  <c r="F48" i="8"/>
  <c r="F50" i="8" s="1"/>
  <c r="Z262" i="9"/>
  <c r="AA178" i="9"/>
  <c r="Z380" i="9"/>
  <c r="AA379" i="9"/>
  <c r="Y382" i="9"/>
  <c r="Z381" i="9"/>
  <c r="Z384" i="9"/>
  <c r="AA383" i="9"/>
  <c r="Z385" i="9"/>
  <c r="Y386" i="9"/>
  <c r="N38" i="8"/>
  <c r="U65" i="8"/>
  <c r="V65" i="8"/>
  <c r="V67" i="8" s="1"/>
  <c r="AY65" i="14"/>
  <c r="AP13" i="13"/>
  <c r="BF13" i="13" s="1"/>
  <c r="BC13" i="13"/>
  <c r="AT13" i="13"/>
  <c r="BP13" i="13" s="1"/>
  <c r="BM13" i="13"/>
  <c r="AY68" i="14"/>
  <c r="AF104" i="14"/>
  <c r="AY107" i="14"/>
  <c r="W128" i="14"/>
  <c r="H193" i="13"/>
  <c r="AB104" i="9"/>
  <c r="AT28" i="11"/>
  <c r="AT33" i="11"/>
  <c r="AT35" i="11"/>
  <c r="AB150" i="9"/>
  <c r="DJ73" i="14"/>
  <c r="DF73" i="14" s="1"/>
  <c r="AB185" i="9"/>
  <c r="DJ149" i="14"/>
  <c r="DF149" i="14" s="1"/>
  <c r="AB235" i="9"/>
  <c r="AB82" i="9"/>
  <c r="AA98" i="9"/>
  <c r="Z130" i="9"/>
  <c r="Z131" i="9"/>
  <c r="Z126" i="9" s="1"/>
  <c r="W288" i="9"/>
  <c r="AA375" i="9"/>
  <c r="Z376" i="9"/>
  <c r="Z371" i="9"/>
  <c r="AA373" i="9"/>
  <c r="Z374" i="9"/>
  <c r="V16" i="8"/>
  <c r="K36" i="8"/>
  <c r="N37" i="8"/>
  <c r="F53" i="8"/>
  <c r="F55" i="8" s="1"/>
  <c r="V52" i="8"/>
  <c r="U69" i="8"/>
  <c r="AB212" i="9"/>
  <c r="I54" i="8"/>
  <c r="H70" i="8"/>
  <c r="I75" i="8"/>
  <c r="X63" i="8"/>
  <c r="W65" i="8"/>
  <c r="W67" i="8" s="1"/>
  <c r="AN12" i="11"/>
  <c r="D13" i="11"/>
  <c r="AN13" i="11" s="1"/>
  <c r="D19" i="11"/>
  <c r="AO12" i="11"/>
  <c r="E13" i="11"/>
  <c r="AO13" i="11" s="1"/>
  <c r="E19" i="11"/>
  <c r="AP12" i="11"/>
  <c r="F13" i="11"/>
  <c r="AP13" i="11" s="1"/>
  <c r="G13" i="11"/>
  <c r="AQ13" i="11" s="1"/>
  <c r="F19" i="11"/>
  <c r="K45" i="9"/>
  <c r="J47" i="9"/>
  <c r="K50" i="9"/>
  <c r="K485" i="9" s="1"/>
  <c r="K522" i="9"/>
  <c r="Z139" i="9"/>
  <c r="Z231" i="9"/>
  <c r="AA139" i="9"/>
  <c r="AA231" i="9"/>
  <c r="T7" i="7"/>
  <c r="U7" i="7"/>
  <c r="I23" i="11"/>
  <c r="AR23" i="11" s="1"/>
  <c r="Z77" i="9"/>
  <c r="Z80" i="9"/>
  <c r="I24" i="11"/>
  <c r="AR24" i="11" s="1"/>
  <c r="Z95" i="9"/>
  <c r="BG104" i="14"/>
  <c r="BG105" i="14"/>
  <c r="BG128" i="14"/>
  <c r="BG129" i="14"/>
  <c r="E147" i="7"/>
  <c r="F147" i="7"/>
  <c r="G147" i="7"/>
  <c r="P147" i="7"/>
  <c r="R147" i="7"/>
  <c r="S147" i="7"/>
  <c r="J482" i="9"/>
  <c r="J483" i="9"/>
  <c r="J484" i="9"/>
  <c r="K482" i="9"/>
  <c r="K483" i="9"/>
  <c r="K484" i="9"/>
  <c r="L482" i="9"/>
  <c r="L483" i="9"/>
  <c r="L484" i="9"/>
  <c r="Q482" i="9"/>
  <c r="Q483" i="9"/>
  <c r="Q484" i="9"/>
  <c r="BG5" i="14"/>
  <c r="BG6" i="14" s="1"/>
  <c r="BH6" i="14"/>
  <c r="X172" i="9"/>
  <c r="X370" i="9"/>
  <c r="H7" i="7"/>
  <c r="I7" i="7"/>
  <c r="J7" i="7"/>
  <c r="K7" i="7"/>
  <c r="L7" i="7"/>
  <c r="M7" i="7"/>
  <c r="N7" i="7"/>
  <c r="O7" i="7"/>
  <c r="P7" i="7"/>
  <c r="Q7" i="7"/>
  <c r="R7" i="7"/>
  <c r="S7" i="7"/>
  <c r="AY157" i="14"/>
  <c r="BG157" i="14"/>
  <c r="K91" i="8" l="1"/>
  <c r="F91" i="8"/>
  <c r="F92" i="8"/>
  <c r="F138" i="7"/>
  <c r="Q228" i="7"/>
  <c r="O147" i="7"/>
  <c r="M228" i="7"/>
  <c r="M261" i="13"/>
  <c r="Q261" i="13"/>
  <c r="M138" i="7"/>
  <c r="I138" i="7"/>
  <c r="I134" i="13" s="1"/>
  <c r="N184" i="7"/>
  <c r="K147" i="7"/>
  <c r="T261" i="13"/>
  <c r="AI72" i="7"/>
  <c r="N154" i="7"/>
  <c r="AV168" i="14"/>
  <c r="AW168" i="14"/>
  <c r="AU168" i="14"/>
  <c r="BE170" i="14"/>
  <c r="H228" i="7"/>
  <c r="L228" i="7"/>
  <c r="H147" i="7"/>
  <c r="P261" i="13"/>
  <c r="N261" i="13"/>
  <c r="AN168" i="14"/>
  <c r="AL168" i="14"/>
  <c r="AM168" i="14"/>
  <c r="AS170" i="14"/>
  <c r="V170" i="14"/>
  <c r="V166" i="14" s="1"/>
  <c r="T170" i="14"/>
  <c r="T166" i="14" s="1"/>
  <c r="U170" i="14"/>
  <c r="U166" i="14" s="1"/>
  <c r="AE168" i="14"/>
  <c r="AC168" i="14"/>
  <c r="AD168" i="14"/>
  <c r="AJ170" i="14"/>
  <c r="O487" i="9"/>
  <c r="AJ20" i="9"/>
  <c r="M97" i="8"/>
  <c r="P85" i="8"/>
  <c r="M90" i="8"/>
  <c r="M92" i="8" s="1"/>
  <c r="O91" i="8"/>
  <c r="AD46" i="8"/>
  <c r="AF46" i="8" s="1"/>
  <c r="AG46" i="8" s="1"/>
  <c r="AC46" i="8"/>
  <c r="H71" i="8"/>
  <c r="H73" i="8" s="1"/>
  <c r="H62" i="8" s="1"/>
  <c r="AF60" i="8"/>
  <c r="AG60" i="8" s="1"/>
  <c r="AH60" i="8" s="1"/>
  <c r="AI60" i="8" s="1"/>
  <c r="AJ60" i="8" s="1"/>
  <c r="AK60" i="8" s="1"/>
  <c r="AE60" i="8"/>
  <c r="V71" i="8"/>
  <c r="V73" i="8" s="1"/>
  <c r="T18" i="8"/>
  <c r="AK21" i="9"/>
  <c r="AL21" i="9" s="1"/>
  <c r="AM21" i="9" s="1"/>
  <c r="AN21" i="9" s="1"/>
  <c r="AO21" i="9" s="1"/>
  <c r="AP21" i="9" s="1"/>
  <c r="AJ21" i="9"/>
  <c r="Z28" i="9"/>
  <c r="AA28" i="9" s="1"/>
  <c r="AB28" i="9" s="1"/>
  <c r="AC28" i="9" s="1"/>
  <c r="AD28" i="9" s="1"/>
  <c r="AE28" i="9" s="1"/>
  <c r="AF28" i="9" s="1"/>
  <c r="O488" i="9"/>
  <c r="X68" i="9"/>
  <c r="N488" i="9"/>
  <c r="BG76" i="14"/>
  <c r="N487" i="9"/>
  <c r="S188" i="7"/>
  <c r="Q147" i="7"/>
  <c r="H7" i="13"/>
  <c r="L4" i="9" s="1"/>
  <c r="H91" i="13"/>
  <c r="I5" i="13"/>
  <c r="I188" i="7"/>
  <c r="J188" i="7"/>
  <c r="E138" i="7"/>
  <c r="Q138" i="7"/>
  <c r="AP14" i="11"/>
  <c r="T228" i="7"/>
  <c r="O138" i="7"/>
  <c r="N228" i="7"/>
  <c r="X251" i="9"/>
  <c r="X250" i="9" s="1"/>
  <c r="Q188" i="7"/>
  <c r="T185" i="7"/>
  <c r="L261" i="13"/>
  <c r="E188" i="7"/>
  <c r="U18" i="8"/>
  <c r="V18" i="8"/>
  <c r="T19" i="8"/>
  <c r="W250" i="9"/>
  <c r="U38" i="8"/>
  <c r="U73" i="8"/>
  <c r="T8" i="8"/>
  <c r="U147" i="7"/>
  <c r="U70" i="8"/>
  <c r="U138" i="7"/>
  <c r="R185" i="7"/>
  <c r="T38" i="8"/>
  <c r="G138" i="7"/>
  <c r="G134" i="13" s="1"/>
  <c r="F12" i="7"/>
  <c r="N138" i="7"/>
  <c r="D36" i="11"/>
  <c r="D51" i="11" s="1"/>
  <c r="AN51" i="11" s="1"/>
  <c r="D15" i="11"/>
  <c r="AN15" i="11" s="1"/>
  <c r="U185" i="7"/>
  <c r="M185" i="7"/>
  <c r="P138" i="7"/>
  <c r="J147" i="7"/>
  <c r="U188" i="7"/>
  <c r="P185" i="7"/>
  <c r="P228" i="7"/>
  <c r="S80" i="8"/>
  <c r="T73" i="8"/>
  <c r="S95" i="8"/>
  <c r="S6" i="8"/>
  <c r="AG62" i="7"/>
  <c r="W45" i="9"/>
  <c r="W49" i="9" s="1"/>
  <c r="W52" i="9" s="1"/>
  <c r="M188" i="7"/>
  <c r="Q185" i="7"/>
  <c r="S185" i="7"/>
  <c r="H138" i="7"/>
  <c r="N185" i="7"/>
  <c r="BU56" i="13"/>
  <c r="IB159" i="14"/>
  <c r="HY159" i="14" s="1"/>
  <c r="T147" i="7"/>
  <c r="E15" i="11"/>
  <c r="AO15" i="11" s="1"/>
  <c r="H185" i="7"/>
  <c r="F185" i="7"/>
  <c r="O134" i="13"/>
  <c r="F36" i="11"/>
  <c r="AP36" i="11" s="1"/>
  <c r="AP56" i="11" s="1"/>
  <c r="E185" i="7"/>
  <c r="K138" i="7"/>
  <c r="L147" i="7"/>
  <c r="F15" i="11"/>
  <c r="AP15" i="11" s="1"/>
  <c r="F192" i="7"/>
  <c r="O185" i="7"/>
  <c r="F122" i="7"/>
  <c r="S138" i="7"/>
  <c r="J138" i="7"/>
  <c r="AO14" i="11"/>
  <c r="L185" i="7"/>
  <c r="Y370" i="9"/>
  <c r="I147" i="7"/>
  <c r="K185" i="7"/>
  <c r="N146" i="7"/>
  <c r="L138" i="7"/>
  <c r="G185" i="7"/>
  <c r="J185" i="7"/>
  <c r="R138" i="7"/>
  <c r="V173" i="9"/>
  <c r="V174" i="9" s="1"/>
  <c r="E42" i="8"/>
  <c r="E39" i="8" s="1"/>
  <c r="I185" i="7"/>
  <c r="T24" i="7"/>
  <c r="T101" i="7"/>
  <c r="M147" i="7"/>
  <c r="T138" i="7"/>
  <c r="F57" i="8"/>
  <c r="F43" i="8" s="1"/>
  <c r="F42" i="8" s="1"/>
  <c r="AA49" i="8"/>
  <c r="AA66" i="8" s="1"/>
  <c r="W269" i="9"/>
  <c r="X269" i="9" s="1"/>
  <c r="X173" i="9" s="1"/>
  <c r="X171" i="9" s="1"/>
  <c r="X181" i="9" s="1"/>
  <c r="Y60" i="9"/>
  <c r="AC142" i="9"/>
  <c r="AC124" i="9"/>
  <c r="X50" i="9"/>
  <c r="AV43" i="11"/>
  <c r="FL157" i="14"/>
  <c r="U11" i="8"/>
  <c r="FL57" i="14"/>
  <c r="FL150" i="14" s="1"/>
  <c r="AE46" i="9"/>
  <c r="AF238" i="9"/>
  <c r="AE133" i="9"/>
  <c r="AF133" i="9" s="1"/>
  <c r="AF208" i="9"/>
  <c r="AF206" i="9"/>
  <c r="AF174" i="9"/>
  <c r="AG237" i="9"/>
  <c r="AD211" i="9"/>
  <c r="AE127" i="9"/>
  <c r="AD129" i="9"/>
  <c r="AD130" i="9" s="1"/>
  <c r="AF85" i="9"/>
  <c r="AE290" i="9"/>
  <c r="AF215" i="9"/>
  <c r="AS33" i="11"/>
  <c r="AS28" i="11"/>
  <c r="AW43" i="11"/>
  <c r="Y63" i="8"/>
  <c r="Z63" i="8" s="1"/>
  <c r="X65" i="8"/>
  <c r="X67" i="8" s="1"/>
  <c r="I7" i="9"/>
  <c r="H313" i="9"/>
  <c r="AA7" i="9"/>
  <c r="Z313" i="9"/>
  <c r="DE36" i="14"/>
  <c r="DI36" i="14"/>
  <c r="M482" i="9"/>
  <c r="Q498" i="9"/>
  <c r="Q500" i="9" s="1"/>
  <c r="Q502" i="9" s="1"/>
  <c r="Z59" i="8"/>
  <c r="AB24" i="8"/>
  <c r="AE147" i="9"/>
  <c r="AU41" i="11"/>
  <c r="O506" i="9"/>
  <c r="O507" i="9" s="1"/>
  <c r="O508" i="9" s="1"/>
  <c r="K31" i="11"/>
  <c r="AE135" i="9"/>
  <c r="AG135" i="9" s="1"/>
  <c r="AI135" i="9" s="1"/>
  <c r="AJ135" i="9" s="1"/>
  <c r="K32" i="11"/>
  <c r="K30" i="11"/>
  <c r="K27" i="11"/>
  <c r="AD87" i="9"/>
  <c r="AE102" i="9"/>
  <c r="AF101" i="9"/>
  <c r="AD150" i="9"/>
  <c r="AD238" i="9"/>
  <c r="AD235" i="9"/>
  <c r="AD147" i="9"/>
  <c r="AT40" i="11"/>
  <c r="DJ127" i="14"/>
  <c r="AT41" i="11"/>
  <c r="DJ142" i="14"/>
  <c r="DF142" i="14" s="1"/>
  <c r="Y19" i="8"/>
  <c r="Y7" i="8"/>
  <c r="FL21" i="14" s="1"/>
  <c r="S506" i="9"/>
  <c r="S507" i="9" s="1"/>
  <c r="S508" i="9" s="1"/>
  <c r="L498" i="9"/>
  <c r="L503" i="9" s="1"/>
  <c r="I160" i="7"/>
  <c r="M484" i="9"/>
  <c r="AU43" i="11"/>
  <c r="G192" i="7"/>
  <c r="G12" i="7"/>
  <c r="G93" i="7"/>
  <c r="G122" i="7"/>
  <c r="M506" i="9"/>
  <c r="M507" i="9" s="1"/>
  <c r="M508" i="9" s="1"/>
  <c r="P498" i="9"/>
  <c r="P508" i="9"/>
  <c r="S500" i="9"/>
  <c r="S502" i="9" s="1"/>
  <c r="S503" i="9"/>
  <c r="Y67" i="9"/>
  <c r="M500" i="9"/>
  <c r="M502" i="9" s="1"/>
  <c r="N498" i="9"/>
  <c r="N506" i="9"/>
  <c r="N507" i="9" s="1"/>
  <c r="N508" i="9" s="1"/>
  <c r="O500" i="9"/>
  <c r="R498" i="9"/>
  <c r="R506" i="9"/>
  <c r="R507" i="9" s="1"/>
  <c r="R508" i="9" s="1"/>
  <c r="AC235" i="9"/>
  <c r="AU34" i="11"/>
  <c r="M50" i="11"/>
  <c r="AU50" i="11" s="1"/>
  <c r="AC185" i="9"/>
  <c r="AU40" i="11"/>
  <c r="BT165" i="14"/>
  <c r="BT70" i="14"/>
  <c r="AY81" i="14"/>
  <c r="AA80" i="9"/>
  <c r="W73" i="8"/>
  <c r="J54" i="8"/>
  <c r="I70" i="8"/>
  <c r="I71" i="8" s="1"/>
  <c r="I73" i="8" s="1"/>
  <c r="I62" i="8" s="1"/>
  <c r="N36" i="8"/>
  <c r="Q37" i="8"/>
  <c r="Z372" i="9"/>
  <c r="Z369" i="9"/>
  <c r="AB375" i="9"/>
  <c r="AA376" i="9"/>
  <c r="I26" i="11"/>
  <c r="AR26" i="11" s="1"/>
  <c r="AB98" i="9"/>
  <c r="AC98" i="9" s="1"/>
  <c r="AC96" i="9" s="1"/>
  <c r="AB81" i="9"/>
  <c r="L50" i="11"/>
  <c r="AT50" i="11" s="1"/>
  <c r="AT42" i="11"/>
  <c r="AB383" i="9"/>
  <c r="AA384" i="9"/>
  <c r="AA381" i="9"/>
  <c r="Z382" i="9"/>
  <c r="AB379" i="9"/>
  <c r="AA380" i="9"/>
  <c r="AB178" i="9"/>
  <c r="AA262" i="9"/>
  <c r="V10" i="8"/>
  <c r="W15" i="8"/>
  <c r="X15" i="8" s="1"/>
  <c r="Y288" i="9"/>
  <c r="Z289" i="9"/>
  <c r="AB175" i="9"/>
  <c r="AA261" i="9"/>
  <c r="AB129" i="9"/>
  <c r="J75" i="8"/>
  <c r="W52" i="8"/>
  <c r="V69" i="8"/>
  <c r="W16" i="8"/>
  <c r="X16" i="8" s="1"/>
  <c r="V38" i="8"/>
  <c r="AA371" i="9"/>
  <c r="AB373" i="9"/>
  <c r="AA374" i="9"/>
  <c r="W291" i="9"/>
  <c r="W292" i="9" s="1"/>
  <c r="W293" i="9"/>
  <c r="W300" i="9"/>
  <c r="L45" i="11"/>
  <c r="AT45" i="11" s="1"/>
  <c r="AT37" i="11"/>
  <c r="AC150" i="9"/>
  <c r="AC238" i="9"/>
  <c r="AT31" i="11"/>
  <c r="AB103" i="9"/>
  <c r="AC104" i="9"/>
  <c r="H12" i="7"/>
  <c r="H122" i="7"/>
  <c r="H192" i="7"/>
  <c r="H93" i="7"/>
  <c r="I7" i="13"/>
  <c r="M4" i="9" s="1"/>
  <c r="J5" i="13"/>
  <c r="I91" i="13"/>
  <c r="I193" i="13"/>
  <c r="I4" i="7"/>
  <c r="AA385" i="9"/>
  <c r="Z386" i="9"/>
  <c r="H44" i="8"/>
  <c r="G48" i="8"/>
  <c r="G50" i="8" s="1"/>
  <c r="G53" i="8"/>
  <c r="G55" i="8" s="1"/>
  <c r="W18" i="8"/>
  <c r="X23" i="8"/>
  <c r="U26" i="8"/>
  <c r="U27" i="8" s="1"/>
  <c r="X300" i="9"/>
  <c r="AB168" i="9"/>
  <c r="AA259" i="9"/>
  <c r="AA131" i="9"/>
  <c r="AA126" i="9" s="1"/>
  <c r="AA130" i="9"/>
  <c r="AT32" i="11"/>
  <c r="AT30" i="11"/>
  <c r="AB138" i="9"/>
  <c r="AT27" i="11"/>
  <c r="Y33" i="9"/>
  <c r="Y62" i="9" s="1"/>
  <c r="S148" i="7"/>
  <c r="R148" i="7"/>
  <c r="P148" i="7"/>
  <c r="O148" i="7"/>
  <c r="K148" i="7"/>
  <c r="G148" i="7"/>
  <c r="F148" i="7"/>
  <c r="E148" i="7"/>
  <c r="F134" i="13"/>
  <c r="F160" i="7"/>
  <c r="X49" i="9"/>
  <c r="X52" i="9" s="1"/>
  <c r="Z78" i="9"/>
  <c r="Z205" i="9" s="1"/>
  <c r="Z203" i="9" s="1"/>
  <c r="Z198" i="9"/>
  <c r="AS29" i="11"/>
  <c r="K49" i="11"/>
  <c r="AS49" i="11" s="1"/>
  <c r="K499" i="9"/>
  <c r="K498" i="9"/>
  <c r="K486" i="9"/>
  <c r="K487" i="9"/>
  <c r="K488" i="9"/>
  <c r="J45" i="9"/>
  <c r="I47" i="9"/>
  <c r="J50" i="9"/>
  <c r="J485" i="9" s="1"/>
  <c r="J522" i="9"/>
  <c r="K49" i="9"/>
  <c r="K52" i="9" s="1"/>
  <c r="K341" i="9"/>
  <c r="K343" i="9" s="1"/>
  <c r="K346" i="9" s="1"/>
  <c r="AO36" i="11"/>
  <c r="AO56" i="11" s="1"/>
  <c r="E51" i="11"/>
  <c r="AO51" i="11" s="1"/>
  <c r="E56" i="11"/>
  <c r="AP19" i="11"/>
  <c r="AP55" i="11" s="1"/>
  <c r="F55" i="11"/>
  <c r="AO19" i="11"/>
  <c r="AO55" i="11" s="1"/>
  <c r="E55" i="11"/>
  <c r="AN19" i="11"/>
  <c r="AN55" i="11" s="1"/>
  <c r="D55" i="11"/>
  <c r="V70" i="8" l="1"/>
  <c r="M134" i="13"/>
  <c r="M160" i="7"/>
  <c r="Q148" i="7"/>
  <c r="Q134" i="13"/>
  <c r="H134" i="13"/>
  <c r="T148" i="7"/>
  <c r="Q160" i="7"/>
  <c r="H148" i="7"/>
  <c r="U134" i="13"/>
  <c r="K160" i="7"/>
  <c r="O160" i="7"/>
  <c r="AN170" i="14"/>
  <c r="AN166" i="14" s="1"/>
  <c r="AL170" i="14"/>
  <c r="AL166" i="14" s="1"/>
  <c r="AM170" i="14"/>
  <c r="AM166" i="14" s="1"/>
  <c r="AW170" i="14"/>
  <c r="AW166" i="14" s="1"/>
  <c r="AU170" i="14"/>
  <c r="AU166" i="14" s="1"/>
  <c r="AV170" i="14"/>
  <c r="AV166" i="14" s="1"/>
  <c r="N147" i="7"/>
  <c r="AD170" i="14"/>
  <c r="AD166" i="14" s="1"/>
  <c r="AC170" i="14"/>
  <c r="AC166" i="14" s="1"/>
  <c r="AE170" i="14"/>
  <c r="AE166" i="14" s="1"/>
  <c r="W166" i="14"/>
  <c r="AJ72" i="7"/>
  <c r="P91" i="8"/>
  <c r="AE46" i="8"/>
  <c r="T5" i="8"/>
  <c r="T6" i="8" s="1"/>
  <c r="AD24" i="8"/>
  <c r="AF24" i="8" s="1"/>
  <c r="AG24" i="8" s="1"/>
  <c r="AC24" i="8"/>
  <c r="F39" i="8"/>
  <c r="AG174" i="9"/>
  <c r="AG215" i="9"/>
  <c r="AG85" i="9"/>
  <c r="AG206" i="9"/>
  <c r="AG208" i="9"/>
  <c r="AG28" i="9"/>
  <c r="W260" i="9"/>
  <c r="Y251" i="9"/>
  <c r="Z251" i="9" s="1"/>
  <c r="E160" i="7"/>
  <c r="G160" i="7"/>
  <c r="E134" i="13"/>
  <c r="AN36" i="11"/>
  <c r="AN56" i="11" s="1"/>
  <c r="U160" i="7"/>
  <c r="D56" i="11"/>
  <c r="W256" i="9"/>
  <c r="W263" i="9" s="1"/>
  <c r="P160" i="7"/>
  <c r="P134" i="13"/>
  <c r="N160" i="7"/>
  <c r="N134" i="13"/>
  <c r="U148" i="7"/>
  <c r="AH62" i="7"/>
  <c r="H160" i="7"/>
  <c r="I148" i="7"/>
  <c r="J148" i="7"/>
  <c r="AK240" i="9"/>
  <c r="AM240" i="9" s="1"/>
  <c r="AN240" i="9" s="1"/>
  <c r="AP240" i="9" s="1"/>
  <c r="IP159" i="14"/>
  <c r="IK159" i="14" s="1"/>
  <c r="F56" i="11"/>
  <c r="F51" i="11"/>
  <c r="AP51" i="11" s="1"/>
  <c r="J160" i="7"/>
  <c r="K134" i="13"/>
  <c r="L148" i="7"/>
  <c r="S160" i="7"/>
  <c r="S134" i="13"/>
  <c r="J134" i="13"/>
  <c r="T134" i="13"/>
  <c r="M148" i="7"/>
  <c r="T160" i="7"/>
  <c r="R160" i="7"/>
  <c r="L160" i="7"/>
  <c r="L134" i="13"/>
  <c r="R134" i="13"/>
  <c r="AX43" i="11"/>
  <c r="GZ157" i="14"/>
  <c r="GY157" i="14" s="1"/>
  <c r="GX157" i="14" s="1"/>
  <c r="Y65" i="8"/>
  <c r="Y67" i="8" s="1"/>
  <c r="AB49" i="8"/>
  <c r="X38" i="8"/>
  <c r="AM216" i="9"/>
  <c r="AN216" i="9" s="1"/>
  <c r="AO216" i="9" s="1"/>
  <c r="AP216" i="9" s="1"/>
  <c r="W38" i="8"/>
  <c r="AD142" i="9"/>
  <c r="FJ157" i="14"/>
  <c r="FH157" i="14" s="1"/>
  <c r="W294" i="9"/>
  <c r="W306" i="9" s="1"/>
  <c r="AB79" i="9"/>
  <c r="AC138" i="9"/>
  <c r="FH57" i="14"/>
  <c r="FJ57" i="14"/>
  <c r="FJ150" i="14" s="1"/>
  <c r="V11" i="8"/>
  <c r="AF46" i="9"/>
  <c r="AC103" i="9"/>
  <c r="AD131" i="9"/>
  <c r="AD126" i="9" s="1"/>
  <c r="AE211" i="9"/>
  <c r="AG238" i="9"/>
  <c r="IB157" i="14"/>
  <c r="AF235" i="9"/>
  <c r="GZ57" i="14"/>
  <c r="GY57" i="14" s="1"/>
  <c r="GX57" i="14" s="1"/>
  <c r="AF290" i="9"/>
  <c r="AE129" i="9"/>
  <c r="AF127" i="9"/>
  <c r="AG133" i="9"/>
  <c r="AH133" i="9" s="1"/>
  <c r="GI57" i="14"/>
  <c r="GH57" i="14" s="1"/>
  <c r="GG57" i="14" s="1"/>
  <c r="AE235" i="9"/>
  <c r="ET150" i="14"/>
  <c r="AU28" i="11"/>
  <c r="AU35" i="11"/>
  <c r="AV35" i="11"/>
  <c r="AS27" i="11"/>
  <c r="AS30" i="11"/>
  <c r="AS32" i="11"/>
  <c r="AV28" i="11"/>
  <c r="AS31" i="11"/>
  <c r="AV33" i="11"/>
  <c r="AU33" i="11"/>
  <c r="EH10" i="14"/>
  <c r="ER17" i="14"/>
  <c r="X10" i="8"/>
  <c r="AB7" i="9"/>
  <c r="AA313" i="9"/>
  <c r="J7" i="9"/>
  <c r="I313" i="9"/>
  <c r="Q503" i="9"/>
  <c r="AA59" i="8"/>
  <c r="Z65" i="8"/>
  <c r="Z67" i="8" s="1"/>
  <c r="AA63" i="8"/>
  <c r="DF127" i="14"/>
  <c r="DJ33" i="14"/>
  <c r="DJ34" i="14" s="1"/>
  <c r="DJ50" i="14"/>
  <c r="DJ51" i="14" s="1"/>
  <c r="W298" i="9"/>
  <c r="AD185" i="9"/>
  <c r="FL73" i="14"/>
  <c r="FH73" i="14" s="1"/>
  <c r="AF102" i="9"/>
  <c r="AG101" i="9"/>
  <c r="AE87" i="9"/>
  <c r="AF91" i="9"/>
  <c r="G57" i="8"/>
  <c r="G43" i="8" s="1"/>
  <c r="AV34" i="11"/>
  <c r="N50" i="11"/>
  <c r="AV50" i="11" s="1"/>
  <c r="AD104" i="9"/>
  <c r="L500" i="9"/>
  <c r="L502" i="9" s="1"/>
  <c r="AU37" i="11"/>
  <c r="AU42" i="11"/>
  <c r="AD82" i="9"/>
  <c r="X18" i="8"/>
  <c r="Y23" i="8"/>
  <c r="P503" i="9"/>
  <c r="P500" i="9"/>
  <c r="P501" i="9" s="1"/>
  <c r="O502" i="9"/>
  <c r="R500" i="9"/>
  <c r="R503" i="9"/>
  <c r="N500" i="9"/>
  <c r="N503" i="9"/>
  <c r="AU20" i="11"/>
  <c r="M45" i="11"/>
  <c r="AU45" i="11" s="1"/>
  <c r="BX165" i="14"/>
  <c r="U78" i="8"/>
  <c r="U95" i="8"/>
  <c r="I93" i="7"/>
  <c r="I12" i="7"/>
  <c r="I122" i="7"/>
  <c r="I192" i="7"/>
  <c r="X291" i="9"/>
  <c r="W304" i="9"/>
  <c r="AB371" i="9"/>
  <c r="AC373" i="9"/>
  <c r="AD373" i="9" s="1"/>
  <c r="AB374" i="9"/>
  <c r="X52" i="8"/>
  <c r="Y52" i="8" s="1"/>
  <c r="W69" i="8"/>
  <c r="W70" i="8" s="1"/>
  <c r="K75" i="8"/>
  <c r="AB130" i="9"/>
  <c r="AB131" i="9"/>
  <c r="AB126" i="9" s="1"/>
  <c r="Z288" i="9"/>
  <c r="AA289" i="9"/>
  <c r="W10" i="8"/>
  <c r="Y15" i="8"/>
  <c r="AT23" i="11"/>
  <c r="AA77" i="9"/>
  <c r="AA95" i="9"/>
  <c r="Z125" i="9"/>
  <c r="Z224" i="9"/>
  <c r="AC375" i="9"/>
  <c r="AB376" i="9"/>
  <c r="Z172" i="9"/>
  <c r="Z370" i="9"/>
  <c r="Q36" i="8"/>
  <c r="T37" i="8"/>
  <c r="U37" i="8" s="1"/>
  <c r="V37" i="8" s="1"/>
  <c r="W37" i="8" s="1"/>
  <c r="X37" i="8" s="1"/>
  <c r="Y37" i="8" s="1"/>
  <c r="Y35" i="9"/>
  <c r="Y61" i="9" s="1"/>
  <c r="AB139" i="9"/>
  <c r="AB231" i="9"/>
  <c r="AA124" i="9"/>
  <c r="AC168" i="9"/>
  <c r="AB259" i="9"/>
  <c r="I44" i="8"/>
  <c r="H48" i="8"/>
  <c r="H50" i="8" s="1"/>
  <c r="H53" i="8"/>
  <c r="H55" i="8" s="1"/>
  <c r="AB385" i="9"/>
  <c r="AA386" i="9"/>
  <c r="K5" i="13"/>
  <c r="J7" i="13"/>
  <c r="N4" i="9" s="1"/>
  <c r="J91" i="13"/>
  <c r="J193" i="13"/>
  <c r="J4" i="7"/>
  <c r="X293" i="9"/>
  <c r="W305" i="9"/>
  <c r="AA372" i="9"/>
  <c r="AA369" i="9"/>
  <c r="X71" i="8"/>
  <c r="X73" i="8" s="1"/>
  <c r="AC130" i="9"/>
  <c r="AB261" i="9"/>
  <c r="AC175" i="9"/>
  <c r="Y300" i="9"/>
  <c r="Y269" i="9"/>
  <c r="AB262" i="9"/>
  <c r="AC178" i="9"/>
  <c r="AB380" i="9"/>
  <c r="AC379" i="9"/>
  <c r="AA382" i="9"/>
  <c r="AB381" i="9"/>
  <c r="AB384" i="9"/>
  <c r="AC383" i="9"/>
  <c r="AB96" i="9"/>
  <c r="AC97" i="9" s="1"/>
  <c r="J70" i="8"/>
  <c r="J71" i="8" s="1"/>
  <c r="J73" i="8" s="1"/>
  <c r="J62" i="8" s="1"/>
  <c r="K54" i="8"/>
  <c r="J499" i="9"/>
  <c r="J498" i="9"/>
  <c r="J486" i="9"/>
  <c r="J487" i="9"/>
  <c r="J488" i="9"/>
  <c r="I45" i="9"/>
  <c r="H47" i="9"/>
  <c r="I50" i="9"/>
  <c r="I522" i="9"/>
  <c r="J49" i="9"/>
  <c r="J52" i="9" s="1"/>
  <c r="J341" i="9"/>
  <c r="J343" i="9" s="1"/>
  <c r="J346" i="9" s="1"/>
  <c r="K500" i="9"/>
  <c r="K503" i="9"/>
  <c r="Z209" i="9"/>
  <c r="AR22" i="11"/>
  <c r="X256" i="9"/>
  <c r="X263" i="9" s="1"/>
  <c r="X260" i="9"/>
  <c r="AB80" i="9" l="1"/>
  <c r="N148" i="7"/>
  <c r="AO166" i="14"/>
  <c r="AY166" i="14"/>
  <c r="AF166" i="14"/>
  <c r="AH24" i="8"/>
  <c r="AI24" i="8" s="1"/>
  <c r="AJ24" i="8" s="1"/>
  <c r="AK24" i="8" s="1"/>
  <c r="T95" i="8"/>
  <c r="U6" i="8"/>
  <c r="T26" i="8"/>
  <c r="T27" i="8" s="1"/>
  <c r="AE24" i="8"/>
  <c r="AB66" i="8"/>
  <c r="AC49" i="8"/>
  <c r="AC66" i="8" s="1"/>
  <c r="AI208" i="9"/>
  <c r="AK208" i="9" s="1"/>
  <c r="AL208" i="9" s="1"/>
  <c r="AM208" i="9" s="1"/>
  <c r="AN208" i="9" s="1"/>
  <c r="AO208" i="9" s="1"/>
  <c r="AP208" i="9" s="1"/>
  <c r="AH208" i="9"/>
  <c r="AI206" i="9"/>
  <c r="AH206" i="9"/>
  <c r="AI85" i="9"/>
  <c r="AH85" i="9"/>
  <c r="AH28" i="9"/>
  <c r="AI215" i="9"/>
  <c r="AH215" i="9"/>
  <c r="AI101" i="9"/>
  <c r="AI102" i="9" s="1"/>
  <c r="AH101" i="9"/>
  <c r="AH102" i="9" s="1"/>
  <c r="AI174" i="9"/>
  <c r="AH174" i="9"/>
  <c r="AJ28" i="9"/>
  <c r="AG290" i="9"/>
  <c r="AI133" i="9"/>
  <c r="AJ133" i="9" s="1"/>
  <c r="AG127" i="9"/>
  <c r="AI127" i="9" s="1"/>
  <c r="AK127" i="9" s="1"/>
  <c r="AL127" i="9" s="1"/>
  <c r="EH5" i="14"/>
  <c r="EH62" i="14" s="1"/>
  <c r="EH11" i="14"/>
  <c r="AI62" i="7"/>
  <c r="AC139" i="9"/>
  <c r="AI238" i="9"/>
  <c r="IN159" i="14"/>
  <c r="AD49" i="8"/>
  <c r="K23" i="11"/>
  <c r="AS23" i="11" s="1"/>
  <c r="HY157" i="14"/>
  <c r="HX157" i="14" s="1"/>
  <c r="AC231" i="9"/>
  <c r="AC80" i="9"/>
  <c r="W301" i="9"/>
  <c r="GY150" i="14"/>
  <c r="GZ150" i="14"/>
  <c r="AB77" i="9"/>
  <c r="AD124" i="9"/>
  <c r="EH74" i="14"/>
  <c r="EH69" i="14" s="1"/>
  <c r="Z23" i="8"/>
  <c r="Z18" i="8" s="1"/>
  <c r="Y36" i="8"/>
  <c r="AF147" i="9"/>
  <c r="AC77" i="9"/>
  <c r="AD81" i="9"/>
  <c r="FJ73" i="14"/>
  <c r="FL142" i="14"/>
  <c r="Z186" i="7"/>
  <c r="AD103" i="9"/>
  <c r="W11" i="8"/>
  <c r="X11" i="8"/>
  <c r="Z111" i="9"/>
  <c r="FL50" i="14"/>
  <c r="Z52" i="8"/>
  <c r="Y69" i="8"/>
  <c r="AG46" i="9"/>
  <c r="ER150" i="14"/>
  <c r="O50" i="11"/>
  <c r="AW50" i="11" s="1"/>
  <c r="AW34" i="11"/>
  <c r="AE131" i="9"/>
  <c r="AE130" i="9"/>
  <c r="AX34" i="11"/>
  <c r="BS34" i="11" s="1"/>
  <c r="AX50" i="11"/>
  <c r="AF211" i="9"/>
  <c r="AG235" i="9"/>
  <c r="IB57" i="14"/>
  <c r="HY57" i="14" s="1"/>
  <c r="HX57" i="14" s="1"/>
  <c r="AF129" i="9"/>
  <c r="AY43" i="11"/>
  <c r="AU30" i="11"/>
  <c r="AV32" i="11"/>
  <c r="AW33" i="11"/>
  <c r="AU27" i="11"/>
  <c r="AU31" i="11"/>
  <c r="AU32" i="11"/>
  <c r="AV31" i="11"/>
  <c r="AV27" i="11"/>
  <c r="AG102" i="9"/>
  <c r="AW31" i="11"/>
  <c r="AV30" i="11"/>
  <c r="AW28" i="11"/>
  <c r="AB59" i="8"/>
  <c r="Z15" i="8"/>
  <c r="AA15" i="8" s="1"/>
  <c r="AB15" i="8" s="1"/>
  <c r="K7" i="9"/>
  <c r="J313" i="9"/>
  <c r="AC7" i="9"/>
  <c r="AB313" i="9"/>
  <c r="AE138" i="9"/>
  <c r="ET51" i="14"/>
  <c r="K24" i="11"/>
  <c r="AB97" i="9"/>
  <c r="AB63" i="8"/>
  <c r="AA65" i="8"/>
  <c r="AA67" i="8" s="1"/>
  <c r="AG147" i="9"/>
  <c r="DF50" i="14"/>
  <c r="DF51" i="14" s="1"/>
  <c r="AE214" i="9"/>
  <c r="AC384" i="9"/>
  <c r="AD383" i="9"/>
  <c r="AC380" i="9"/>
  <c r="AD379" i="9"/>
  <c r="AC262" i="9"/>
  <c r="AD178" i="9"/>
  <c r="AC261" i="9"/>
  <c r="AD175" i="9"/>
  <c r="AD374" i="9"/>
  <c r="AE373" i="9"/>
  <c r="AV37" i="11"/>
  <c r="N45" i="11"/>
  <c r="AV45" i="11" s="1"/>
  <c r="AD139" i="9"/>
  <c r="AD231" i="9"/>
  <c r="AC259" i="9"/>
  <c r="AD168" i="9"/>
  <c r="AC376" i="9"/>
  <c r="AD375" i="9"/>
  <c r="K26" i="11"/>
  <c r="AE82" i="9"/>
  <c r="AE104" i="9"/>
  <c r="AF87" i="9"/>
  <c r="AG91" i="9"/>
  <c r="AE185" i="9"/>
  <c r="M501" i="9"/>
  <c r="AD98" i="9"/>
  <c r="Y16" i="8"/>
  <c r="Y18" i="8"/>
  <c r="Y71" i="8"/>
  <c r="Q501" i="9"/>
  <c r="P502" i="9"/>
  <c r="V26" i="8"/>
  <c r="V27" i="8" s="1"/>
  <c r="Y68" i="9"/>
  <c r="O501" i="9"/>
  <c r="N501" i="9"/>
  <c r="N502" i="9"/>
  <c r="S501" i="9"/>
  <c r="R501" i="9"/>
  <c r="R502" i="9"/>
  <c r="BV38" i="14"/>
  <c r="CE104" i="14"/>
  <c r="V95" i="8"/>
  <c r="V6" i="8"/>
  <c r="V78" i="8"/>
  <c r="V79" i="8" s="1"/>
  <c r="Y293" i="9"/>
  <c r="X305" i="9"/>
  <c r="H57" i="8"/>
  <c r="H43" i="8" s="1"/>
  <c r="J44" i="8"/>
  <c r="I48" i="8"/>
  <c r="I50" i="8" s="1"/>
  <c r="I53" i="8"/>
  <c r="I55" i="8" s="1"/>
  <c r="AA224" i="9"/>
  <c r="AA125" i="9"/>
  <c r="AT29" i="11"/>
  <c r="L49" i="11"/>
  <c r="AT49" i="11" s="1"/>
  <c r="T36" i="8"/>
  <c r="AA78" i="9"/>
  <c r="AA205" i="9" s="1"/>
  <c r="AA203" i="9" s="1"/>
  <c r="AA198" i="9"/>
  <c r="AA288" i="9"/>
  <c r="AB289" i="9"/>
  <c r="AB124" i="9"/>
  <c r="AT26" i="11"/>
  <c r="L75" i="8"/>
  <c r="X69" i="8"/>
  <c r="X70" i="8" s="1"/>
  <c r="AC371" i="9"/>
  <c r="AC374" i="9"/>
  <c r="L54" i="8"/>
  <c r="N54" i="8"/>
  <c r="N70" i="8" s="1"/>
  <c r="N71" i="8" s="1"/>
  <c r="N73" i="8" s="1"/>
  <c r="K70" i="8"/>
  <c r="K71" i="8" s="1"/>
  <c r="K73" i="8" s="1"/>
  <c r="K62" i="8" s="1"/>
  <c r="AT24" i="11"/>
  <c r="AC381" i="9"/>
  <c r="AB382" i="9"/>
  <c r="Y173" i="9"/>
  <c r="Y171" i="9" s="1"/>
  <c r="Y181" i="9" s="1"/>
  <c r="Y270" i="9" s="1"/>
  <c r="Y268" i="9"/>
  <c r="AA172" i="9"/>
  <c r="AA370" i="9"/>
  <c r="J12" i="7"/>
  <c r="J122" i="7"/>
  <c r="J192" i="7"/>
  <c r="J93" i="7"/>
  <c r="K7" i="13"/>
  <c r="O4" i="9" s="1"/>
  <c r="L5" i="13"/>
  <c r="K91" i="13"/>
  <c r="K193" i="13"/>
  <c r="K4" i="7"/>
  <c r="AC385" i="9"/>
  <c r="AB386" i="9"/>
  <c r="Z300" i="9"/>
  <c r="Z269" i="9"/>
  <c r="Z173" i="9" s="1"/>
  <c r="Z171" i="9" s="1"/>
  <c r="Z181" i="9" s="1"/>
  <c r="Z270" i="9" s="1"/>
  <c r="AB372" i="9"/>
  <c r="AB369" i="9"/>
  <c r="Y291" i="9"/>
  <c r="X292" i="9"/>
  <c r="X304" i="9"/>
  <c r="X298" i="9"/>
  <c r="AA251" i="9"/>
  <c r="CC27" i="14"/>
  <c r="CE28" i="14"/>
  <c r="K502" i="9"/>
  <c r="L501" i="9"/>
  <c r="H45" i="9"/>
  <c r="H50" i="9"/>
  <c r="I49" i="9"/>
  <c r="I52" i="9" s="1"/>
  <c r="I341" i="9"/>
  <c r="I343" i="9" s="1"/>
  <c r="I346" i="9" s="1"/>
  <c r="J500" i="9"/>
  <c r="J503" i="9"/>
  <c r="Z202" i="9"/>
  <c r="AJ208" i="9" l="1"/>
  <c r="AD66" i="8"/>
  <c r="AE49" i="8"/>
  <c r="AE66" i="8" s="1"/>
  <c r="AD15" i="8"/>
  <c r="AF15" i="8" s="1"/>
  <c r="AC15" i="8"/>
  <c r="AD63" i="8"/>
  <c r="AC63" i="8"/>
  <c r="AM127" i="9"/>
  <c r="AN127" i="9" s="1"/>
  <c r="AO127" i="9" s="1"/>
  <c r="AP127" i="9" s="1"/>
  <c r="AL129" i="9"/>
  <c r="AL131" i="9" s="1"/>
  <c r="AK215" i="9"/>
  <c r="AL215" i="9" s="1"/>
  <c r="AM215" i="9" s="1"/>
  <c r="AN215" i="9" s="1"/>
  <c r="AO215" i="9" s="1"/>
  <c r="AP215" i="9" s="1"/>
  <c r="AJ215" i="9"/>
  <c r="AI129" i="9"/>
  <c r="AI131" i="9" s="1"/>
  <c r="AI126" i="9" s="1"/>
  <c r="AH127" i="9"/>
  <c r="AH129" i="9" s="1"/>
  <c r="AJ206" i="9"/>
  <c r="AK206" i="9"/>
  <c r="AL206" i="9" s="1"/>
  <c r="AM206" i="9" s="1"/>
  <c r="AN206" i="9" s="1"/>
  <c r="AO206" i="9" s="1"/>
  <c r="AP206" i="9" s="1"/>
  <c r="AK174" i="9"/>
  <c r="AL174" i="9" s="1"/>
  <c r="AM174" i="9" s="1"/>
  <c r="AN174" i="9" s="1"/>
  <c r="AO174" i="9" s="1"/>
  <c r="AP174" i="9" s="1"/>
  <c r="AJ174" i="9"/>
  <c r="AK85" i="9"/>
  <c r="AL85" i="9" s="1"/>
  <c r="AJ85" i="9"/>
  <c r="AI91" i="9"/>
  <c r="AJ91" i="9" s="1"/>
  <c r="AJ87" i="9" s="1"/>
  <c r="AH91" i="9"/>
  <c r="AH87" i="9" s="1"/>
  <c r="AI290" i="9"/>
  <c r="AK290" i="9" s="1"/>
  <c r="AL290" i="9" s="1"/>
  <c r="AM290" i="9" s="1"/>
  <c r="AN290" i="9" s="1"/>
  <c r="AO290" i="9" s="1"/>
  <c r="AP290" i="9" s="1"/>
  <c r="AH290" i="9"/>
  <c r="AJ127" i="9"/>
  <c r="AJ129" i="9" s="1"/>
  <c r="AJ131" i="9" s="1"/>
  <c r="AJ126" i="9" s="1"/>
  <c r="AJ124" i="9" s="1"/>
  <c r="AK133" i="9"/>
  <c r="AL133" i="9" s="1"/>
  <c r="AG211" i="9"/>
  <c r="AJ101" i="9"/>
  <c r="AJ102" i="9" s="1"/>
  <c r="EH6" i="14"/>
  <c r="AF66" i="8"/>
  <c r="JH157" i="14"/>
  <c r="AK238" i="9"/>
  <c r="IP157" i="14"/>
  <c r="IB150" i="14"/>
  <c r="EH76" i="14"/>
  <c r="AL237" i="9"/>
  <c r="Z71" i="8"/>
  <c r="Z73" i="8" s="1"/>
  <c r="BA43" i="11"/>
  <c r="GI50" i="14"/>
  <c r="GH50" i="14" s="1"/>
  <c r="AA23" i="8"/>
  <c r="AA71" i="8" s="1"/>
  <c r="Z34" i="7"/>
  <c r="AI46" i="9"/>
  <c r="AD59" i="8"/>
  <c r="AK101" i="9"/>
  <c r="AK100" i="9" s="1"/>
  <c r="FL51" i="14"/>
  <c r="FH50" i="14"/>
  <c r="FH51" i="14" s="1"/>
  <c r="FJ50" i="14"/>
  <c r="FJ51" i="14" s="1"/>
  <c r="AV41" i="11"/>
  <c r="AD96" i="9"/>
  <c r="AX32" i="11"/>
  <c r="AA74" i="9"/>
  <c r="AA75" i="9" s="1"/>
  <c r="AA52" i="8"/>
  <c r="AF52" i="8" s="1"/>
  <c r="AG52" i="8" s="1"/>
  <c r="AH52" i="8" s="1"/>
  <c r="AI52" i="8" s="1"/>
  <c r="AJ52" i="8" s="1"/>
  <c r="AK52" i="8" s="1"/>
  <c r="Z69" i="8"/>
  <c r="AC95" i="9"/>
  <c r="AD80" i="9"/>
  <c r="AV26" i="11"/>
  <c r="AD125" i="9"/>
  <c r="AF130" i="9"/>
  <c r="AF131" i="9"/>
  <c r="AF126" i="9" s="1"/>
  <c r="AY34" i="11"/>
  <c r="Q50" i="11"/>
  <c r="AY50" i="11" s="1"/>
  <c r="AE126" i="9"/>
  <c r="AG129" i="9"/>
  <c r="IP57" i="14"/>
  <c r="AI235" i="9"/>
  <c r="AU26" i="11"/>
  <c r="AU23" i="11"/>
  <c r="AG87" i="9"/>
  <c r="AS26" i="11"/>
  <c r="AW30" i="11"/>
  <c r="AW27" i="11"/>
  <c r="AW32" i="11"/>
  <c r="AS24" i="11"/>
  <c r="AX28" i="11"/>
  <c r="AF138" i="9"/>
  <c r="AD7" i="9"/>
  <c r="AC313" i="9"/>
  <c r="L7" i="9"/>
  <c r="K313" i="9"/>
  <c r="AB95" i="9"/>
  <c r="AC198" i="9"/>
  <c r="AB65" i="8"/>
  <c r="AB67" i="8" s="1"/>
  <c r="AW29" i="11"/>
  <c r="EH70" i="14"/>
  <c r="EH165" i="14"/>
  <c r="EH71" i="14"/>
  <c r="AF214" i="9"/>
  <c r="DJ37" i="14"/>
  <c r="DJ38" i="14" s="1"/>
  <c r="Y38" i="8"/>
  <c r="Z16" i="8"/>
  <c r="AF212" i="9"/>
  <c r="DJ41" i="14"/>
  <c r="AE98" i="9"/>
  <c r="AF185" i="9"/>
  <c r="AV29" i="11"/>
  <c r="N49" i="11"/>
  <c r="AV49" i="11" s="1"/>
  <c r="AE374" i="9"/>
  <c r="AF373" i="9"/>
  <c r="AE175" i="9"/>
  <c r="AD261" i="9"/>
  <c r="AD262" i="9"/>
  <c r="AE178" i="9"/>
  <c r="AD380" i="9"/>
  <c r="AE379" i="9"/>
  <c r="AD384" i="9"/>
  <c r="AE383" i="9"/>
  <c r="AC386" i="9"/>
  <c r="AD385" i="9"/>
  <c r="AC382" i="9"/>
  <c r="AD381" i="9"/>
  <c r="AE139" i="9"/>
  <c r="AE231" i="9"/>
  <c r="AF104" i="9"/>
  <c r="AE103" i="9"/>
  <c r="AF82" i="9"/>
  <c r="AE81" i="9"/>
  <c r="AE79" i="9" s="1"/>
  <c r="AD376" i="9"/>
  <c r="AE375" i="9"/>
  <c r="AE371" i="9" s="1"/>
  <c r="AE168" i="9"/>
  <c r="AD259" i="9"/>
  <c r="AD371" i="9"/>
  <c r="I57" i="8"/>
  <c r="I43" i="8" s="1"/>
  <c r="Y10" i="8"/>
  <c r="Y11" i="8" s="1"/>
  <c r="W26" i="8"/>
  <c r="W27" i="8" s="1"/>
  <c r="DJ18" i="14"/>
  <c r="DJ19" i="14" s="1"/>
  <c r="EC28" i="14"/>
  <c r="CU28" i="14"/>
  <c r="AB78" i="9"/>
  <c r="AB205" i="9" s="1"/>
  <c r="AB203" i="9" s="1"/>
  <c r="Y73" i="8"/>
  <c r="Y70" i="8"/>
  <c r="AU29" i="11"/>
  <c r="M49" i="11"/>
  <c r="AU49" i="11" s="1"/>
  <c r="CC107" i="14"/>
  <c r="EC107" i="14"/>
  <c r="AC125" i="9"/>
  <c r="AC224" i="9"/>
  <c r="AS22" i="11"/>
  <c r="K5" i="11"/>
  <c r="CE38" i="14"/>
  <c r="CC38" i="14"/>
  <c r="Z75" i="9"/>
  <c r="Z157" i="9"/>
  <c r="AA209" i="9"/>
  <c r="AA202" i="9" s="1"/>
  <c r="AA201" i="9" s="1"/>
  <c r="AA194" i="9" s="1"/>
  <c r="AA191" i="9" s="1"/>
  <c r="Y292" i="9"/>
  <c r="X294" i="9"/>
  <c r="AB172" i="9"/>
  <c r="AB370" i="9"/>
  <c r="K93" i="7"/>
  <c r="K12" i="7"/>
  <c r="K122" i="7"/>
  <c r="K192" i="7"/>
  <c r="Z268" i="9"/>
  <c r="Z265" i="9" s="1"/>
  <c r="L62" i="8"/>
  <c r="M75" i="8"/>
  <c r="AB288" i="9"/>
  <c r="AC289" i="9"/>
  <c r="U36" i="8"/>
  <c r="AS25" i="11"/>
  <c r="K48" i="11"/>
  <c r="AS48" i="11" s="1"/>
  <c r="Z293" i="9"/>
  <c r="Y305" i="9"/>
  <c r="CE6" i="14"/>
  <c r="Z291" i="9"/>
  <c r="Y298" i="9"/>
  <c r="Y304" i="9"/>
  <c r="W95" i="8"/>
  <c r="W78" i="8"/>
  <c r="W6" i="8"/>
  <c r="M5" i="13"/>
  <c r="L7" i="13"/>
  <c r="P4" i="9" s="1"/>
  <c r="L91" i="13"/>
  <c r="L193" i="13"/>
  <c r="L4" i="7"/>
  <c r="Y265" i="9"/>
  <c r="Y285" i="9"/>
  <c r="M54" i="8"/>
  <c r="M55" i="8" s="1"/>
  <c r="M57" i="8" s="1"/>
  <c r="M43" i="8" s="1"/>
  <c r="L55" i="8"/>
  <c r="L57" i="8" s="1"/>
  <c r="L43" i="8" s="1"/>
  <c r="AC372" i="9"/>
  <c r="AC369" i="9"/>
  <c r="AB125" i="9"/>
  <c r="AB224" i="9"/>
  <c r="AA300" i="9"/>
  <c r="AA269" i="9"/>
  <c r="AA173" i="9" s="1"/>
  <c r="AA171" i="9" s="1"/>
  <c r="AA181" i="9" s="1"/>
  <c r="AA270" i="9" s="1"/>
  <c r="J53" i="8"/>
  <c r="J55" i="8" s="1"/>
  <c r="K44" i="8"/>
  <c r="J48" i="8"/>
  <c r="J50" i="8" s="1"/>
  <c r="AS21" i="11"/>
  <c r="Z193" i="9"/>
  <c r="J501" i="9"/>
  <c r="J502" i="9"/>
  <c r="H49" i="9"/>
  <c r="H52" i="9" s="1"/>
  <c r="H341" i="9"/>
  <c r="H343" i="9" s="1"/>
  <c r="H346" i="9" s="1"/>
  <c r="BV27" i="14"/>
  <c r="CO107" i="14" s="1"/>
  <c r="CC28" i="14"/>
  <c r="AB251" i="9"/>
  <c r="K501" i="9"/>
  <c r="AG15" i="8" l="1"/>
  <c r="JX157" i="14"/>
  <c r="AE15" i="8"/>
  <c r="AF63" i="8"/>
  <c r="AE63" i="8"/>
  <c r="AD65" i="8"/>
  <c r="AD67" i="8" s="1"/>
  <c r="AC65" i="8"/>
  <c r="AC67" i="8" s="1"/>
  <c r="AM133" i="9"/>
  <c r="AN133" i="9" s="1"/>
  <c r="AO133" i="9" s="1"/>
  <c r="AP133" i="9" s="1"/>
  <c r="AM129" i="9"/>
  <c r="AI130" i="9"/>
  <c r="AL84" i="9"/>
  <c r="AM85" i="9"/>
  <c r="AH130" i="9"/>
  <c r="AH131" i="9"/>
  <c r="AH126" i="9" s="1"/>
  <c r="AH124" i="9" s="1"/>
  <c r="AH224" i="9" s="1"/>
  <c r="AJ290" i="9"/>
  <c r="AK84" i="9"/>
  <c r="AJ224" i="9"/>
  <c r="BB43" i="11"/>
  <c r="IN57" i="14"/>
  <c r="IN150" i="14" s="1"/>
  <c r="IN157" i="14"/>
  <c r="IP150" i="14"/>
  <c r="Y43" i="11"/>
  <c r="BG43" i="11" s="1"/>
  <c r="AM237" i="9"/>
  <c r="AN239" i="9"/>
  <c r="AG136" i="7"/>
  <c r="AL238" i="9"/>
  <c r="HY150" i="14"/>
  <c r="GH51" i="14"/>
  <c r="Z70" i="8"/>
  <c r="AI99" i="8"/>
  <c r="AN214" i="9" s="1"/>
  <c r="AG147" i="7"/>
  <c r="AX37" i="11"/>
  <c r="GZ73" i="14"/>
  <c r="GY73" i="14" s="1"/>
  <c r="GX73" i="14" s="1"/>
  <c r="AA18" i="8"/>
  <c r="AF147" i="7"/>
  <c r="AF88" i="7"/>
  <c r="AA152" i="9"/>
  <c r="AA163" i="9" s="1"/>
  <c r="AA156" i="9" s="1"/>
  <c r="GG50" i="14"/>
  <c r="GG51" i="14" s="1"/>
  <c r="AB23" i="8"/>
  <c r="GI51" i="14"/>
  <c r="AF59" i="8"/>
  <c r="AF124" i="9"/>
  <c r="O49" i="11"/>
  <c r="AW49" i="11" s="1"/>
  <c r="GI142" i="14"/>
  <c r="Z230" i="13"/>
  <c r="AD94" i="9"/>
  <c r="AE96" i="9"/>
  <c r="AE94" i="9" s="1"/>
  <c r="AK147" i="9"/>
  <c r="AK235" i="9"/>
  <c r="AK91" i="9"/>
  <c r="AI214" i="9"/>
  <c r="GZ142" i="14"/>
  <c r="AW41" i="11"/>
  <c r="FJ142" i="14"/>
  <c r="FH142" i="14"/>
  <c r="W79" i="8"/>
  <c r="AX45" i="11"/>
  <c r="AX26" i="11"/>
  <c r="FL41" i="14"/>
  <c r="FL33" i="14"/>
  <c r="X78" i="8"/>
  <c r="X79" i="8" s="1"/>
  <c r="AB52" i="8"/>
  <c r="AC52" i="8" s="1"/>
  <c r="AA69" i="8"/>
  <c r="AA70" i="8" s="1"/>
  <c r="IB73" i="14"/>
  <c r="AJ184" i="9"/>
  <c r="AD97" i="9"/>
  <c r="AG131" i="9"/>
  <c r="AG126" i="9" s="1"/>
  <c r="AG130" i="9"/>
  <c r="BA34" i="11"/>
  <c r="S50" i="11"/>
  <c r="BA50" i="11" s="1"/>
  <c r="AE124" i="9"/>
  <c r="AD224" i="9"/>
  <c r="AU25" i="11"/>
  <c r="AY28" i="11"/>
  <c r="L42" i="8"/>
  <c r="M7" i="9"/>
  <c r="L313" i="9"/>
  <c r="AD313" i="9"/>
  <c r="AE7" i="9"/>
  <c r="AB198" i="9"/>
  <c r="AG138" i="9"/>
  <c r="AG214" i="9"/>
  <c r="AC78" i="9"/>
  <c r="ET42" i="14"/>
  <c r="ER42" i="14"/>
  <c r="Y5" i="8"/>
  <c r="X26" i="8"/>
  <c r="X27" i="8" s="1"/>
  <c r="AA73" i="8"/>
  <c r="DJ42" i="14"/>
  <c r="DJ128" i="14"/>
  <c r="DF41" i="14"/>
  <c r="DF18" i="14"/>
  <c r="DF19" i="14" s="1"/>
  <c r="EL71" i="14"/>
  <c r="EL76" i="14"/>
  <c r="DF37" i="14"/>
  <c r="DF38" i="14" s="1"/>
  <c r="DJ27" i="14"/>
  <c r="DJ28" i="14" s="1"/>
  <c r="Z38" i="8"/>
  <c r="AA16" i="8"/>
  <c r="Z10" i="8"/>
  <c r="Z11" i="8" s="1"/>
  <c r="AC288" i="9"/>
  <c r="AC300" i="9" s="1"/>
  <c r="AD289" i="9"/>
  <c r="AD372" i="9"/>
  <c r="AD369" i="9"/>
  <c r="AE376" i="9"/>
  <c r="AF375" i="9"/>
  <c r="AE261" i="9"/>
  <c r="AF175" i="9"/>
  <c r="AF374" i="9"/>
  <c r="AG373" i="9"/>
  <c r="AF98" i="9"/>
  <c r="AE259" i="9"/>
  <c r="AF168" i="9"/>
  <c r="AG82" i="9"/>
  <c r="AF81" i="9"/>
  <c r="AF103" i="9"/>
  <c r="AG104" i="9"/>
  <c r="AH104" i="9" s="1"/>
  <c r="AH103" i="9" s="1"/>
  <c r="AD382" i="9"/>
  <c r="AE381" i="9"/>
  <c r="AD386" i="9"/>
  <c r="AE385" i="9"/>
  <c r="AE384" i="9"/>
  <c r="AF383" i="9"/>
  <c r="AE380" i="9"/>
  <c r="AF379" i="9"/>
  <c r="AE262" i="9"/>
  <c r="AF178" i="9"/>
  <c r="AE372" i="9"/>
  <c r="AG185" i="9"/>
  <c r="AF139" i="9"/>
  <c r="AF231" i="9"/>
  <c r="AT22" i="11"/>
  <c r="AB74" i="9"/>
  <c r="M48" i="11"/>
  <c r="AU48" i="11" s="1"/>
  <c r="BV107" i="14"/>
  <c r="CO28" i="14"/>
  <c r="CO128" i="14"/>
  <c r="Z159" i="9"/>
  <c r="AB209" i="9"/>
  <c r="AB202" i="9" s="1"/>
  <c r="AB201" i="9" s="1"/>
  <c r="Z162" i="9"/>
  <c r="Z160" i="9"/>
  <c r="Z163" i="9"/>
  <c r="Z156" i="9" s="1"/>
  <c r="Z158" i="9"/>
  <c r="Z12" i="9"/>
  <c r="Z161" i="9"/>
  <c r="Z153" i="9"/>
  <c r="BV28" i="14"/>
  <c r="J57" i="8"/>
  <c r="J43" i="8" s="1"/>
  <c r="J42" i="8" s="1"/>
  <c r="Z304" i="9"/>
  <c r="AA291" i="9"/>
  <c r="Z298" i="9"/>
  <c r="AA293" i="9"/>
  <c r="Z305" i="9"/>
  <c r="V36" i="8"/>
  <c r="X36" i="8"/>
  <c r="M62" i="8"/>
  <c r="M42" i="8" s="1"/>
  <c r="N75" i="8"/>
  <c r="Z292" i="9"/>
  <c r="Y294" i="9"/>
  <c r="N44" i="8"/>
  <c r="K48" i="8"/>
  <c r="K50" i="8" s="1"/>
  <c r="K53" i="8"/>
  <c r="K55" i="8" s="1"/>
  <c r="AT25" i="11"/>
  <c r="L48" i="11"/>
  <c r="AT48" i="11" s="1"/>
  <c r="AC172" i="9"/>
  <c r="AC370" i="9"/>
  <c r="L12" i="7"/>
  <c r="L122" i="7"/>
  <c r="L192" i="7"/>
  <c r="L93" i="7"/>
  <c r="M7" i="13"/>
  <c r="Q4" i="9" s="1"/>
  <c r="N5" i="13"/>
  <c r="M91" i="13"/>
  <c r="M193" i="13"/>
  <c r="M4" i="7"/>
  <c r="X6" i="8"/>
  <c r="X95" i="8"/>
  <c r="AB300" i="9"/>
  <c r="AB269" i="9"/>
  <c r="AB173" i="9" s="1"/>
  <c r="AB171" i="9" s="1"/>
  <c r="AB181" i="9" s="1"/>
  <c r="AB270" i="9" s="1"/>
  <c r="AA268" i="9"/>
  <c r="X301" i="9"/>
  <c r="X306" i="9"/>
  <c r="AA193" i="9"/>
  <c r="AC251" i="9"/>
  <c r="CC102" i="14"/>
  <c r="JZ157" i="14" l="1"/>
  <c r="JW157" i="14"/>
  <c r="JU157" i="14" s="1"/>
  <c r="AG210" i="7"/>
  <c r="AF210" i="7"/>
  <c r="AO207" i="9"/>
  <c r="AP207" i="9" s="1"/>
  <c r="AC69" i="8"/>
  <c r="AB18" i="8"/>
  <c r="AC23" i="8"/>
  <c r="AG66" i="8"/>
  <c r="AE65" i="8"/>
  <c r="AE67" i="8" s="1"/>
  <c r="AG63" i="8"/>
  <c r="AF65" i="8"/>
  <c r="AF67" i="8" s="1"/>
  <c r="AM130" i="9"/>
  <c r="AM131" i="9"/>
  <c r="AN129" i="9"/>
  <c r="AK90" i="9"/>
  <c r="AK87" i="9" s="1"/>
  <c r="AL91" i="9"/>
  <c r="AM84" i="9"/>
  <c r="AN85" i="9"/>
  <c r="AI139" i="9"/>
  <c r="AH139" i="9"/>
  <c r="AI373" i="9"/>
  <c r="AK373" i="9" s="1"/>
  <c r="AL373" i="9" s="1"/>
  <c r="AM373" i="9" s="1"/>
  <c r="AN373" i="9" s="1"/>
  <c r="AO373" i="9" s="1"/>
  <c r="AP373" i="9" s="1"/>
  <c r="AH373" i="9"/>
  <c r="AH374" i="9" s="1"/>
  <c r="AI82" i="9"/>
  <c r="AK82" i="9" s="1"/>
  <c r="AL82" i="9" s="1"/>
  <c r="AH82" i="9"/>
  <c r="AH81" i="9" s="1"/>
  <c r="AH79" i="9" s="1"/>
  <c r="AF371" i="9"/>
  <c r="AF372" i="9" s="1"/>
  <c r="AI104" i="9"/>
  <c r="AI103" i="9" s="1"/>
  <c r="AJ130" i="9"/>
  <c r="AJ185" i="9"/>
  <c r="AD23" i="8"/>
  <c r="AB71" i="8"/>
  <c r="AB73" i="8" s="1"/>
  <c r="AU139" i="9"/>
  <c r="IL157" i="14"/>
  <c r="IK157" i="14" s="1"/>
  <c r="IL57" i="14"/>
  <c r="IK57" i="14" s="1"/>
  <c r="IK150" i="14" s="1"/>
  <c r="AH136" i="7"/>
  <c r="AH210" i="7" s="1"/>
  <c r="AJ99" i="8"/>
  <c r="AO214" i="9" s="1"/>
  <c r="Z43" i="11"/>
  <c r="AN237" i="9"/>
  <c r="AO239" i="9"/>
  <c r="AP239" i="9" s="1"/>
  <c r="AP237" i="9" s="1"/>
  <c r="AA162" i="9"/>
  <c r="AH66" i="8"/>
  <c r="AC28" i="11"/>
  <c r="BK28" i="11" s="1"/>
  <c r="Z28" i="11"/>
  <c r="AM238" i="9"/>
  <c r="HY73" i="14"/>
  <c r="HX73" i="14" s="1"/>
  <c r="AA164" i="9"/>
  <c r="AA165" i="9" s="1"/>
  <c r="GZ41" i="14"/>
  <c r="AA157" i="9"/>
  <c r="AA158" i="9"/>
  <c r="AA153" i="9"/>
  <c r="AA159" i="9"/>
  <c r="AA160" i="9"/>
  <c r="AA12" i="9"/>
  <c r="AA65" i="9" s="1"/>
  <c r="AA161" i="9"/>
  <c r="AF224" i="9"/>
  <c r="AF89" i="7"/>
  <c r="AG88" i="7"/>
  <c r="AN58" i="8"/>
  <c r="GY142" i="14"/>
  <c r="GX142" i="14" s="1"/>
  <c r="GY143" i="14"/>
  <c r="GZ50" i="14"/>
  <c r="AE369" i="9"/>
  <c r="AE172" i="9" s="1"/>
  <c r="GZ143" i="14"/>
  <c r="AF173" i="7"/>
  <c r="FL37" i="14"/>
  <c r="FJ37" i="14" s="1"/>
  <c r="FJ38" i="14" s="1"/>
  <c r="BB28" i="11"/>
  <c r="BS28" i="11" s="1"/>
  <c r="Y28" i="11"/>
  <c r="BG28" i="11" s="1"/>
  <c r="BA26" i="11"/>
  <c r="AK129" i="9"/>
  <c r="GI143" i="14"/>
  <c r="GH143" i="14"/>
  <c r="GH142" i="14"/>
  <c r="GG142" i="14" s="1"/>
  <c r="AD77" i="9"/>
  <c r="AD198" i="9" s="1"/>
  <c r="Y95" i="8"/>
  <c r="AX29" i="11"/>
  <c r="FL34" i="14"/>
  <c r="FJ33" i="14"/>
  <c r="FJ34" i="14" s="1"/>
  <c r="AF79" i="9"/>
  <c r="Z13" i="9"/>
  <c r="Y6" i="8"/>
  <c r="AB194" i="9"/>
  <c r="AB191" i="9" s="1"/>
  <c r="AG231" i="9"/>
  <c r="AG139" i="9"/>
  <c r="AX49" i="11"/>
  <c r="Z17" i="9"/>
  <c r="Z57" i="9"/>
  <c r="AE80" i="9"/>
  <c r="FJ41" i="14"/>
  <c r="FH41" i="14"/>
  <c r="FH42" i="14" s="1"/>
  <c r="FL128" i="14"/>
  <c r="IB142" i="14"/>
  <c r="AX41" i="11"/>
  <c r="FL42" i="14"/>
  <c r="IB50" i="14"/>
  <c r="HY50" i="14" s="1"/>
  <c r="HX50" i="14" s="1"/>
  <c r="AF125" i="9"/>
  <c r="Y26" i="8"/>
  <c r="Y27" i="8" s="1"/>
  <c r="FL18" i="14"/>
  <c r="FH18" i="14" s="1"/>
  <c r="FH19" i="14" s="1"/>
  <c r="AD52" i="8"/>
  <c r="AE52" i="8" s="1"/>
  <c r="AB69" i="8"/>
  <c r="AG212" i="9"/>
  <c r="AH212" i="9" s="1"/>
  <c r="AE77" i="9"/>
  <c r="AD251" i="9"/>
  <c r="AE224" i="9"/>
  <c r="AE125" i="9"/>
  <c r="AW26" i="11"/>
  <c r="AY37" i="11"/>
  <c r="Q45" i="11"/>
  <c r="AY45" i="11" s="1"/>
  <c r="AC269" i="9"/>
  <c r="AC205" i="9"/>
  <c r="N48" i="11"/>
  <c r="AV48" i="11" s="1"/>
  <c r="AV25" i="11"/>
  <c r="AV23" i="11"/>
  <c r="AG124" i="9"/>
  <c r="AI125" i="9" s="1"/>
  <c r="IP73" i="14"/>
  <c r="AI185" i="9"/>
  <c r="AU24" i="11"/>
  <c r="AV24" i="11"/>
  <c r="BA28" i="11"/>
  <c r="AY32" i="11"/>
  <c r="AX25" i="11"/>
  <c r="AX48" i="11"/>
  <c r="Y78" i="8"/>
  <c r="Y79" i="8" s="1"/>
  <c r="AG103" i="9"/>
  <c r="AF7" i="9"/>
  <c r="AE313" i="9"/>
  <c r="AG81" i="9"/>
  <c r="AG79" i="9" s="1"/>
  <c r="AI80" i="9" s="1"/>
  <c r="N7" i="9"/>
  <c r="M313" i="9"/>
  <c r="Z18" i="9"/>
  <c r="Z19" i="9"/>
  <c r="AC74" i="9"/>
  <c r="AD95" i="9"/>
  <c r="AE97" i="9"/>
  <c r="AU22" i="11"/>
  <c r="DF42" i="14"/>
  <c r="DF128" i="14"/>
  <c r="EL70" i="14"/>
  <c r="EL165" i="14"/>
  <c r="DF27" i="14"/>
  <c r="DF28" i="14" s="1"/>
  <c r="AA38" i="8"/>
  <c r="AB16" i="8"/>
  <c r="AA10" i="8"/>
  <c r="AA11" i="8" s="1"/>
  <c r="Z5" i="8"/>
  <c r="AB268" i="9"/>
  <c r="AB265" i="9" s="1"/>
  <c r="AG374" i="9"/>
  <c r="AF261" i="9"/>
  <c r="AG175" i="9"/>
  <c r="AF376" i="9"/>
  <c r="AG375" i="9"/>
  <c r="AH375" i="9" s="1"/>
  <c r="AH376" i="9" s="1"/>
  <c r="AD370" i="9"/>
  <c r="AD172" i="9"/>
  <c r="AE289" i="9"/>
  <c r="AD288" i="9"/>
  <c r="AF262" i="9"/>
  <c r="AG178" i="9"/>
  <c r="AF380" i="9"/>
  <c r="AG379" i="9"/>
  <c r="AH379" i="9" s="1"/>
  <c r="AH380" i="9" s="1"/>
  <c r="AF384" i="9"/>
  <c r="AG383" i="9"/>
  <c r="AH383" i="9" s="1"/>
  <c r="AH384" i="9" s="1"/>
  <c r="AE386" i="9"/>
  <c r="AF385" i="9"/>
  <c r="AE382" i="9"/>
  <c r="AF381" i="9"/>
  <c r="AF259" i="9"/>
  <c r="AG168" i="9"/>
  <c r="AG98" i="9"/>
  <c r="AH98" i="9" s="1"/>
  <c r="AH96" i="9" s="1"/>
  <c r="AF96" i="9"/>
  <c r="AB152" i="9"/>
  <c r="AB163" i="9" s="1"/>
  <c r="AB156" i="9" s="1"/>
  <c r="AB75" i="9"/>
  <c r="AT21" i="11"/>
  <c r="CO104" i="14"/>
  <c r="Z164" i="9"/>
  <c r="Z165" i="9" s="1"/>
  <c r="K57" i="8"/>
  <c r="K43" i="8" s="1"/>
  <c r="K42" i="8" s="1"/>
  <c r="K39" i="8" s="1"/>
  <c r="EC105" i="14"/>
  <c r="CC105" i="14"/>
  <c r="Z65" i="9"/>
  <c r="Z16" i="9"/>
  <c r="BV102" i="14"/>
  <c r="CO105" i="14" s="1"/>
  <c r="CC104" i="14"/>
  <c r="M93" i="7"/>
  <c r="M12" i="7"/>
  <c r="M122" i="7"/>
  <c r="M192" i="7"/>
  <c r="Y301" i="9"/>
  <c r="Y277" i="9"/>
  <c r="Y306" i="9"/>
  <c r="O5" i="13"/>
  <c r="N7" i="13"/>
  <c r="R4" i="9" s="1"/>
  <c r="N91" i="13"/>
  <c r="N193" i="13"/>
  <c r="N4" i="7"/>
  <c r="N53" i="8"/>
  <c r="N55" i="8" s="1"/>
  <c r="Q44" i="8"/>
  <c r="N48" i="8"/>
  <c r="N50" i="8" s="1"/>
  <c r="AA292" i="9"/>
  <c r="Z294" i="9"/>
  <c r="N62" i="8"/>
  <c r="O75" i="8"/>
  <c r="W36" i="8"/>
  <c r="AA305" i="9"/>
  <c r="AB293" i="9"/>
  <c r="AB291" i="9"/>
  <c r="AA298" i="9"/>
  <c r="AA304" i="9"/>
  <c r="AA265" i="9"/>
  <c r="AS39" i="11"/>
  <c r="K47" i="11"/>
  <c r="AS47" i="11" s="1"/>
  <c r="AF212" i="7" l="1"/>
  <c r="AG212" i="7"/>
  <c r="AN238" i="9"/>
  <c r="AH147" i="7"/>
  <c r="AH212" i="7"/>
  <c r="BH28" i="11"/>
  <c r="AG69" i="8"/>
  <c r="AH63" i="8"/>
  <c r="AG65" i="8"/>
  <c r="AG67" i="8" s="1"/>
  <c r="AC18" i="8"/>
  <c r="AC71" i="8"/>
  <c r="AC16" i="8"/>
  <c r="AE69" i="8"/>
  <c r="AF23" i="8"/>
  <c r="AG23" i="8" s="1"/>
  <c r="AE23" i="8"/>
  <c r="AD71" i="8"/>
  <c r="AD73" i="8" s="1"/>
  <c r="AD18" i="8"/>
  <c r="AB70" i="8"/>
  <c r="AP129" i="9"/>
  <c r="AO129" i="9"/>
  <c r="AN130" i="9"/>
  <c r="AN131" i="9"/>
  <c r="AM82" i="9"/>
  <c r="AN82" i="9" s="1"/>
  <c r="AL81" i="9"/>
  <c r="AK131" i="9"/>
  <c r="AK132" i="9" s="1"/>
  <c r="AL130" i="9"/>
  <c r="AL90" i="9"/>
  <c r="AL87" i="9" s="1"/>
  <c r="AM91" i="9"/>
  <c r="AI81" i="9"/>
  <c r="AI93" i="9" s="1"/>
  <c r="AI374" i="9"/>
  <c r="AK104" i="9"/>
  <c r="AH80" i="9"/>
  <c r="AO85" i="9"/>
  <c r="AN84" i="9"/>
  <c r="AH94" i="9"/>
  <c r="AH77" i="9" s="1"/>
  <c r="AI195" i="9" s="1"/>
  <c r="AH125" i="9"/>
  <c r="AI178" i="9"/>
  <c r="AJ178" i="9" s="1"/>
  <c r="AJ262" i="9" s="1"/>
  <c r="AH178" i="9"/>
  <c r="AH262" i="9" s="1"/>
  <c r="AJ373" i="9"/>
  <c r="AJ374" i="9" s="1"/>
  <c r="AI168" i="9"/>
  <c r="AK168" i="9" s="1"/>
  <c r="AH168" i="9"/>
  <c r="AH259" i="9" s="1"/>
  <c r="AI175" i="9"/>
  <c r="AJ175" i="9" s="1"/>
  <c r="AJ261" i="9" s="1"/>
  <c r="AH175" i="9"/>
  <c r="AH261" i="9" s="1"/>
  <c r="AL374" i="9"/>
  <c r="AK374" i="9"/>
  <c r="AM374" i="9"/>
  <c r="AI98" i="9"/>
  <c r="AI96" i="9" s="1"/>
  <c r="AJ82" i="9"/>
  <c r="AJ81" i="9" s="1"/>
  <c r="AJ79" i="9" s="1"/>
  <c r="AJ80" i="9" s="1"/>
  <c r="AK81" i="9"/>
  <c r="AK93" i="9" s="1"/>
  <c r="AN374" i="9"/>
  <c r="AH371" i="9"/>
  <c r="AJ104" i="9"/>
  <c r="AJ103" i="9" s="1"/>
  <c r="AT125" i="9"/>
  <c r="AJ125" i="9"/>
  <c r="AP238" i="9"/>
  <c r="AC43" i="11"/>
  <c r="BK43" i="11" s="1"/>
  <c r="AE230" i="13"/>
  <c r="AP374" i="9"/>
  <c r="AI136" i="7"/>
  <c r="AI210" i="7" s="1"/>
  <c r="AK99" i="8"/>
  <c r="AP214" i="9" s="1"/>
  <c r="AO237" i="9"/>
  <c r="AB28" i="11"/>
  <c r="BJ28" i="11" s="1"/>
  <c r="AE370" i="9"/>
  <c r="BH43" i="11"/>
  <c r="AT80" i="9"/>
  <c r="JH73" i="14"/>
  <c r="JH50" i="14"/>
  <c r="BB32" i="11"/>
  <c r="BS32" i="11" s="1"/>
  <c r="AO374" i="9"/>
  <c r="AD230" i="13"/>
  <c r="IN73" i="14"/>
  <c r="AI66" i="8"/>
  <c r="AI212" i="9"/>
  <c r="AA43" i="11"/>
  <c r="AU80" i="9"/>
  <c r="AU125" i="9"/>
  <c r="JH41" i="14"/>
  <c r="GZ42" i="14"/>
  <c r="AL142" i="9"/>
  <c r="AA28" i="11"/>
  <c r="BI28" i="11" s="1"/>
  <c r="BU28" i="11" s="1"/>
  <c r="GZ128" i="14"/>
  <c r="AH59" i="8"/>
  <c r="AI58" i="8"/>
  <c r="AO58" i="8" s="1"/>
  <c r="IB143" i="14"/>
  <c r="HY143" i="14" s="1"/>
  <c r="HY142" i="14"/>
  <c r="HX142" i="14" s="1"/>
  <c r="AA16" i="9"/>
  <c r="AA57" i="9"/>
  <c r="AG89" i="7"/>
  <c r="AH88" i="7"/>
  <c r="GY41" i="14"/>
  <c r="GY42" i="14" s="1"/>
  <c r="AY29" i="11"/>
  <c r="GY50" i="14"/>
  <c r="GX50" i="14" s="1"/>
  <c r="FL38" i="14"/>
  <c r="AA19" i="9"/>
  <c r="AA18" i="9"/>
  <c r="AA17" i="9"/>
  <c r="AF74" i="7"/>
  <c r="AG74" i="7" s="1"/>
  <c r="AH74" i="7" s="1"/>
  <c r="AI74" i="7" s="1"/>
  <c r="AJ74" i="7" s="1"/>
  <c r="AK130" i="9"/>
  <c r="AF172" i="7"/>
  <c r="AF141" i="7" s="1"/>
  <c r="AG173" i="7"/>
  <c r="GZ51" i="14"/>
  <c r="AI224" i="9"/>
  <c r="AF369" i="9"/>
  <c r="AF370" i="9" s="1"/>
  <c r="FL27" i="14"/>
  <c r="FJ27" i="14" s="1"/>
  <c r="AF178" i="7"/>
  <c r="AK185" i="9"/>
  <c r="AB193" i="9"/>
  <c r="AX23" i="11"/>
  <c r="BB26" i="11"/>
  <c r="BS26" i="11" s="1"/>
  <c r="GI18" i="14"/>
  <c r="GI41" i="14"/>
  <c r="BA23" i="11"/>
  <c r="AF80" i="9"/>
  <c r="AD69" i="8"/>
  <c r="FL106" i="14"/>
  <c r="Q49" i="11"/>
  <c r="AY49" i="11" s="1"/>
  <c r="FL19" i="14"/>
  <c r="FJ18" i="14"/>
  <c r="FJ19" i="14" s="1"/>
  <c r="AC268" i="9"/>
  <c r="AY41" i="11"/>
  <c r="FJ42" i="14"/>
  <c r="FJ128" i="14"/>
  <c r="IP142" i="14"/>
  <c r="FH128" i="14"/>
  <c r="AF94" i="9"/>
  <c r="Z26" i="8"/>
  <c r="Z27" i="8" s="1"/>
  <c r="Z6" i="8"/>
  <c r="AE198" i="9"/>
  <c r="AG384" i="9"/>
  <c r="AI383" i="9"/>
  <c r="AJ383" i="9" s="1"/>
  <c r="AJ384" i="9" s="1"/>
  <c r="AG380" i="9"/>
  <c r="AI379" i="9"/>
  <c r="AJ379" i="9" s="1"/>
  <c r="AJ380" i="9" s="1"/>
  <c r="AG376" i="9"/>
  <c r="AI375" i="9"/>
  <c r="AG371" i="9"/>
  <c r="AG372" i="9" s="1"/>
  <c r="IB41" i="14"/>
  <c r="HY41" i="14" s="1"/>
  <c r="HX41" i="14" s="1"/>
  <c r="AG224" i="9"/>
  <c r="AG125" i="9"/>
  <c r="AC209" i="9"/>
  <c r="AC203" i="9"/>
  <c r="BA37" i="11"/>
  <c r="S45" i="11"/>
  <c r="BA45" i="11" s="1"/>
  <c r="AY26" i="11"/>
  <c r="AC173" i="9"/>
  <c r="AW25" i="11"/>
  <c r="O48" i="11"/>
  <c r="AW48" i="11" s="1"/>
  <c r="AE251" i="9"/>
  <c r="AE95" i="9"/>
  <c r="AW23" i="11"/>
  <c r="ER11" i="14"/>
  <c r="BA32" i="11"/>
  <c r="IP50" i="14"/>
  <c r="AI231" i="9"/>
  <c r="AG80" i="9"/>
  <c r="AD16" i="8"/>
  <c r="AF16" i="8" s="1"/>
  <c r="AC75" i="9"/>
  <c r="AG259" i="9"/>
  <c r="O7" i="9"/>
  <c r="N313" i="9"/>
  <c r="AF313" i="9"/>
  <c r="AG7" i="9"/>
  <c r="AG96" i="9"/>
  <c r="AG94" i="9" s="1"/>
  <c r="AI95" i="9" s="1"/>
  <c r="AG262" i="9"/>
  <c r="AG261" i="9"/>
  <c r="AC152" i="9"/>
  <c r="AC162" i="9" s="1"/>
  <c r="AD78" i="9"/>
  <c r="AF97" i="9"/>
  <c r="AB160" i="9"/>
  <c r="DJ10" i="14"/>
  <c r="DJ11" i="14" s="1"/>
  <c r="DF10" i="14"/>
  <c r="EP70" i="14"/>
  <c r="AB157" i="9"/>
  <c r="AB38" i="8"/>
  <c r="AB10" i="8"/>
  <c r="AB11" i="8" s="1"/>
  <c r="Z78" i="8"/>
  <c r="Z79" i="8" s="1"/>
  <c r="Z95" i="8"/>
  <c r="Z96" i="8" s="1"/>
  <c r="AA5" i="8"/>
  <c r="DJ102" i="14"/>
  <c r="AF382" i="9"/>
  <c r="AG381" i="9"/>
  <c r="AH381" i="9" s="1"/>
  <c r="AH382" i="9" s="1"/>
  <c r="AF386" i="9"/>
  <c r="AG385" i="9"/>
  <c r="AH385" i="9" s="1"/>
  <c r="AH386" i="9" s="1"/>
  <c r="AD269" i="9"/>
  <c r="AD300" i="9"/>
  <c r="AE288" i="9"/>
  <c r="AF289" i="9"/>
  <c r="AB159" i="9"/>
  <c r="AB153" i="9"/>
  <c r="AB164" i="9"/>
  <c r="AB165" i="9" s="1"/>
  <c r="AB158" i="9"/>
  <c r="AB162" i="9"/>
  <c r="AB12" i="9"/>
  <c r="AB57" i="9" s="1"/>
  <c r="AB161" i="9"/>
  <c r="AA13" i="9"/>
  <c r="BV104" i="14"/>
  <c r="BV105" i="14"/>
  <c r="AB304" i="9"/>
  <c r="AC291" i="9"/>
  <c r="AB298" i="9"/>
  <c r="Z277" i="9"/>
  <c r="Z252" i="9" s="1"/>
  <c r="Z250" i="9" s="1"/>
  <c r="Z306" i="9"/>
  <c r="Z301" i="9"/>
  <c r="T44" i="8"/>
  <c r="Q48" i="8"/>
  <c r="Q55" i="8"/>
  <c r="Q53" i="8"/>
  <c r="N12" i="7"/>
  <c r="N122" i="7"/>
  <c r="N192" i="7"/>
  <c r="N93" i="7"/>
  <c r="O7" i="13"/>
  <c r="S4" i="9" s="1"/>
  <c r="P5" i="13"/>
  <c r="O91" i="13"/>
  <c r="O193" i="13"/>
  <c r="O4" i="7"/>
  <c r="K12" i="11"/>
  <c r="AC293" i="9"/>
  <c r="AB305" i="9"/>
  <c r="O62" i="8"/>
  <c r="O42" i="8" s="1"/>
  <c r="O39" i="8" s="1"/>
  <c r="O40" i="8" s="1"/>
  <c r="P75" i="8"/>
  <c r="AA294" i="9"/>
  <c r="AB292" i="9"/>
  <c r="N57" i="8"/>
  <c r="N43" i="8" s="1"/>
  <c r="N42" i="8" s="1"/>
  <c r="N39" i="8" s="1"/>
  <c r="AR12" i="11"/>
  <c r="AR13" i="11"/>
  <c r="I19" i="11"/>
  <c r="Y276" i="9"/>
  <c r="Y252" i="9"/>
  <c r="Y250" i="9" s="1"/>
  <c r="AT39" i="11"/>
  <c r="L47" i="11"/>
  <c r="AT47" i="11" s="1"/>
  <c r="AL93" i="9" l="1"/>
  <c r="AM93" i="9" s="1"/>
  <c r="AN93" i="9" s="1"/>
  <c r="AO93" i="9" s="1"/>
  <c r="AP93" i="9" s="1"/>
  <c r="BI43" i="11"/>
  <c r="AL132" i="9"/>
  <c r="AO238" i="9"/>
  <c r="AD70" i="8"/>
  <c r="AF216" i="7"/>
  <c r="AI212" i="7"/>
  <c r="AI147" i="7"/>
  <c r="AD38" i="8"/>
  <c r="AH69" i="8"/>
  <c r="AH23" i="8"/>
  <c r="AH71" i="8" s="1"/>
  <c r="AF22" i="8"/>
  <c r="AC38" i="8"/>
  <c r="AC10" i="8"/>
  <c r="AC70" i="8"/>
  <c r="AC73" i="8"/>
  <c r="AF71" i="8"/>
  <c r="AF73" i="8" s="1"/>
  <c r="AI63" i="8"/>
  <c r="AL138" i="9"/>
  <c r="JX50" i="14" s="1"/>
  <c r="JW50" i="14" s="1"/>
  <c r="JU50" i="14" s="1"/>
  <c r="AL79" i="9"/>
  <c r="AE16" i="8"/>
  <c r="AE71" i="8"/>
  <c r="AE18" i="8"/>
  <c r="AM81" i="9"/>
  <c r="AL104" i="9"/>
  <c r="AL103" i="9" s="1"/>
  <c r="AK103" i="9"/>
  <c r="AI259" i="9"/>
  <c r="AO131" i="9"/>
  <c r="AO130" i="9"/>
  <c r="AP131" i="9"/>
  <c r="AP130" i="9"/>
  <c r="AO82" i="9"/>
  <c r="AN81" i="9"/>
  <c r="AI261" i="9"/>
  <c r="AK178" i="9"/>
  <c r="AK262" i="9" s="1"/>
  <c r="AI262" i="9"/>
  <c r="AN91" i="9"/>
  <c r="AM90" i="9"/>
  <c r="AM87" i="9" s="1"/>
  <c r="AK259" i="9"/>
  <c r="AL168" i="9"/>
  <c r="AM168" i="9" s="1"/>
  <c r="AN168" i="9" s="1"/>
  <c r="AO168" i="9" s="1"/>
  <c r="AP168" i="9" s="1"/>
  <c r="AP259" i="9" s="1"/>
  <c r="AP85" i="9"/>
  <c r="AP84" i="9" s="1"/>
  <c r="AO84" i="9"/>
  <c r="AJ168" i="9"/>
  <c r="AJ259" i="9" s="1"/>
  <c r="AK98" i="9"/>
  <c r="AK96" i="9" s="1"/>
  <c r="AK175" i="9"/>
  <c r="AK261" i="9" s="1"/>
  <c r="AH95" i="9"/>
  <c r="AH211" i="9" s="1"/>
  <c r="AI7" i="9"/>
  <c r="AJ7" i="9" s="1"/>
  <c r="AJ313" i="9" s="1"/>
  <c r="AH7" i="9"/>
  <c r="AH313" i="9" s="1"/>
  <c r="AH372" i="9"/>
  <c r="AH97" i="9"/>
  <c r="AH369" i="9"/>
  <c r="AI97" i="9"/>
  <c r="AJ98" i="9"/>
  <c r="AJ96" i="9" s="1"/>
  <c r="AJ94" i="9" s="1"/>
  <c r="AJ95" i="9" s="1"/>
  <c r="AK375" i="9"/>
  <c r="AL375" i="9" s="1"/>
  <c r="AM375" i="9" s="1"/>
  <c r="AN375" i="9" s="1"/>
  <c r="AN376" i="9" s="1"/>
  <c r="AJ375" i="9"/>
  <c r="AK212" i="9"/>
  <c r="AL212" i="9" s="1"/>
  <c r="AM212" i="9" s="1"/>
  <c r="AN212" i="9" s="1"/>
  <c r="AJ212" i="9"/>
  <c r="AE34" i="7"/>
  <c r="AF34" i="7" s="1"/>
  <c r="AF33" i="7" s="1"/>
  <c r="AF131" i="7" s="1"/>
  <c r="AG131" i="7" s="1"/>
  <c r="AB43" i="11"/>
  <c r="BJ43" i="11" s="1"/>
  <c r="AF172" i="9"/>
  <c r="DF5" i="14"/>
  <c r="DF6" i="14" s="1"/>
  <c r="DF11" i="14"/>
  <c r="AJ214" i="7"/>
  <c r="AJ136" i="7"/>
  <c r="AJ66" i="8"/>
  <c r="JH51" i="14"/>
  <c r="JH42" i="14"/>
  <c r="JH128" i="14"/>
  <c r="AT95" i="9"/>
  <c r="BB23" i="11"/>
  <c r="BS23" i="11" s="1"/>
  <c r="AU95" i="9"/>
  <c r="AF55" i="7"/>
  <c r="IL73" i="14"/>
  <c r="IK73" i="14" s="1"/>
  <c r="IN50" i="14"/>
  <c r="IL50" i="14" s="1"/>
  <c r="IN142" i="14"/>
  <c r="Y32" i="11"/>
  <c r="BG32" i="11" s="1"/>
  <c r="AI214" i="7"/>
  <c r="AH89" i="7"/>
  <c r="AI88" i="7"/>
  <c r="AM184" i="9"/>
  <c r="AI59" i="8"/>
  <c r="AJ58" i="8"/>
  <c r="AK58" i="8" s="1"/>
  <c r="AK59" i="8" s="1"/>
  <c r="IP51" i="14"/>
  <c r="IP143" i="14"/>
  <c r="BA25" i="11"/>
  <c r="IP41" i="14"/>
  <c r="BB29" i="11"/>
  <c r="BS29" i="11" s="1"/>
  <c r="AG77" i="9"/>
  <c r="BB25" i="11"/>
  <c r="BS25" i="11" s="1"/>
  <c r="AM142" i="9"/>
  <c r="S48" i="11"/>
  <c r="BA48" i="11" s="1"/>
  <c r="AH214" i="7"/>
  <c r="AG172" i="7"/>
  <c r="AG141" i="7" s="1"/>
  <c r="AH173" i="7"/>
  <c r="GY128" i="14"/>
  <c r="GX41" i="14"/>
  <c r="GX128" i="14" s="1"/>
  <c r="FL28" i="14"/>
  <c r="GY51" i="14"/>
  <c r="IB51" i="14"/>
  <c r="IB42" i="14"/>
  <c r="FH27" i="14"/>
  <c r="FH28" i="14" s="1"/>
  <c r="GX51" i="14"/>
  <c r="AF251" i="9"/>
  <c r="AF186" i="7"/>
  <c r="AF176" i="7"/>
  <c r="AG178" i="7"/>
  <c r="AF150" i="7"/>
  <c r="AG150" i="7" s="1"/>
  <c r="AH150" i="7" s="1"/>
  <c r="AI150" i="7" s="1"/>
  <c r="AJ150" i="7" s="1"/>
  <c r="AD268" i="9"/>
  <c r="AG214" i="7"/>
  <c r="AA26" i="8"/>
  <c r="AA27" i="8" s="1"/>
  <c r="GZ18" i="14"/>
  <c r="AK139" i="9"/>
  <c r="AF75" i="7"/>
  <c r="AF214" i="7"/>
  <c r="AF35" i="7"/>
  <c r="AK224" i="9"/>
  <c r="AF77" i="9"/>
  <c r="AK80" i="9"/>
  <c r="BB37" i="11"/>
  <c r="BB45" i="11"/>
  <c r="AK125" i="9"/>
  <c r="AK231" i="9"/>
  <c r="Y37" i="11"/>
  <c r="AL185" i="9"/>
  <c r="BB41" i="11"/>
  <c r="GH18" i="14"/>
  <c r="GH41" i="14"/>
  <c r="GI128" i="14"/>
  <c r="FJ28" i="14"/>
  <c r="AF169" i="7"/>
  <c r="AG169" i="7" s="1"/>
  <c r="AH169" i="7" s="1"/>
  <c r="AI169" i="7" s="1"/>
  <c r="AJ169" i="7" s="1"/>
  <c r="GI19" i="14"/>
  <c r="GI42" i="14"/>
  <c r="AK376" i="9"/>
  <c r="AK371" i="9"/>
  <c r="AI380" i="9"/>
  <c r="AK379" i="9"/>
  <c r="AI384" i="9"/>
  <c r="AK383" i="9"/>
  <c r="AF69" i="8"/>
  <c r="FL107" i="14"/>
  <c r="FH107" i="14" s="1"/>
  <c r="FH106" i="14"/>
  <c r="BA24" i="11"/>
  <c r="FL10" i="14"/>
  <c r="AG369" i="9"/>
  <c r="AG370" i="9" s="1"/>
  <c r="BA41" i="11"/>
  <c r="FM105" i="14"/>
  <c r="AV21" i="11"/>
  <c r="AD75" i="9"/>
  <c r="AC161" i="9"/>
  <c r="AD291" i="9"/>
  <c r="AE291" i="9" s="1"/>
  <c r="AE298" i="9" s="1"/>
  <c r="AG386" i="9"/>
  <c r="AI385" i="9"/>
  <c r="AJ385" i="9" s="1"/>
  <c r="AJ386" i="9" s="1"/>
  <c r="AG382" i="9"/>
  <c r="AI381" i="9"/>
  <c r="AJ381" i="9" s="1"/>
  <c r="AJ382" i="9" s="1"/>
  <c r="AC171" i="9"/>
  <c r="AY25" i="11"/>
  <c r="Q48" i="11"/>
  <c r="AY48" i="11" s="1"/>
  <c r="AI376" i="9"/>
  <c r="AI371" i="9"/>
  <c r="AD173" i="9"/>
  <c r="AC202" i="9"/>
  <c r="AC201" i="9" s="1"/>
  <c r="AD205" i="9"/>
  <c r="AC163" i="9"/>
  <c r="AC156" i="9" s="1"/>
  <c r="AC157" i="9"/>
  <c r="AC12" i="9"/>
  <c r="AY23" i="11"/>
  <c r="AV22" i="11"/>
  <c r="AW24" i="11"/>
  <c r="AU21" i="11"/>
  <c r="BA29" i="11"/>
  <c r="S49" i="11"/>
  <c r="BA49" i="11" s="1"/>
  <c r="AF95" i="9"/>
  <c r="AG97" i="9"/>
  <c r="AC158" i="9"/>
  <c r="AC159" i="9"/>
  <c r="AC160" i="9"/>
  <c r="AC153" i="9"/>
  <c r="AI211" i="9"/>
  <c r="AD10" i="8"/>
  <c r="AG313" i="9"/>
  <c r="P7" i="9"/>
  <c r="O313" i="9"/>
  <c r="AE74" i="9"/>
  <c r="AG95" i="9"/>
  <c r="AE78" i="9"/>
  <c r="AB17" i="9"/>
  <c r="AB65" i="9"/>
  <c r="Z37" i="8"/>
  <c r="Z36" i="8" s="1"/>
  <c r="AB19" i="9"/>
  <c r="AB18" i="9"/>
  <c r="DF102" i="14"/>
  <c r="DF104" i="14" s="1"/>
  <c r="DJ104" i="14"/>
  <c r="EP165" i="14"/>
  <c r="AB16" i="9"/>
  <c r="AA78" i="8"/>
  <c r="AA79" i="8" s="1"/>
  <c r="AA95" i="8"/>
  <c r="AA96" i="8" s="1"/>
  <c r="AA6" i="8"/>
  <c r="AB5" i="8"/>
  <c r="DJ5" i="14"/>
  <c r="DJ6" i="14" s="1"/>
  <c r="AE300" i="9"/>
  <c r="AE269" i="9"/>
  <c r="AC305" i="9"/>
  <c r="AD293" i="9"/>
  <c r="AG289" i="9"/>
  <c r="AH289" i="9" s="1"/>
  <c r="AH288" i="9" s="1"/>
  <c r="AF288" i="9"/>
  <c r="AB13" i="9"/>
  <c r="K13" i="11"/>
  <c r="AS13" i="11" s="1"/>
  <c r="K19" i="11"/>
  <c r="K52" i="11" s="1"/>
  <c r="Y256" i="9"/>
  <c r="Y263" i="9" s="1"/>
  <c r="Y260" i="9"/>
  <c r="L12" i="11"/>
  <c r="AA277" i="9"/>
  <c r="AA252" i="9" s="1"/>
  <c r="AA250" i="9" s="1"/>
  <c r="AA306" i="9"/>
  <c r="AA301" i="9"/>
  <c r="O93" i="7"/>
  <c r="O12" i="7"/>
  <c r="O122" i="7"/>
  <c r="O192" i="7"/>
  <c r="Q54" i="8"/>
  <c r="T48" i="8"/>
  <c r="U44" i="8"/>
  <c r="T53" i="8"/>
  <c r="Z260" i="9"/>
  <c r="Z256" i="9"/>
  <c r="Z263" i="9" s="1"/>
  <c r="AC298" i="9"/>
  <c r="AC304" i="9"/>
  <c r="Y284" i="9"/>
  <c r="Z276" i="9"/>
  <c r="Y273" i="9"/>
  <c r="Y282" i="9" s="1"/>
  <c r="AR19" i="11"/>
  <c r="AB294" i="9"/>
  <c r="AC292" i="9"/>
  <c r="P62" i="8"/>
  <c r="P42" i="8" s="1"/>
  <c r="P39" i="8" s="1"/>
  <c r="P40" i="8" s="1"/>
  <c r="Q75" i="8"/>
  <c r="AS12" i="11"/>
  <c r="Q5" i="13"/>
  <c r="P7" i="13"/>
  <c r="T4" i="9" s="1"/>
  <c r="P91" i="13"/>
  <c r="P193" i="13"/>
  <c r="P4" i="7"/>
  <c r="O48" i="8"/>
  <c r="O49" i="8" s="1"/>
  <c r="Q50" i="8"/>
  <c r="Q57" i="8" s="1"/>
  <c r="Q43" i="8" s="1"/>
  <c r="AL126" i="9" l="1"/>
  <c r="AL124" i="9" s="1"/>
  <c r="BS37" i="11"/>
  <c r="AM132" i="9"/>
  <c r="AN132" i="9" s="1"/>
  <c r="AM138" i="9"/>
  <c r="AF38" i="8"/>
  <c r="AM185" i="9"/>
  <c r="AI34" i="7"/>
  <c r="AH33" i="7"/>
  <c r="AG35" i="7"/>
  <c r="AG196" i="7" s="1"/>
  <c r="AG216" i="7"/>
  <c r="AJ147" i="7"/>
  <c r="AJ210" i="7"/>
  <c r="AF41" i="8"/>
  <c r="AL139" i="9"/>
  <c r="AL231" i="9"/>
  <c r="Y29" i="11"/>
  <c r="BG29" i="11" s="1"/>
  <c r="AI69" i="8"/>
  <c r="AG18" i="8"/>
  <c r="AG22" i="8"/>
  <c r="AG71" i="8"/>
  <c r="AG70" i="8" s="1"/>
  <c r="AK66" i="8"/>
  <c r="AG16" i="8"/>
  <c r="AG38" i="8" s="1"/>
  <c r="AF10" i="8"/>
  <c r="AI23" i="8"/>
  <c r="AI71" i="8" s="1"/>
  <c r="AH18" i="8"/>
  <c r="AF70" i="8"/>
  <c r="AJ63" i="8"/>
  <c r="AH70" i="8"/>
  <c r="AC11" i="8"/>
  <c r="AC5" i="8"/>
  <c r="AC26" i="8" s="1"/>
  <c r="AC27" i="8" s="1"/>
  <c r="AL178" i="9"/>
  <c r="AL262" i="9" s="1"/>
  <c r="AM104" i="9"/>
  <c r="AN104" i="9" s="1"/>
  <c r="AO104" i="9" s="1"/>
  <c r="AP104" i="9" s="1"/>
  <c r="AE10" i="8"/>
  <c r="AE5" i="8" s="1"/>
  <c r="AE38" i="8"/>
  <c r="AE70" i="8"/>
  <c r="AE73" i="8"/>
  <c r="AL175" i="9"/>
  <c r="AL261" i="9" s="1"/>
  <c r="AM79" i="9"/>
  <c r="AP82" i="9"/>
  <c r="AP81" i="9" s="1"/>
  <c r="AO81" i="9"/>
  <c r="AO375" i="9"/>
  <c r="AP375" i="9" s="1"/>
  <c r="AP371" i="9" s="1"/>
  <c r="AM371" i="9"/>
  <c r="AL371" i="9"/>
  <c r="AL372" i="9" s="1"/>
  <c r="AM259" i="9"/>
  <c r="AM376" i="9"/>
  <c r="AH78" i="9"/>
  <c r="AL120" i="9"/>
  <c r="AL376" i="9"/>
  <c r="AL259" i="9"/>
  <c r="AN259" i="9"/>
  <c r="AO259" i="9"/>
  <c r="AI313" i="9"/>
  <c r="AK7" i="9"/>
  <c r="AL7" i="9" s="1"/>
  <c r="AN90" i="9"/>
  <c r="AN87" i="9" s="1"/>
  <c r="AN79" i="9" s="1"/>
  <c r="AO91" i="9"/>
  <c r="AL80" i="9"/>
  <c r="AL98" i="9"/>
  <c r="AH198" i="9"/>
  <c r="AH269" i="9"/>
  <c r="AH173" i="9" s="1"/>
  <c r="AH370" i="9"/>
  <c r="AN371" i="9"/>
  <c r="AJ97" i="9"/>
  <c r="AI78" i="9"/>
  <c r="AI120" i="9"/>
  <c r="AH172" i="9"/>
  <c r="AT78" i="9"/>
  <c r="AJ120" i="9"/>
  <c r="AJ376" i="9"/>
  <c r="AJ371" i="9"/>
  <c r="AC57" i="9"/>
  <c r="FH10" i="14"/>
  <c r="FH11" i="14" s="1"/>
  <c r="FL11" i="14"/>
  <c r="AJ170" i="7"/>
  <c r="AJ218" i="7"/>
  <c r="AI89" i="7"/>
  <c r="AJ88" i="7"/>
  <c r="Z37" i="11"/>
  <c r="AJ59" i="8"/>
  <c r="AP58" i="8"/>
  <c r="AG251" i="9"/>
  <c r="AH251" i="9" s="1"/>
  <c r="BB24" i="11"/>
  <c r="AI198" i="9"/>
  <c r="AK120" i="9"/>
  <c r="AK198" i="9" s="1"/>
  <c r="AG55" i="7"/>
  <c r="IK50" i="14"/>
  <c r="IL51" i="14"/>
  <c r="IL142" i="14"/>
  <c r="IK142" i="14" s="1"/>
  <c r="IN51" i="14"/>
  <c r="IN41" i="14"/>
  <c r="IL41" i="14" s="1"/>
  <c r="AI170" i="7"/>
  <c r="AI218" i="7"/>
  <c r="AH172" i="7"/>
  <c r="AH141" i="7" s="1"/>
  <c r="AI173" i="7"/>
  <c r="AG186" i="7"/>
  <c r="IN143" i="14"/>
  <c r="AN184" i="9"/>
  <c r="IP42" i="14"/>
  <c r="IP128" i="14"/>
  <c r="BB48" i="11"/>
  <c r="AU78" i="9"/>
  <c r="GY18" i="14"/>
  <c r="GX18" i="14" s="1"/>
  <c r="GX19" i="14" s="1"/>
  <c r="Y23" i="11"/>
  <c r="BG23" i="11" s="1"/>
  <c r="AN142" i="9"/>
  <c r="Z32" i="11"/>
  <c r="GX42" i="14"/>
  <c r="AH170" i="7"/>
  <c r="AG176" i="7"/>
  <c r="AH178" i="7"/>
  <c r="AH218" i="7"/>
  <c r="HX51" i="14"/>
  <c r="HY51" i="14"/>
  <c r="HY42" i="14"/>
  <c r="IB128" i="14"/>
  <c r="AF218" i="7"/>
  <c r="AB26" i="8"/>
  <c r="AB27" i="8" s="1"/>
  <c r="IB18" i="14"/>
  <c r="GG41" i="14"/>
  <c r="GG42" i="14" s="1"/>
  <c r="AG172" i="9"/>
  <c r="AE268" i="9"/>
  <c r="AG75" i="7"/>
  <c r="Y41" i="11"/>
  <c r="BG41" i="11" s="1"/>
  <c r="AG170" i="7"/>
  <c r="AG218" i="7"/>
  <c r="AM175" i="9"/>
  <c r="AN175" i="9" s="1"/>
  <c r="AO175" i="9" s="1"/>
  <c r="AP175" i="9" s="1"/>
  <c r="AP261" i="9" s="1"/>
  <c r="Y45" i="11"/>
  <c r="BG45" i="11" s="1"/>
  <c r="BG37" i="11"/>
  <c r="GZ19" i="14"/>
  <c r="AD298" i="9"/>
  <c r="GH42" i="14"/>
  <c r="AF134" i="7"/>
  <c r="AF135" i="7" s="1"/>
  <c r="AF170" i="7"/>
  <c r="AF196" i="7"/>
  <c r="AF198" i="9"/>
  <c r="AG198" i="9"/>
  <c r="GH19" i="14"/>
  <c r="GG18" i="14"/>
  <c r="GG19" i="14" s="1"/>
  <c r="AK384" i="9"/>
  <c r="AL383" i="9"/>
  <c r="AK380" i="9"/>
  <c r="AL379" i="9"/>
  <c r="BB49" i="11"/>
  <c r="GH128" i="14"/>
  <c r="P48" i="8"/>
  <c r="P49" i="8" s="1"/>
  <c r="GI27" i="14"/>
  <c r="GH27" i="14" s="1"/>
  <c r="FE107" i="14"/>
  <c r="AK372" i="9"/>
  <c r="AI382" i="9"/>
  <c r="AK381" i="9"/>
  <c r="AI386" i="9"/>
  <c r="AK385" i="9"/>
  <c r="FC107" i="14"/>
  <c r="FJ107" i="14"/>
  <c r="FJ10" i="14"/>
  <c r="FJ11" i="14" s="1"/>
  <c r="AD209" i="9"/>
  <c r="AD163" i="9"/>
  <c r="AD164" i="9" s="1"/>
  <c r="AK95" i="9"/>
  <c r="AD11" i="8"/>
  <c r="AD304" i="9"/>
  <c r="EX104" i="14"/>
  <c r="FO102" i="14"/>
  <c r="AD162" i="9"/>
  <c r="AD159" i="9"/>
  <c r="AD158" i="9"/>
  <c r="AD160" i="9"/>
  <c r="IP27" i="14"/>
  <c r="AW22" i="11"/>
  <c r="AD157" i="9"/>
  <c r="AD12" i="9"/>
  <c r="AD161" i="9"/>
  <c r="AD153" i="9"/>
  <c r="AC65" i="9"/>
  <c r="AC16" i="9"/>
  <c r="AC19" i="9"/>
  <c r="AG288" i="9"/>
  <c r="AG269" i="9" s="1"/>
  <c r="AG173" i="9" s="1"/>
  <c r="AI289" i="9"/>
  <c r="AJ289" i="9" s="1"/>
  <c r="AJ288" i="9" s="1"/>
  <c r="AE173" i="9"/>
  <c r="AI372" i="9"/>
  <c r="AI369" i="9"/>
  <c r="AD171" i="9"/>
  <c r="AC181" i="9"/>
  <c r="AE205" i="9"/>
  <c r="AD203" i="9"/>
  <c r="AE75" i="9"/>
  <c r="AC13" i="9"/>
  <c r="AC17" i="9"/>
  <c r="AC18" i="9"/>
  <c r="AC164" i="9"/>
  <c r="AX24" i="11"/>
  <c r="AY24" i="11"/>
  <c r="AG78" i="9"/>
  <c r="GZ27" i="14"/>
  <c r="Q7" i="9"/>
  <c r="P313" i="9"/>
  <c r="AE152" i="9"/>
  <c r="GI10" i="14"/>
  <c r="AF74" i="9"/>
  <c r="AF78" i="9"/>
  <c r="AA37" i="8"/>
  <c r="AB95" i="8"/>
  <c r="AB78" i="8"/>
  <c r="AB79" i="8" s="1"/>
  <c r="AB6" i="8"/>
  <c r="AC294" i="9"/>
  <c r="AD292" i="9"/>
  <c r="AE304" i="9"/>
  <c r="AF291" i="9"/>
  <c r="AF300" i="9"/>
  <c r="AF269" i="9"/>
  <c r="AF173" i="9" s="1"/>
  <c r="AF171" i="9" s="1"/>
  <c r="AF181" i="9" s="1"/>
  <c r="AF270" i="9" s="1"/>
  <c r="AD305" i="9"/>
  <c r="AE293" i="9"/>
  <c r="K55" i="11"/>
  <c r="AS19" i="11"/>
  <c r="AS55" i="11" s="1"/>
  <c r="AB277" i="9"/>
  <c r="AB252" i="9" s="1"/>
  <c r="AB250" i="9" s="1"/>
  <c r="AB306" i="9"/>
  <c r="AB301" i="9"/>
  <c r="V44" i="8"/>
  <c r="U48" i="8"/>
  <c r="U50" i="8" s="1"/>
  <c r="U53" i="8"/>
  <c r="L13" i="11"/>
  <c r="AT13" i="11" s="1"/>
  <c r="AT12" i="11"/>
  <c r="L19" i="11"/>
  <c r="P12" i="7"/>
  <c r="P122" i="7"/>
  <c r="P192" i="7"/>
  <c r="P93" i="7"/>
  <c r="Q7" i="13"/>
  <c r="U4" i="9" s="1"/>
  <c r="R5" i="13"/>
  <c r="Q91" i="13"/>
  <c r="Q193" i="13"/>
  <c r="Q4" i="7"/>
  <c r="R75" i="8"/>
  <c r="Z284" i="9"/>
  <c r="AA276" i="9"/>
  <c r="R48" i="8"/>
  <c r="R49" i="8" s="1"/>
  <c r="T50" i="8"/>
  <c r="T54" i="8"/>
  <c r="U54" i="8" s="1"/>
  <c r="V54" i="8" s="1"/>
  <c r="Q70" i="8"/>
  <c r="Q71" i="8" s="1"/>
  <c r="Q73" i="8" s="1"/>
  <c r="Q62" i="8" s="1"/>
  <c r="Q42" i="8" s="1"/>
  <c r="Q39" i="8" s="1"/>
  <c r="Q40" i="8" s="1"/>
  <c r="AA256" i="9"/>
  <c r="AA263" i="9" s="1"/>
  <c r="AA260" i="9"/>
  <c r="AL225" i="9" l="1"/>
  <c r="AL222" i="9" s="1"/>
  <c r="AL570" i="9" s="1"/>
  <c r="D15" i="59" s="1"/>
  <c r="AF18" i="8"/>
  <c r="AF89" i="8"/>
  <c r="AH16" i="8"/>
  <c r="AL566" i="9"/>
  <c r="AM126" i="9"/>
  <c r="Y26" i="11"/>
  <c r="BG26" i="11" s="1"/>
  <c r="JX41" i="14"/>
  <c r="JW41" i="14" s="1"/>
  <c r="JU41" i="14" s="1"/>
  <c r="Y40" i="11"/>
  <c r="BG40" i="11" s="1"/>
  <c r="JX127" i="14"/>
  <c r="AL223" i="9"/>
  <c r="AN138" i="9"/>
  <c r="BS24" i="11"/>
  <c r="AO212" i="9"/>
  <c r="AP212" i="9" s="1"/>
  <c r="Y25" i="11"/>
  <c r="AL224" i="9"/>
  <c r="AH131" i="7"/>
  <c r="AJ34" i="7"/>
  <c r="AJ33" i="7" s="1"/>
  <c r="AI33" i="7"/>
  <c r="AF221" i="7"/>
  <c r="AH216" i="7"/>
  <c r="AJ212" i="7"/>
  <c r="AG132" i="7"/>
  <c r="AG134" i="7"/>
  <c r="AG135" i="7" s="1"/>
  <c r="AJ89" i="7"/>
  <c r="AJ46" i="9"/>
  <c r="AH35" i="7"/>
  <c r="BH32" i="11"/>
  <c r="AL220" i="9"/>
  <c r="AK220" i="9"/>
  <c r="AM372" i="9"/>
  <c r="AM178" i="9"/>
  <c r="AM262" i="9" s="1"/>
  <c r="AJ69" i="8"/>
  <c r="AG73" i="8"/>
  <c r="AG10" i="8"/>
  <c r="AG41" i="8"/>
  <c r="AJ23" i="8"/>
  <c r="AJ71" i="8" s="1"/>
  <c r="AI18" i="8"/>
  <c r="AF11" i="8"/>
  <c r="AE78" i="8"/>
  <c r="AE95" i="8"/>
  <c r="AC6" i="8"/>
  <c r="AC78" i="8"/>
  <c r="AC79" i="8" s="1"/>
  <c r="AC95" i="8"/>
  <c r="AC96" i="8" s="1"/>
  <c r="AE26" i="8"/>
  <c r="AE27" i="8" s="1"/>
  <c r="AE11" i="8"/>
  <c r="AE6" i="8"/>
  <c r="AK63" i="8"/>
  <c r="AP376" i="9"/>
  <c r="AO132" i="9"/>
  <c r="AN126" i="9"/>
  <c r="AB96" i="8"/>
  <c r="AH74" i="9"/>
  <c r="AO371" i="9"/>
  <c r="AP372" i="9" s="1"/>
  <c r="AO376" i="9"/>
  <c r="AN372" i="9"/>
  <c r="AK313" i="9"/>
  <c r="AK97" i="9"/>
  <c r="AK122" i="9"/>
  <c r="AP91" i="9"/>
  <c r="AP90" i="9" s="1"/>
  <c r="AP87" i="9" s="1"/>
  <c r="AP79" i="9" s="1"/>
  <c r="AO90" i="9"/>
  <c r="AO87" i="9" s="1"/>
  <c r="AO79" i="9" s="1"/>
  <c r="AM80" i="9"/>
  <c r="AM98" i="9"/>
  <c r="AH171" i="9"/>
  <c r="AH181" i="9" s="1"/>
  <c r="AH270" i="9" s="1"/>
  <c r="AH300" i="9"/>
  <c r="AF298" i="9"/>
  <c r="AJ372" i="9"/>
  <c r="AJ369" i="9"/>
  <c r="AJ220" i="9"/>
  <c r="AJ77" i="9"/>
  <c r="AJ269" i="9"/>
  <c r="AE256" i="13"/>
  <c r="BH37" i="11"/>
  <c r="Z45" i="11"/>
  <c r="AH55" i="7"/>
  <c r="GH10" i="14"/>
  <c r="GI11" i="14"/>
  <c r="AI172" i="7"/>
  <c r="AI141" i="7" s="1"/>
  <c r="AJ173" i="7"/>
  <c r="AJ172" i="7" s="1"/>
  <c r="AJ141" i="7" s="1"/>
  <c r="AH186" i="7"/>
  <c r="AI251" i="9"/>
  <c r="JH18" i="14"/>
  <c r="JH19" i="14" s="1"/>
  <c r="IP18" i="14"/>
  <c r="IP19" i="14" s="1"/>
  <c r="AG221" i="7"/>
  <c r="IN128" i="14"/>
  <c r="IK41" i="14"/>
  <c r="IK128" i="14" s="1"/>
  <c r="IL42" i="14"/>
  <c r="IN42" i="14"/>
  <c r="IN27" i="14"/>
  <c r="IL27" i="14" s="1"/>
  <c r="AL125" i="9"/>
  <c r="AH176" i="7"/>
  <c r="AI178" i="7"/>
  <c r="AO261" i="9"/>
  <c r="AO142" i="9"/>
  <c r="AO184" i="9"/>
  <c r="AA37" i="11"/>
  <c r="AN185" i="9"/>
  <c r="IP28" i="14"/>
  <c r="ID27" i="14"/>
  <c r="GY19" i="14"/>
  <c r="GY27" i="14"/>
  <c r="GY28" i="14" s="1"/>
  <c r="AA32" i="11"/>
  <c r="BI32" i="11" s="1"/>
  <c r="BU32" i="11" s="1"/>
  <c r="Z29" i="11"/>
  <c r="AM139" i="9"/>
  <c r="Z23" i="11"/>
  <c r="AI74" i="8"/>
  <c r="AJ74" i="8" s="1"/>
  <c r="AK74" i="8" s="1"/>
  <c r="IB19" i="14"/>
  <c r="HY18" i="14"/>
  <c r="HX18" i="14" s="1"/>
  <c r="AG171" i="9"/>
  <c r="AG181" i="9" s="1"/>
  <c r="AG270" i="9" s="1"/>
  <c r="AN261" i="9"/>
  <c r="AH75" i="7"/>
  <c r="AI75" i="7" s="1"/>
  <c r="AM231" i="9"/>
  <c r="Z41" i="11"/>
  <c r="HY128" i="14"/>
  <c r="HX42" i="14"/>
  <c r="AY22" i="11"/>
  <c r="IB27" i="14"/>
  <c r="HK19" i="14"/>
  <c r="HK10" i="14"/>
  <c r="AG300" i="9"/>
  <c r="Y49" i="11"/>
  <c r="BG49" i="11" s="1"/>
  <c r="AL380" i="9"/>
  <c r="AM379" i="9"/>
  <c r="AN379" i="9" s="1"/>
  <c r="AL384" i="9"/>
  <c r="AM383" i="9"/>
  <c r="AM261" i="9"/>
  <c r="AL313" i="9"/>
  <c r="AM7" i="9"/>
  <c r="GZ28" i="14"/>
  <c r="FO104" i="14"/>
  <c r="FO163" i="14"/>
  <c r="GG27" i="14"/>
  <c r="GG28" i="14" s="1"/>
  <c r="AK382" i="9"/>
  <c r="AL381" i="9"/>
  <c r="AM381" i="9" s="1"/>
  <c r="AK386" i="9"/>
  <c r="AL385" i="9"/>
  <c r="AF6" i="8"/>
  <c r="S48" i="8"/>
  <c r="S49" i="8" s="1"/>
  <c r="AF26" i="8"/>
  <c r="AF27" i="8" s="1"/>
  <c r="GI28" i="14"/>
  <c r="GH28" i="14"/>
  <c r="AK369" i="9"/>
  <c r="AI288" i="9"/>
  <c r="AI300" i="9" s="1"/>
  <c r="AK289" i="9"/>
  <c r="AE203" i="9"/>
  <c r="AE159" i="9"/>
  <c r="AD156" i="9"/>
  <c r="AD202" i="9"/>
  <c r="AD18" i="9"/>
  <c r="AC277" i="9"/>
  <c r="AC252" i="9" s="1"/>
  <c r="AC306" i="9"/>
  <c r="AC301" i="9"/>
  <c r="BA22" i="11"/>
  <c r="FE104" i="14"/>
  <c r="FC102" i="14"/>
  <c r="FC163" i="14" s="1"/>
  <c r="EX70" i="14"/>
  <c r="EX71" i="14"/>
  <c r="FB104" i="14"/>
  <c r="AD65" i="9"/>
  <c r="AD17" i="9"/>
  <c r="AD19" i="9"/>
  <c r="AD16" i="9"/>
  <c r="FL5" i="14"/>
  <c r="AE161" i="9"/>
  <c r="M12" i="11"/>
  <c r="AE158" i="9"/>
  <c r="AC270" i="9"/>
  <c r="AD181" i="9"/>
  <c r="AI370" i="9"/>
  <c r="AI172" i="9"/>
  <c r="AC194" i="9"/>
  <c r="AC191" i="9" s="1"/>
  <c r="AE171" i="9"/>
  <c r="AF205" i="9"/>
  <c r="AE209" i="9"/>
  <c r="AE157" i="9"/>
  <c r="AD165" i="9"/>
  <c r="AC165" i="9"/>
  <c r="AX22" i="11"/>
  <c r="AW21" i="11"/>
  <c r="AF75" i="9"/>
  <c r="AJ74" i="9"/>
  <c r="AD78" i="8"/>
  <c r="AD6" i="8"/>
  <c r="AD26" i="8"/>
  <c r="AD27" i="8" s="1"/>
  <c r="R7" i="9"/>
  <c r="Q313" i="9"/>
  <c r="AE12" i="9"/>
  <c r="AE163" i="9"/>
  <c r="AE162" i="9"/>
  <c r="AE160" i="9"/>
  <c r="AE153" i="9"/>
  <c r="AF152" i="9"/>
  <c r="AG74" i="9"/>
  <c r="AB37" i="8"/>
  <c r="AA36" i="8"/>
  <c r="AF304" i="9"/>
  <c r="AG291" i="9"/>
  <c r="AH291" i="9" s="1"/>
  <c r="AF268" i="9"/>
  <c r="AE292" i="9"/>
  <c r="AD294" i="9"/>
  <c r="AE305" i="9"/>
  <c r="AF293" i="9"/>
  <c r="T55" i="8"/>
  <c r="T57" i="8" s="1"/>
  <c r="T43" i="8" s="1"/>
  <c r="AB276" i="9"/>
  <c r="AA284" i="9"/>
  <c r="Q93" i="7"/>
  <c r="Q12" i="7"/>
  <c r="Q122" i="7"/>
  <c r="Q192" i="7"/>
  <c r="L55" i="11"/>
  <c r="AT19" i="11"/>
  <c r="AT55" i="11" s="1"/>
  <c r="AB256" i="9"/>
  <c r="AB263" i="9" s="1"/>
  <c r="AB260" i="9"/>
  <c r="R62" i="8"/>
  <c r="R42" i="8" s="1"/>
  <c r="R39" i="8" s="1"/>
  <c r="R35" i="8" s="1"/>
  <c r="R32" i="8" s="1"/>
  <c r="S75" i="8"/>
  <c r="S5" i="13"/>
  <c r="R7" i="13"/>
  <c r="V4" i="9" s="1"/>
  <c r="R91" i="13"/>
  <c r="R193" i="13"/>
  <c r="R4" i="7"/>
  <c r="U55" i="8"/>
  <c r="U57" i="8" s="1"/>
  <c r="U43" i="8" s="1"/>
  <c r="W44" i="8"/>
  <c r="V48" i="8"/>
  <c r="V50" i="8" s="1"/>
  <c r="V53" i="8"/>
  <c r="V55" i="8" s="1"/>
  <c r="JX130" i="14" l="1"/>
  <c r="JU130" i="14" s="1"/>
  <c r="JW130" i="14" s="1"/>
  <c r="AM124" i="9"/>
  <c r="AM225" i="9" s="1"/>
  <c r="JW127" i="14"/>
  <c r="JU127" i="14" s="1"/>
  <c r="JZ127" i="14"/>
  <c r="Z26" i="11"/>
  <c r="BH26" i="11" s="1"/>
  <c r="JX84" i="14"/>
  <c r="JW84" i="14" s="1"/>
  <c r="JU84" i="14" s="1"/>
  <c r="D11" i="59"/>
  <c r="AI16" i="8"/>
  <c r="AJ16" i="8" s="1"/>
  <c r="AH38" i="8"/>
  <c r="Y48" i="11"/>
  <c r="BG48" i="11" s="1"/>
  <c r="BG25" i="11"/>
  <c r="AO372" i="9"/>
  <c r="AM125" i="9"/>
  <c r="Z25" i="11"/>
  <c r="AG11" i="8"/>
  <c r="AN124" i="9"/>
  <c r="AN125" i="9" s="1"/>
  <c r="AP184" i="9"/>
  <c r="AI131" i="7"/>
  <c r="AJ216" i="7"/>
  <c r="AI216" i="7"/>
  <c r="AH134" i="7"/>
  <c r="AJ47" i="9"/>
  <c r="AJ45" i="9" s="1"/>
  <c r="AI35" i="7"/>
  <c r="AH196" i="7"/>
  <c r="BH23" i="11"/>
  <c r="BH45" i="11"/>
  <c r="BH29" i="11"/>
  <c r="AN178" i="9"/>
  <c r="AO178" i="9" s="1"/>
  <c r="AP178" i="9" s="1"/>
  <c r="AP262" i="9" s="1"/>
  <c r="AK69" i="8"/>
  <c r="AG5" i="8"/>
  <c r="R33" i="8"/>
  <c r="R34" i="8"/>
  <c r="AE79" i="8"/>
  <c r="AI70" i="8"/>
  <c r="AC37" i="8"/>
  <c r="AC36" i="8" s="1"/>
  <c r="AD37" i="8"/>
  <c r="AE37" i="8" s="1"/>
  <c r="AE36" i="8" s="1"/>
  <c r="AK23" i="8"/>
  <c r="AK18" i="8" s="1"/>
  <c r="AJ18" i="8"/>
  <c r="AJ70" i="8"/>
  <c r="AO126" i="9"/>
  <c r="AP132" i="9"/>
  <c r="AP126" i="9" s="1"/>
  <c r="AP142" i="9"/>
  <c r="AO138" i="9"/>
  <c r="AA26" i="11"/>
  <c r="BI26" i="11" s="1"/>
  <c r="BU26" i="11" s="1"/>
  <c r="AE96" i="8"/>
  <c r="AH152" i="9"/>
  <c r="AH163" i="9" s="1"/>
  <c r="AN80" i="9"/>
  <c r="AN98" i="9"/>
  <c r="AI75" i="9"/>
  <c r="AH75" i="9"/>
  <c r="AO80" i="9"/>
  <c r="AH304" i="9"/>
  <c r="AH298" i="9"/>
  <c r="AF203" i="9"/>
  <c r="AG268" i="9"/>
  <c r="AH268" i="9" s="1"/>
  <c r="AH265" i="9" s="1"/>
  <c r="AJ251" i="9"/>
  <c r="AJ300" i="9"/>
  <c r="AJ173" i="9"/>
  <c r="AJ152" i="9"/>
  <c r="AJ157" i="9" s="1"/>
  <c r="AJ78" i="9"/>
  <c r="AJ211" i="9" s="1"/>
  <c r="AJ198" i="9"/>
  <c r="AJ370" i="9"/>
  <c r="AJ172" i="9"/>
  <c r="AI186" i="7"/>
  <c r="HJ10" i="14"/>
  <c r="HK11" i="14"/>
  <c r="GG10" i="14"/>
  <c r="GG11" i="14" s="1"/>
  <c r="GH11" i="14"/>
  <c r="AI55" i="7"/>
  <c r="AF96" i="8"/>
  <c r="AJ186" i="7"/>
  <c r="AJ55" i="7"/>
  <c r="AJ75" i="7"/>
  <c r="AI176" i="7"/>
  <c r="AJ178" i="7"/>
  <c r="AJ176" i="7" s="1"/>
  <c r="IN18" i="14"/>
  <c r="IL18" i="14" s="1"/>
  <c r="IL19" i="14" s="1"/>
  <c r="AN231" i="9"/>
  <c r="AA23" i="11"/>
  <c r="BI23" i="11" s="1"/>
  <c r="BU23" i="11" s="1"/>
  <c r="JH27" i="14"/>
  <c r="AK78" i="9"/>
  <c r="AK211" i="9" s="1"/>
  <c r="AM382" i="9"/>
  <c r="AN381" i="9"/>
  <c r="AM384" i="9"/>
  <c r="AN383" i="9"/>
  <c r="AI269" i="9"/>
  <c r="AI173" i="9" s="1"/>
  <c r="AI171" i="9" s="1"/>
  <c r="AI181" i="9" s="1"/>
  <c r="AI270" i="9" s="1"/>
  <c r="AO379" i="9"/>
  <c r="AP379" i="9" s="1"/>
  <c r="AN380" i="9"/>
  <c r="AI291" i="9"/>
  <c r="AH221" i="7"/>
  <c r="IK27" i="14"/>
  <c r="IL28" i="14"/>
  <c r="IN28" i="14"/>
  <c r="AA41" i="11"/>
  <c r="AU75" i="9"/>
  <c r="GX27" i="14"/>
  <c r="GX28" i="14" s="1"/>
  <c r="AB32" i="11"/>
  <c r="BJ32" i="11" s="1"/>
  <c r="AO185" i="9"/>
  <c r="AB37" i="11"/>
  <c r="BI37" i="11"/>
  <c r="AA45" i="11"/>
  <c r="BI45" i="11" s="1"/>
  <c r="ID104" i="14"/>
  <c r="ID5" i="14"/>
  <c r="AA29" i="11"/>
  <c r="BI29" i="11" s="1"/>
  <c r="BU29" i="11" s="1"/>
  <c r="AN139" i="9"/>
  <c r="HY19" i="14"/>
  <c r="IB28" i="14"/>
  <c r="HY27" i="14"/>
  <c r="AM313" i="9"/>
  <c r="AN7" i="9"/>
  <c r="BH41" i="11"/>
  <c r="Z49" i="11"/>
  <c r="HX128" i="14"/>
  <c r="HX19" i="14"/>
  <c r="HK28" i="14"/>
  <c r="HK76" i="14"/>
  <c r="HK104" i="14"/>
  <c r="AM380" i="9"/>
  <c r="AL386" i="9"/>
  <c r="AM385" i="9"/>
  <c r="GZ10" i="14"/>
  <c r="AF132" i="7"/>
  <c r="AK288" i="9"/>
  <c r="AK269" i="9" s="1"/>
  <c r="AK173" i="9" s="1"/>
  <c r="AL289" i="9"/>
  <c r="AL382" i="9"/>
  <c r="AL369" i="9"/>
  <c r="FH5" i="14"/>
  <c r="FL62" i="14"/>
  <c r="AK370" i="9"/>
  <c r="AK172" i="9"/>
  <c r="AK251" i="9"/>
  <c r="AF209" i="9"/>
  <c r="AE202" i="9"/>
  <c r="AE201" i="9" s="1"/>
  <c r="AF160" i="9"/>
  <c r="AD201" i="9"/>
  <c r="AD194" i="9" s="1"/>
  <c r="Z98" i="7"/>
  <c r="AD79" i="8"/>
  <c r="AF79" i="8"/>
  <c r="V57" i="8"/>
  <c r="V43" i="8" s="1"/>
  <c r="Z100" i="7"/>
  <c r="Z97" i="7"/>
  <c r="Z180" i="7"/>
  <c r="Z107" i="7"/>
  <c r="N12" i="11"/>
  <c r="AJ75" i="9"/>
  <c r="AD96" i="8"/>
  <c r="FM164" i="14"/>
  <c r="FL6" i="14"/>
  <c r="FJ5" i="14"/>
  <c r="EZ104" i="14"/>
  <c r="FB70" i="14"/>
  <c r="FB71" i="14"/>
  <c r="FC104" i="14"/>
  <c r="FE70" i="14"/>
  <c r="FE71" i="14"/>
  <c r="AE19" i="9"/>
  <c r="M19" i="11"/>
  <c r="IB10" i="14"/>
  <c r="AG205" i="9"/>
  <c r="AH205" i="9" s="1"/>
  <c r="AH203" i="9" s="1"/>
  <c r="AU12" i="11"/>
  <c r="M13" i="11"/>
  <c r="AU13" i="11" s="1"/>
  <c r="AF265" i="9"/>
  <c r="AE181" i="9"/>
  <c r="AD270" i="9"/>
  <c r="AC265" i="9"/>
  <c r="AC250" i="9"/>
  <c r="AE164" i="9"/>
  <c r="AX21" i="11"/>
  <c r="AF161" i="9"/>
  <c r="AF158" i="9"/>
  <c r="AE17" i="9"/>
  <c r="AE18" i="9"/>
  <c r="AB36" i="8"/>
  <c r="AG75" i="9"/>
  <c r="AE65" i="9"/>
  <c r="S7" i="9"/>
  <c r="R313" i="9"/>
  <c r="AF163" i="9"/>
  <c r="AF162" i="9"/>
  <c r="AF159" i="9"/>
  <c r="AE16" i="9"/>
  <c r="AF157" i="9"/>
  <c r="AE156" i="9"/>
  <c r="AG152" i="9"/>
  <c r="AF12" i="9"/>
  <c r="AF153" i="9"/>
  <c r="AF305" i="9"/>
  <c r="AG293" i="9"/>
  <c r="AH293" i="9" s="1"/>
  <c r="AH305" i="9" s="1"/>
  <c r="AD277" i="9"/>
  <c r="AD301" i="9"/>
  <c r="AD306" i="9"/>
  <c r="AE294" i="9"/>
  <c r="AF292" i="9"/>
  <c r="AG304" i="9"/>
  <c r="AG298" i="9"/>
  <c r="Z181" i="7"/>
  <c r="X44" i="8"/>
  <c r="W48" i="8"/>
  <c r="W50" i="8" s="1"/>
  <c r="W53" i="8"/>
  <c r="W55" i="8" s="1"/>
  <c r="R12" i="7"/>
  <c r="R122" i="7"/>
  <c r="R192" i="7"/>
  <c r="R93" i="7"/>
  <c r="S7" i="13"/>
  <c r="W4" i="9" s="1"/>
  <c r="T5" i="13"/>
  <c r="S91" i="13"/>
  <c r="S193" i="13"/>
  <c r="S4" i="7"/>
  <c r="R78" i="8"/>
  <c r="R29" i="8"/>
  <c r="R30" i="8" s="1"/>
  <c r="S62" i="8"/>
  <c r="S42" i="8" s="1"/>
  <c r="S39" i="8" s="1"/>
  <c r="S35" i="8" s="1"/>
  <c r="S32" i="8" s="1"/>
  <c r="T75" i="8"/>
  <c r="AC276" i="9"/>
  <c r="AB284" i="9"/>
  <c r="AN225" i="9" l="1"/>
  <c r="AM222" i="9"/>
  <c r="AM566" i="9"/>
  <c r="E11" i="59" s="1"/>
  <c r="BU37" i="11"/>
  <c r="BI41" i="11"/>
  <c r="JX18" i="14"/>
  <c r="JW18" i="14" s="1"/>
  <c r="JU18" i="14" s="1"/>
  <c r="AG78" i="8"/>
  <c r="AP185" i="9"/>
  <c r="AN262" i="9"/>
  <c r="AP138" i="9"/>
  <c r="AC29" i="11" s="1"/>
  <c r="BK29" i="11" s="1"/>
  <c r="BH25" i="11"/>
  <c r="AA25" i="11"/>
  <c r="BI25" i="11" s="1"/>
  <c r="BU25" i="11" s="1"/>
  <c r="AB29" i="11"/>
  <c r="BJ29" i="11" s="1"/>
  <c r="AP124" i="9"/>
  <c r="AO225" i="9"/>
  <c r="AC37" i="11"/>
  <c r="AJ35" i="7"/>
  <c r="AI196" i="7"/>
  <c r="AI134" i="7"/>
  <c r="AH135" i="7"/>
  <c r="AH132" i="7"/>
  <c r="BH49" i="11"/>
  <c r="AC26" i="11"/>
  <c r="BK26" i="11" s="1"/>
  <c r="AG6" i="8"/>
  <c r="AG95" i="8"/>
  <c r="AG26" i="8"/>
  <c r="AG27" i="8" s="1"/>
  <c r="AK71" i="8"/>
  <c r="AK70" i="8" s="1"/>
  <c r="S33" i="8"/>
  <c r="S34" i="8"/>
  <c r="AC32" i="11"/>
  <c r="BK32" i="11" s="1"/>
  <c r="AH164" i="9"/>
  <c r="AH165" i="9" s="1"/>
  <c r="AH156" i="9"/>
  <c r="AH157" i="9"/>
  <c r="AH158" i="9"/>
  <c r="AH162" i="9"/>
  <c r="AH161" i="9"/>
  <c r="AH12" i="9"/>
  <c r="AH159" i="9"/>
  <c r="AH160" i="9"/>
  <c r="AO124" i="9"/>
  <c r="AG265" i="9"/>
  <c r="AO98" i="9"/>
  <c r="AP98" i="9" s="1"/>
  <c r="AJ171" i="9"/>
  <c r="AJ181" i="9" s="1"/>
  <c r="AJ270" i="9" s="1"/>
  <c r="AG163" i="9"/>
  <c r="AG156" i="9" s="1"/>
  <c r="AH153" i="9"/>
  <c r="AP80" i="9"/>
  <c r="AH209" i="9"/>
  <c r="AB23" i="11"/>
  <c r="BJ23" i="11" s="1"/>
  <c r="AJ162" i="9"/>
  <c r="AJ159" i="9"/>
  <c r="AJ163" i="9"/>
  <c r="AJ12" i="9"/>
  <c r="AJ160" i="9"/>
  <c r="AJ161" i="9"/>
  <c r="AJ158" i="9"/>
  <c r="AI304" i="9"/>
  <c r="AJ291" i="9"/>
  <c r="AB26" i="11"/>
  <c r="BJ26" i="11" s="1"/>
  <c r="AC41" i="11"/>
  <c r="AI221" i="7"/>
  <c r="HY10" i="14"/>
  <c r="IB11" i="14"/>
  <c r="GY10" i="14"/>
  <c r="GZ11" i="14"/>
  <c r="AK161" i="9"/>
  <c r="IK18" i="14"/>
  <c r="AP380" i="9"/>
  <c r="AK16" i="8"/>
  <c r="AB41" i="11"/>
  <c r="BJ41" i="11" s="1"/>
  <c r="JH10" i="14"/>
  <c r="JH11" i="14" s="1"/>
  <c r="IN19" i="14"/>
  <c r="AI298" i="9"/>
  <c r="JH28" i="14"/>
  <c r="AI268" i="9"/>
  <c r="AL251" i="9"/>
  <c r="AT75" i="9"/>
  <c r="BB22" i="11"/>
  <c r="BS22" i="11" s="1"/>
  <c r="AM386" i="9"/>
  <c r="AN385" i="9"/>
  <c r="AN369" i="9" s="1"/>
  <c r="AO380" i="9"/>
  <c r="AO383" i="9"/>
  <c r="AP383" i="9" s="1"/>
  <c r="AP384" i="9" s="1"/>
  <c r="AN384" i="9"/>
  <c r="AO139" i="9"/>
  <c r="AO381" i="9"/>
  <c r="AP381" i="9" s="1"/>
  <c r="AP382" i="9" s="1"/>
  <c r="AN382" i="9"/>
  <c r="AO231" i="9"/>
  <c r="BJ37" i="11"/>
  <c r="AB45" i="11"/>
  <c r="BJ45" i="11" s="1"/>
  <c r="AA49" i="11"/>
  <c r="BI49" i="11" s="1"/>
  <c r="AN313" i="9"/>
  <c r="AO7" i="9"/>
  <c r="AP7" i="9" s="1"/>
  <c r="AP313" i="9" s="1"/>
  <c r="AO262" i="9"/>
  <c r="ID6" i="14"/>
  <c r="ID66" i="14"/>
  <c r="ID63" i="14"/>
  <c r="ID62" i="14"/>
  <c r="ID71" i="14"/>
  <c r="AI205" i="9"/>
  <c r="HY28" i="14"/>
  <c r="HX27" i="14"/>
  <c r="HX28" i="14" s="1"/>
  <c r="AL288" i="9"/>
  <c r="AL269" i="9" s="1"/>
  <c r="AL173" i="9" s="1"/>
  <c r="AM289" i="9"/>
  <c r="AM369" i="9"/>
  <c r="BB21" i="11"/>
  <c r="BS21" i="11" s="1"/>
  <c r="AK300" i="9"/>
  <c r="AK291" i="9"/>
  <c r="AK304" i="9" s="1"/>
  <c r="AL172" i="9"/>
  <c r="AL370" i="9"/>
  <c r="FJ6" i="14"/>
  <c r="FJ62" i="14"/>
  <c r="FH6" i="14"/>
  <c r="FH62" i="14"/>
  <c r="AU19" i="11"/>
  <c r="AU55" i="11" s="1"/>
  <c r="M55" i="11"/>
  <c r="AK75" i="9"/>
  <c r="AK171" i="9"/>
  <c r="AK181" i="9" s="1"/>
  <c r="AK270" i="9" s="1"/>
  <c r="AI152" i="9"/>
  <c r="AI163" i="9" s="1"/>
  <c r="AI164" i="9" s="1"/>
  <c r="AI165" i="9" s="1"/>
  <c r="AD36" i="8"/>
  <c r="AF37" i="8"/>
  <c r="AG37" i="8" s="1"/>
  <c r="AG36" i="8" s="1"/>
  <c r="AL565" i="9" s="1"/>
  <c r="D10" i="59" s="1"/>
  <c r="AV12" i="11"/>
  <c r="AF202" i="9"/>
  <c r="FL112" i="14"/>
  <c r="FH112" i="14" s="1"/>
  <c r="N19" i="11"/>
  <c r="AF164" i="9"/>
  <c r="IP10" i="14"/>
  <c r="IP11" i="14" s="1"/>
  <c r="Z182" i="7"/>
  <c r="N13" i="11"/>
  <c r="AV13" i="11" s="1"/>
  <c r="AD191" i="9"/>
  <c r="FC164" i="14"/>
  <c r="FC70" i="14"/>
  <c r="FC71" i="14"/>
  <c r="EZ70" i="14"/>
  <c r="EZ71" i="14"/>
  <c r="AG209" i="9"/>
  <c r="AG203" i="9"/>
  <c r="AY21" i="11"/>
  <c r="O12" i="11"/>
  <c r="P13" i="11" s="1"/>
  <c r="AD252" i="9"/>
  <c r="AC260" i="9"/>
  <c r="AC256" i="9"/>
  <c r="AD265" i="9"/>
  <c r="AE270" i="9"/>
  <c r="AG305" i="9"/>
  <c r="AI293" i="9"/>
  <c r="AJ293" i="9" s="1"/>
  <c r="AJ305" i="9" s="1"/>
  <c r="AC193" i="9"/>
  <c r="AE194" i="9"/>
  <c r="AE165" i="9"/>
  <c r="AG160" i="9"/>
  <c r="Y44" i="8"/>
  <c r="Z44" i="8" s="1"/>
  <c r="Z48" i="8" s="1"/>
  <c r="Z50" i="8" s="1"/>
  <c r="X48" i="8"/>
  <c r="X50" i="8" s="1"/>
  <c r="AG158" i="9"/>
  <c r="AG157" i="9"/>
  <c r="AF156" i="9"/>
  <c r="T7" i="9"/>
  <c r="T313" i="9" s="1"/>
  <c r="S313" i="9"/>
  <c r="AG153" i="9"/>
  <c r="AG162" i="9"/>
  <c r="AF65" i="9"/>
  <c r="AF19" i="9"/>
  <c r="AF16" i="9"/>
  <c r="AG159" i="9"/>
  <c r="AG12" i="9"/>
  <c r="AG161" i="9"/>
  <c r="AF17" i="9"/>
  <c r="AF18" i="9"/>
  <c r="AE306" i="9"/>
  <c r="AE277" i="9"/>
  <c r="AE301" i="9"/>
  <c r="AC284" i="9"/>
  <c r="AD276" i="9"/>
  <c r="AF294" i="9"/>
  <c r="AG292" i="9"/>
  <c r="AH292" i="9" s="1"/>
  <c r="AH294" i="9" s="1"/>
  <c r="U75" i="8"/>
  <c r="T62" i="8"/>
  <c r="T42" i="8" s="1"/>
  <c r="T39" i="8" s="1"/>
  <c r="T35" i="8" s="1"/>
  <c r="T32" i="8" s="1"/>
  <c r="S84" i="8"/>
  <c r="S29" i="8"/>
  <c r="S30" i="8" s="1"/>
  <c r="T78" i="8"/>
  <c r="R80" i="8"/>
  <c r="R79" i="8"/>
  <c r="U5" i="13"/>
  <c r="T7" i="13"/>
  <c r="T91" i="13"/>
  <c r="T193" i="13"/>
  <c r="T4" i="7"/>
  <c r="W57" i="8"/>
  <c r="W43" i="8" s="1"/>
  <c r="X53" i="8"/>
  <c r="X55" i="8" s="1"/>
  <c r="S93" i="7"/>
  <c r="S12" i="7"/>
  <c r="S122" i="7"/>
  <c r="S192" i="7"/>
  <c r="AM224" i="9" l="1"/>
  <c r="Z40" i="11"/>
  <c r="AM570" i="9"/>
  <c r="E15" i="59" s="1"/>
  <c r="AM223" i="9"/>
  <c r="AN222" i="9"/>
  <c r="BU41" i="11"/>
  <c r="AP231" i="9"/>
  <c r="AP139" i="9"/>
  <c r="AG82" i="8"/>
  <c r="JX98" i="14" s="1"/>
  <c r="JW98" i="14" s="1"/>
  <c r="JU98" i="14" s="1"/>
  <c r="AL569" i="9"/>
  <c r="D14" i="59" s="1"/>
  <c r="AG79" i="8"/>
  <c r="AI37" i="8"/>
  <c r="AJ37" i="8" s="1"/>
  <c r="AK37" i="8" s="1"/>
  <c r="FC166" i="14"/>
  <c r="AC25" i="11"/>
  <c r="BK25" i="11" s="1"/>
  <c r="AG96" i="8"/>
  <c r="AC45" i="11"/>
  <c r="BK45" i="11" s="1"/>
  <c r="BK37" i="11"/>
  <c r="AJ134" i="7"/>
  <c r="AI135" i="7"/>
  <c r="AJ131" i="7"/>
  <c r="AJ132" i="7" s="1"/>
  <c r="AI132" i="7"/>
  <c r="AJ196" i="7"/>
  <c r="AB25" i="11"/>
  <c r="AP225" i="9"/>
  <c r="AK204" i="9"/>
  <c r="AK210" i="9"/>
  <c r="AI203" i="9"/>
  <c r="AK205" i="9"/>
  <c r="AI209" i="9"/>
  <c r="AD192" i="9"/>
  <c r="AO125" i="9"/>
  <c r="AL74" i="9"/>
  <c r="JX10" i="14" s="1"/>
  <c r="JW10" i="14" s="1"/>
  <c r="JU10" i="14" s="1"/>
  <c r="T33" i="8"/>
  <c r="T34" i="8"/>
  <c r="AH65" i="9"/>
  <c r="AH57" i="9"/>
  <c r="AH13" i="9"/>
  <c r="AP125" i="9"/>
  <c r="AG164" i="9"/>
  <c r="AG165" i="9" s="1"/>
  <c r="AH306" i="9"/>
  <c r="AH277" i="9"/>
  <c r="AH252" i="9" s="1"/>
  <c r="AH250" i="9" s="1"/>
  <c r="AH256" i="9" s="1"/>
  <c r="AH263" i="9" s="1"/>
  <c r="AC23" i="11"/>
  <c r="BK23" i="11" s="1"/>
  <c r="AH202" i="9"/>
  <c r="AK268" i="9"/>
  <c r="AK265" i="9" s="1"/>
  <c r="AJ268" i="9"/>
  <c r="AJ265" i="9" s="1"/>
  <c r="AJ304" i="9"/>
  <c r="AJ298" i="9"/>
  <c r="AJ153" i="9"/>
  <c r="AJ156" i="9"/>
  <c r="AJ164" i="9"/>
  <c r="AJ165" i="9" s="1"/>
  <c r="AJ205" i="9"/>
  <c r="AJ13" i="9"/>
  <c r="AJ57" i="9"/>
  <c r="BK41" i="11"/>
  <c r="AC49" i="11"/>
  <c r="BK49" i="11" s="1"/>
  <c r="AI265" i="9"/>
  <c r="AK160" i="9"/>
  <c r="AK157" i="9"/>
  <c r="AK12" i="9"/>
  <c r="AK57" i="9" s="1"/>
  <c r="AK162" i="9"/>
  <c r="AK159" i="9"/>
  <c r="AK158" i="9"/>
  <c r="AK163" i="9"/>
  <c r="AK156" i="9" s="1"/>
  <c r="GX10" i="14"/>
  <c r="GX11" i="14" s="1"/>
  <c r="GY11" i="14"/>
  <c r="HX10" i="14"/>
  <c r="HX11" i="14" s="1"/>
  <c r="HY11" i="14"/>
  <c r="AB49" i="11"/>
  <c r="BJ49" i="11" s="1"/>
  <c r="AJ221" i="7"/>
  <c r="AO384" i="9"/>
  <c r="AL300" i="9"/>
  <c r="AO382" i="9"/>
  <c r="AO313" i="9"/>
  <c r="AM288" i="9"/>
  <c r="AM300" i="9" s="1"/>
  <c r="AN289" i="9"/>
  <c r="AN172" i="9"/>
  <c r="AN370" i="9"/>
  <c r="AO385" i="9"/>
  <c r="AP385" i="9" s="1"/>
  <c r="AN386" i="9"/>
  <c r="IN10" i="14"/>
  <c r="AK298" i="9"/>
  <c r="AA44" i="8"/>
  <c r="AB44" i="8" s="1"/>
  <c r="AM172" i="9"/>
  <c r="AM370" i="9"/>
  <c r="Y48" i="8"/>
  <c r="Y50" i="8" s="1"/>
  <c r="AM251" i="9"/>
  <c r="AN251" i="9" s="1"/>
  <c r="AL291" i="9"/>
  <c r="AF36" i="8"/>
  <c r="JX83" i="14"/>
  <c r="JW83" i="14" s="1"/>
  <c r="JU83" i="14" s="1"/>
  <c r="O19" i="11"/>
  <c r="FC165" i="14"/>
  <c r="AL171" i="9"/>
  <c r="AL181" i="9" s="1"/>
  <c r="AL270" i="9" s="1"/>
  <c r="BA21" i="11"/>
  <c r="AI158" i="9"/>
  <c r="AI159" i="9"/>
  <c r="AI156" i="9"/>
  <c r="AI160" i="9"/>
  <c r="AI12" i="9"/>
  <c r="AJ65" i="9" s="1"/>
  <c r="AI162" i="9"/>
  <c r="AI161" i="9"/>
  <c r="AI153" i="9"/>
  <c r="AI157" i="9"/>
  <c r="AI305" i="9"/>
  <c r="AK293" i="9"/>
  <c r="AK153" i="9"/>
  <c r="AV19" i="11"/>
  <c r="AV55" i="11" s="1"/>
  <c r="N55" i="11"/>
  <c r="AF201" i="9"/>
  <c r="AF194" i="9" s="1"/>
  <c r="FJ112" i="14"/>
  <c r="AF165" i="9"/>
  <c r="X57" i="8"/>
  <c r="X43" i="8" s="1"/>
  <c r="AE191" i="9"/>
  <c r="O13" i="11"/>
  <c r="AW13" i="11" s="1"/>
  <c r="AG202" i="9"/>
  <c r="AG201" i="9" s="1"/>
  <c r="AG194" i="9" s="1"/>
  <c r="AW12" i="11"/>
  <c r="Z101" i="7"/>
  <c r="AG18" i="9"/>
  <c r="AH18" i="9" s="1"/>
  <c r="Y53" i="8"/>
  <c r="Y55" i="8" s="1"/>
  <c r="Z53" i="8"/>
  <c r="Z55" i="8" s="1"/>
  <c r="Z57" i="8" s="1"/>
  <c r="Z43" i="8" s="1"/>
  <c r="AE252" i="9"/>
  <c r="AG294" i="9"/>
  <c r="AG301" i="9" s="1"/>
  <c r="AI292" i="9"/>
  <c r="AJ292" i="9" s="1"/>
  <c r="AJ294" i="9" s="1"/>
  <c r="AE265" i="9"/>
  <c r="M47" i="11"/>
  <c r="AU47" i="11" s="1"/>
  <c r="AU39" i="11"/>
  <c r="AC263" i="9"/>
  <c r="AD250" i="9"/>
  <c r="AD193" i="9"/>
  <c r="FL102" i="14"/>
  <c r="AG16" i="9"/>
  <c r="AH16" i="9" s="1"/>
  <c r="AG17" i="9"/>
  <c r="AH17" i="9" s="1"/>
  <c r="AG65" i="9"/>
  <c r="AG19" i="9"/>
  <c r="AH19" i="9" s="1"/>
  <c r="AF277" i="9"/>
  <c r="AF252" i="9" s="1"/>
  <c r="AF250" i="9" s="1"/>
  <c r="AF301" i="9"/>
  <c r="AF306" i="9"/>
  <c r="AD284" i="9"/>
  <c r="AE276" i="9"/>
  <c r="T80" i="8"/>
  <c r="U79" i="8"/>
  <c r="T79" i="8"/>
  <c r="T29" i="8"/>
  <c r="T30" i="8" s="1"/>
  <c r="T84" i="8"/>
  <c r="T12" i="7"/>
  <c r="T122" i="7"/>
  <c r="T192" i="7"/>
  <c r="T93" i="7"/>
  <c r="U7" i="13"/>
  <c r="V5" i="13"/>
  <c r="U91" i="13"/>
  <c r="U193" i="13"/>
  <c r="U4" i="7"/>
  <c r="S85" i="8"/>
  <c r="S86" i="8"/>
  <c r="S97" i="8"/>
  <c r="S87" i="8"/>
  <c r="S89" i="8" s="1"/>
  <c r="V75" i="8"/>
  <c r="U62" i="8"/>
  <c r="U42" i="8" s="1"/>
  <c r="U39" i="8" s="1"/>
  <c r="U35" i="8" s="1"/>
  <c r="U32" i="8" s="1"/>
  <c r="BH40" i="11" l="1"/>
  <c r="Z48" i="11"/>
  <c r="AN223" i="9"/>
  <c r="AN570" i="9"/>
  <c r="F15" i="59" s="1"/>
  <c r="D40" i="59" s="1"/>
  <c r="AA40" i="11"/>
  <c r="AN224" i="9"/>
  <c r="AO222" i="9"/>
  <c r="AL204" i="9"/>
  <c r="JX115" i="14" s="1"/>
  <c r="AL210" i="9"/>
  <c r="JX100" i="14"/>
  <c r="JX82" i="14"/>
  <c r="JW82" i="14" s="1"/>
  <c r="FG166" i="14"/>
  <c r="BJ25" i="11"/>
  <c r="AJ135" i="7"/>
  <c r="AK201" i="9"/>
  <c r="AK194" i="9" s="1"/>
  <c r="AK209" i="9"/>
  <c r="AJ203" i="9"/>
  <c r="AJ209" i="9"/>
  <c r="AL205" i="9"/>
  <c r="AM204" i="9" s="1"/>
  <c r="AK203" i="9"/>
  <c r="AL75" i="9"/>
  <c r="Y21" i="11"/>
  <c r="BG21" i="11" s="1"/>
  <c r="AE192" i="9"/>
  <c r="U33" i="8"/>
  <c r="U34" i="8"/>
  <c r="AD44" i="8"/>
  <c r="AD48" i="8" s="1"/>
  <c r="AD50" i="8" s="1"/>
  <c r="AC44" i="8"/>
  <c r="AL268" i="9"/>
  <c r="AL265" i="9" s="1"/>
  <c r="AH260" i="9"/>
  <c r="AH301" i="9"/>
  <c r="AH201" i="9"/>
  <c r="AH194" i="9" s="1"/>
  <c r="AJ306" i="9"/>
  <c r="AJ277" i="9"/>
  <c r="AI202" i="9"/>
  <c r="AI201" i="9" s="1"/>
  <c r="AK65" i="9"/>
  <c r="AK164" i="9"/>
  <c r="AK165" i="9" s="1"/>
  <c r="IL10" i="14"/>
  <c r="IL11" i="14" s="1"/>
  <c r="IN11" i="14"/>
  <c r="AM269" i="9"/>
  <c r="AM173" i="9" s="1"/>
  <c r="AM171" i="9" s="1"/>
  <c r="AM181" i="9" s="1"/>
  <c r="AM270" i="9" s="1"/>
  <c r="AP386" i="9"/>
  <c r="AP369" i="9"/>
  <c r="AG306" i="9"/>
  <c r="AO386" i="9"/>
  <c r="AN288" i="9"/>
  <c r="AO289" i="9"/>
  <c r="AP289" i="9" s="1"/>
  <c r="AP288" i="9" s="1"/>
  <c r="AO369" i="9"/>
  <c r="AO251" i="9" s="1"/>
  <c r="IN17" i="14"/>
  <c r="AA48" i="8"/>
  <c r="AA50" i="8" s="1"/>
  <c r="Y57" i="8"/>
  <c r="Y43" i="8" s="1"/>
  <c r="T12" i="11"/>
  <c r="AE13" i="11" s="1"/>
  <c r="BM13" i="11" s="1"/>
  <c r="AW19" i="11"/>
  <c r="AW55" i="11" s="1"/>
  <c r="O55" i="11"/>
  <c r="HK68" i="14"/>
  <c r="HK6" i="14"/>
  <c r="HK65" i="14"/>
  <c r="HK62" i="14"/>
  <c r="AL304" i="9"/>
  <c r="AM291" i="9"/>
  <c r="AA53" i="8"/>
  <c r="AA55" i="8" s="1"/>
  <c r="AG277" i="9"/>
  <c r="AG252" i="9" s="1"/>
  <c r="AG250" i="9" s="1"/>
  <c r="AG256" i="9" s="1"/>
  <c r="AG263" i="9" s="1"/>
  <c r="AL298" i="9"/>
  <c r="AK305" i="9"/>
  <c r="AL293" i="9"/>
  <c r="GI6" i="14"/>
  <c r="GH5" i="14"/>
  <c r="AE100" i="7"/>
  <c r="AE107" i="7"/>
  <c r="AE98" i="7"/>
  <c r="AE97" i="7"/>
  <c r="AI65" i="9"/>
  <c r="AI294" i="9"/>
  <c r="AI301" i="9" s="1"/>
  <c r="AK292" i="9"/>
  <c r="FL105" i="14"/>
  <c r="FL104" i="14"/>
  <c r="FH102" i="14"/>
  <c r="FJ102" i="14"/>
  <c r="Q12" i="11"/>
  <c r="AD256" i="9"/>
  <c r="AD260" i="9"/>
  <c r="AE250" i="9"/>
  <c r="AV39" i="11"/>
  <c r="N47" i="11"/>
  <c r="AV47" i="11" s="1"/>
  <c r="AX12" i="11"/>
  <c r="AX13" i="11"/>
  <c r="AB53" i="8"/>
  <c r="AB55" i="8" s="1"/>
  <c r="AB48" i="8"/>
  <c r="AB50" i="8" s="1"/>
  <c r="AE284" i="9"/>
  <c r="AF276" i="9"/>
  <c r="AF256" i="9"/>
  <c r="AF263" i="9" s="1"/>
  <c r="AF260" i="9"/>
  <c r="U84" i="8"/>
  <c r="U29" i="8"/>
  <c r="U30" i="8" s="1"/>
  <c r="W5" i="13"/>
  <c r="V7" i="13"/>
  <c r="V91" i="13"/>
  <c r="V193" i="13"/>
  <c r="T85" i="8"/>
  <c r="T86" i="8"/>
  <c r="T87" i="8"/>
  <c r="T97" i="8"/>
  <c r="W75" i="8"/>
  <c r="V62" i="8"/>
  <c r="V42" i="8" s="1"/>
  <c r="V39" i="8" s="1"/>
  <c r="V35" i="8" s="1"/>
  <c r="V32" i="8" s="1"/>
  <c r="U93" i="7"/>
  <c r="U12" i="7"/>
  <c r="U122" i="7"/>
  <c r="U192" i="7"/>
  <c r="T90" i="8" l="1"/>
  <c r="T92" i="8" s="1"/>
  <c r="T89" i="8"/>
  <c r="AO223" i="9"/>
  <c r="AO570" i="9"/>
  <c r="AB40" i="11"/>
  <c r="AO224" i="9"/>
  <c r="AP222" i="9"/>
  <c r="BH48" i="11"/>
  <c r="AA48" i="11"/>
  <c r="BI48" i="11" s="1"/>
  <c r="BI40" i="11"/>
  <c r="AL201" i="9"/>
  <c r="AL562" i="9" s="1"/>
  <c r="D8" i="59" s="1"/>
  <c r="JW100" i="14"/>
  <c r="JU100" i="14" s="1"/>
  <c r="T19" i="11"/>
  <c r="JH5" i="14" s="1"/>
  <c r="AF13" i="11"/>
  <c r="BN13" i="11" s="1"/>
  <c r="JX116" i="14"/>
  <c r="JX114" i="14" s="1"/>
  <c r="JX112" i="14" s="1"/>
  <c r="JW112" i="14" s="1"/>
  <c r="JU112" i="14" s="1"/>
  <c r="AD53" i="8"/>
  <c r="AD55" i="8" s="1"/>
  <c r="AD57" i="8" s="1"/>
  <c r="AD43" i="8" s="1"/>
  <c r="AK202" i="9"/>
  <c r="AL203" i="9"/>
  <c r="AM205" i="9"/>
  <c r="AN204" i="9" s="1"/>
  <c r="AA57" i="8"/>
  <c r="AA43" i="8" s="1"/>
  <c r="V33" i="8"/>
  <c r="V34" i="8"/>
  <c r="AC48" i="8"/>
  <c r="AC50" i="8" s="1"/>
  <c r="AC53" i="8"/>
  <c r="AC55" i="8" s="1"/>
  <c r="AF44" i="8"/>
  <c r="AF53" i="8" s="1"/>
  <c r="AE44" i="8"/>
  <c r="AJ202" i="9"/>
  <c r="AJ201" i="9" s="1"/>
  <c r="AJ194" i="9" s="1"/>
  <c r="AJ18" i="9"/>
  <c r="AJ17" i="9"/>
  <c r="AJ252" i="9"/>
  <c r="AJ250" i="9" s="1"/>
  <c r="AJ16" i="9"/>
  <c r="AJ19" i="9"/>
  <c r="AJ301" i="9"/>
  <c r="AM268" i="9"/>
  <c r="AM265" i="9" s="1"/>
  <c r="IK10" i="14"/>
  <c r="IK17" i="14" s="1"/>
  <c r="AN291" i="9"/>
  <c r="AN298" i="9" s="1"/>
  <c r="AP251" i="9"/>
  <c r="AP269" i="9"/>
  <c r="AP173" i="9" s="1"/>
  <c r="AP172" i="9"/>
  <c r="AP370" i="9"/>
  <c r="AO288" i="9"/>
  <c r="AP300" i="9" s="1"/>
  <c r="AG260" i="9"/>
  <c r="AI277" i="9"/>
  <c r="AI252" i="9" s="1"/>
  <c r="AI250" i="9" s="1"/>
  <c r="AI256" i="9" s="1"/>
  <c r="AI263" i="9" s="1"/>
  <c r="BB12" i="11"/>
  <c r="BS12" i="11" s="1"/>
  <c r="AO370" i="9"/>
  <c r="AO172" i="9"/>
  <c r="AI306" i="9"/>
  <c r="AN300" i="9"/>
  <c r="AN269" i="9"/>
  <c r="AN173" i="9" s="1"/>
  <c r="AN171" i="9" s="1"/>
  <c r="AN181" i="9" s="1"/>
  <c r="AN270" i="9" s="1"/>
  <c r="AI194" i="9"/>
  <c r="Q19" i="11"/>
  <c r="GG5" i="14"/>
  <c r="GG6" i="14" s="1"/>
  <c r="AL305" i="9"/>
  <c r="AM293" i="9"/>
  <c r="AM304" i="9"/>
  <c r="AM298" i="9"/>
  <c r="GZ5" i="14"/>
  <c r="AE101" i="7"/>
  <c r="W193" i="13"/>
  <c r="W91" i="13"/>
  <c r="AK294" i="9"/>
  <c r="AK301" i="9" s="1"/>
  <c r="AL292" i="9"/>
  <c r="GH6" i="14"/>
  <c r="AK14" i="7"/>
  <c r="S12" i="11"/>
  <c r="AX19" i="11"/>
  <c r="AX55" i="11" s="1"/>
  <c r="FJ104" i="14"/>
  <c r="FH104" i="14"/>
  <c r="FH105" i="14"/>
  <c r="FJ105" i="14"/>
  <c r="AY12" i="11"/>
  <c r="Q13" i="11"/>
  <c r="AY13" i="11" s="1"/>
  <c r="GI102" i="14"/>
  <c r="AF191" i="9"/>
  <c r="AF192" i="9" s="1"/>
  <c r="AE256" i="9"/>
  <c r="AE260" i="9"/>
  <c r="AD263" i="9"/>
  <c r="AE193" i="9"/>
  <c r="AB57" i="8"/>
  <c r="AB43" i="8" s="1"/>
  <c r="AF284" i="9"/>
  <c r="AG276" i="9"/>
  <c r="AH276" i="9" s="1"/>
  <c r="AH284" i="9" s="1"/>
  <c r="CC79" i="14"/>
  <c r="CE79" i="14"/>
  <c r="T91" i="8"/>
  <c r="V84" i="8"/>
  <c r="V29" i="8"/>
  <c r="V30" i="8" s="1"/>
  <c r="X75" i="8"/>
  <c r="X62" i="8" s="1"/>
  <c r="X42" i="8" s="1"/>
  <c r="W62" i="8"/>
  <c r="W42" i="8" s="1"/>
  <c r="W39" i="8" s="1"/>
  <c r="W35" i="8" s="1"/>
  <c r="W32" i="8" s="1"/>
  <c r="W34" i="8" s="1"/>
  <c r="T88" i="8"/>
  <c r="W7" i="13"/>
  <c r="X5" i="13"/>
  <c r="U85" i="8"/>
  <c r="U87" i="8"/>
  <c r="U97" i="8"/>
  <c r="U86" i="8"/>
  <c r="AL554" i="9" l="1"/>
  <c r="U90" i="8"/>
  <c r="U92" i="8" s="1"/>
  <c r="U89" i="8"/>
  <c r="BJ40" i="11"/>
  <c r="AB48" i="11"/>
  <c r="BJ48" i="11" s="1"/>
  <c r="AP223" i="9"/>
  <c r="AC40" i="11"/>
  <c r="AP570" i="9"/>
  <c r="AP224" i="9"/>
  <c r="BU40" i="11"/>
  <c r="AL194" i="9"/>
  <c r="AL191" i="9" s="1"/>
  <c r="AL559" i="9" s="1"/>
  <c r="JX101" i="14"/>
  <c r="AN205" i="9"/>
  <c r="AO204" i="9" s="1"/>
  <c r="AC57" i="8"/>
  <c r="AC43" i="8" s="1"/>
  <c r="W84" i="8"/>
  <c r="W33" i="8"/>
  <c r="AE48" i="8"/>
  <c r="AE50" i="8" s="1"/>
  <c r="AE53" i="8"/>
  <c r="AE55" i="8" s="1"/>
  <c r="AG44" i="8"/>
  <c r="AG53" i="8" s="1"/>
  <c r="AF55" i="8"/>
  <c r="AF48" i="8"/>
  <c r="AF50" i="8" s="1"/>
  <c r="AN304" i="9"/>
  <c r="AJ256" i="9"/>
  <c r="AJ263" i="9" s="1"/>
  <c r="AJ260" i="9"/>
  <c r="AK306" i="9"/>
  <c r="AO300" i="9"/>
  <c r="AO269" i="9"/>
  <c r="AO173" i="9" s="1"/>
  <c r="AO171" i="9" s="1"/>
  <c r="AO181" i="9" s="1"/>
  <c r="AO270" i="9" s="1"/>
  <c r="AP171" i="9"/>
  <c r="AP181" i="9" s="1"/>
  <c r="AP270" i="9" s="1"/>
  <c r="AI260" i="9"/>
  <c r="AO291" i="9"/>
  <c r="AP291" i="9" s="1"/>
  <c r="AI276" i="9"/>
  <c r="AJ276" i="9" s="1"/>
  <c r="AJ284" i="9" s="1"/>
  <c r="JH6" i="14"/>
  <c r="JH62" i="14"/>
  <c r="BB19" i="11"/>
  <c r="AM305" i="9"/>
  <c r="AN293" i="9"/>
  <c r="AN268" i="9"/>
  <c r="S13" i="11"/>
  <c r="BA13" i="11" s="1"/>
  <c r="AI13" i="11"/>
  <c r="BQ13" i="11" s="1"/>
  <c r="T55" i="11"/>
  <c r="GY5" i="14"/>
  <c r="GX5" i="14" s="1"/>
  <c r="GX6" i="14" s="1"/>
  <c r="IB5" i="14"/>
  <c r="HK165" i="14"/>
  <c r="HK70" i="14"/>
  <c r="AK277" i="9"/>
  <c r="AK252" i="9" s="1"/>
  <c r="AK250" i="9" s="1"/>
  <c r="AK260" i="9" s="1"/>
  <c r="AL294" i="9"/>
  <c r="AL301" i="9" s="1"/>
  <c r="AM292" i="9"/>
  <c r="GZ62" i="14"/>
  <c r="GZ6" i="14"/>
  <c r="X193" i="13"/>
  <c r="X91" i="13"/>
  <c r="X39" i="8"/>
  <c r="S19" i="11"/>
  <c r="IP5" i="14" s="1"/>
  <c r="T13" i="11"/>
  <c r="BB13" i="11" s="1"/>
  <c r="O47" i="11"/>
  <c r="AW47" i="11" s="1"/>
  <c r="BA12" i="11"/>
  <c r="AY19" i="11"/>
  <c r="AY55" i="11" s="1"/>
  <c r="Q55" i="11"/>
  <c r="AF193" i="9"/>
  <c r="GZ102" i="14"/>
  <c r="AW39" i="11"/>
  <c r="AG191" i="9"/>
  <c r="AE263" i="9"/>
  <c r="AG284" i="9"/>
  <c r="Y75" i="8"/>
  <c r="Z189" i="9"/>
  <c r="U88" i="8"/>
  <c r="Y5" i="13"/>
  <c r="X7" i="13"/>
  <c r="W29" i="8"/>
  <c r="W30" i="8" s="1"/>
  <c r="DJ77" i="14"/>
  <c r="V86" i="8"/>
  <c r="V85" i="8"/>
  <c r="V87" i="8"/>
  <c r="V97" i="8"/>
  <c r="AA187" i="9" s="1"/>
  <c r="U91" i="8"/>
  <c r="V90" i="8" l="1"/>
  <c r="V92" i="8" s="1"/>
  <c r="V89" i="8"/>
  <c r="BK40" i="11"/>
  <c r="AC48" i="11"/>
  <c r="BK48" i="11" s="1"/>
  <c r="BB55" i="11"/>
  <c r="BS19" i="11"/>
  <c r="AO205" i="9"/>
  <c r="AP204" i="9" s="1"/>
  <c r="AH191" i="9"/>
  <c r="AH192" i="9" s="1"/>
  <c r="AG192" i="9"/>
  <c r="AF57" i="8"/>
  <c r="AF43" i="8" s="1"/>
  <c r="AE57" i="8"/>
  <c r="AE43" i="8" s="1"/>
  <c r="AH44" i="8"/>
  <c r="AG55" i="8"/>
  <c r="AG48" i="8"/>
  <c r="AG50" i="8" s="1"/>
  <c r="AI284" i="9"/>
  <c r="AK276" i="9"/>
  <c r="AK284" i="9" s="1"/>
  <c r="AO268" i="9"/>
  <c r="AP268" i="9" s="1"/>
  <c r="AP265" i="9" s="1"/>
  <c r="AO298" i="9"/>
  <c r="AP304" i="9"/>
  <c r="AP298" i="9"/>
  <c r="AO304" i="9"/>
  <c r="AL277" i="9"/>
  <c r="AL252" i="9" s="1"/>
  <c r="AL250" i="9" s="1"/>
  <c r="AL260" i="9" s="1"/>
  <c r="AL306" i="9"/>
  <c r="AN265" i="9"/>
  <c r="AK256" i="9"/>
  <c r="AK263" i="9" s="1"/>
  <c r="AN305" i="9"/>
  <c r="AO293" i="9"/>
  <c r="AP293" i="9" s="1"/>
  <c r="AP305" i="9" s="1"/>
  <c r="AM294" i="9"/>
  <c r="AM306" i="9" s="1"/>
  <c r="AN292" i="9"/>
  <c r="IN5" i="14"/>
  <c r="IL5" i="14" s="1"/>
  <c r="IL6" i="14" s="1"/>
  <c r="IP6" i="14"/>
  <c r="IP62" i="14"/>
  <c r="GY102" i="14"/>
  <c r="GY104" i="14" s="1"/>
  <c r="IB6" i="14"/>
  <c r="HY5" i="14"/>
  <c r="HX5" i="14" s="1"/>
  <c r="S55" i="11"/>
  <c r="IB62" i="14"/>
  <c r="GZ105" i="14"/>
  <c r="GY105" i="14" s="1"/>
  <c r="GZ104" i="14"/>
  <c r="AX47" i="11"/>
  <c r="Y91" i="13"/>
  <c r="Y193" i="13"/>
  <c r="Z5" i="13"/>
  <c r="AA5" i="13" s="1"/>
  <c r="AB5" i="13" s="1"/>
  <c r="AC5" i="13" s="1"/>
  <c r="AD5" i="13" s="1"/>
  <c r="AE5" i="13" s="1"/>
  <c r="GI105" i="14"/>
  <c r="GH105" i="14" s="1"/>
  <c r="GH102" i="14"/>
  <c r="GG102" i="14" s="1"/>
  <c r="GI104" i="14"/>
  <c r="BA19" i="11"/>
  <c r="AX39" i="11"/>
  <c r="AG193" i="9"/>
  <c r="X35" i="8"/>
  <c r="Y62" i="8"/>
  <c r="Y42" i="8" s="1"/>
  <c r="Y39" i="8" s="1"/>
  <c r="Z75" i="8"/>
  <c r="DF77" i="14"/>
  <c r="DF79" i="14" s="1"/>
  <c r="DJ79" i="14"/>
  <c r="V91" i="8"/>
  <c r="V88" i="8"/>
  <c r="Y7" i="13"/>
  <c r="AA189" i="9"/>
  <c r="CO76" i="14"/>
  <c r="AA242" i="9"/>
  <c r="W86" i="8"/>
  <c r="W85" i="8"/>
  <c r="W87" i="8"/>
  <c r="W97" i="8"/>
  <c r="AB187" i="9" s="1"/>
  <c r="Z23" i="9"/>
  <c r="Z244" i="9"/>
  <c r="CC74" i="14"/>
  <c r="AR38" i="11"/>
  <c r="W90" i="8" l="1"/>
  <c r="W92" i="8" s="1"/>
  <c r="W89" i="8"/>
  <c r="AH53" i="8"/>
  <c r="AH55" i="8" s="1"/>
  <c r="AP205" i="9"/>
  <c r="AH193" i="9"/>
  <c r="AJ191" i="9"/>
  <c r="AJ192" i="9" s="1"/>
  <c r="AI192" i="9"/>
  <c r="AG57" i="8"/>
  <c r="AG43" i="8" s="1"/>
  <c r="AI44" i="8"/>
  <c r="AI53" i="8" s="1"/>
  <c r="AO265" i="9"/>
  <c r="AE91" i="13"/>
  <c r="AE7" i="13"/>
  <c r="AE193" i="13"/>
  <c r="BA55" i="11"/>
  <c r="AL256" i="9"/>
  <c r="AL263" i="9" s="1"/>
  <c r="AL276" i="9"/>
  <c r="AL284" i="9" s="1"/>
  <c r="AO305" i="9"/>
  <c r="AD193" i="13"/>
  <c r="AD91" i="13"/>
  <c r="AD7" i="13"/>
  <c r="AM277" i="9"/>
  <c r="AM252" i="9" s="1"/>
  <c r="AM250" i="9" s="1"/>
  <c r="AM256" i="9" s="1"/>
  <c r="AM263" i="9" s="1"/>
  <c r="AM301" i="9"/>
  <c r="AO292" i="9"/>
  <c r="AP292" i="9" s="1"/>
  <c r="AP294" i="9" s="1"/>
  <c r="AN294" i="9"/>
  <c r="AC193" i="13"/>
  <c r="AC91" i="13"/>
  <c r="AC7" i="13"/>
  <c r="IN62" i="14"/>
  <c r="IK5" i="14"/>
  <c r="IK62" i="14" s="1"/>
  <c r="IN6" i="14"/>
  <c r="GX102" i="14"/>
  <c r="GX104" i="14" s="1"/>
  <c r="HY6" i="14"/>
  <c r="AB7" i="13"/>
  <c r="AB91" i="13"/>
  <c r="AB193" i="13"/>
  <c r="IB102" i="14"/>
  <c r="HY62" i="14"/>
  <c r="AA91" i="13"/>
  <c r="AA193" i="13"/>
  <c r="AA7" i="13"/>
  <c r="Z193" i="13"/>
  <c r="Z91" i="13"/>
  <c r="Z7" i="13"/>
  <c r="GH104" i="14"/>
  <c r="AK192" i="9"/>
  <c r="Y35" i="8"/>
  <c r="Q47" i="11"/>
  <c r="AY47" i="11" s="1"/>
  <c r="AY39" i="11"/>
  <c r="AI193" i="9"/>
  <c r="X32" i="8"/>
  <c r="AA75" i="8"/>
  <c r="Z62" i="8"/>
  <c r="Z42" i="8" s="1"/>
  <c r="Z39" i="8" s="1"/>
  <c r="Z35" i="8" s="1"/>
  <c r="CE70" i="14"/>
  <c r="CE71" i="14"/>
  <c r="W91" i="8"/>
  <c r="W88" i="8"/>
  <c r="AA23" i="9"/>
  <c r="AA244" i="9"/>
  <c r="BV74" i="14"/>
  <c r="Z37" i="9"/>
  <c r="Z38" i="9" s="1"/>
  <c r="Z66" i="9"/>
  <c r="Z29" i="9"/>
  <c r="Z59" i="9"/>
  <c r="Z279" i="9"/>
  <c r="Z15" i="9"/>
  <c r="AB189" i="9"/>
  <c r="AB242" i="9"/>
  <c r="AS38" i="11"/>
  <c r="K46" i="11"/>
  <c r="AS46" i="11" s="1"/>
  <c r="AJ193" i="9" l="1"/>
  <c r="X33" i="8"/>
  <c r="X34" i="8"/>
  <c r="AJ44" i="8"/>
  <c r="AJ53" i="8" s="1"/>
  <c r="AI55" i="8"/>
  <c r="AP277" i="9"/>
  <c r="AP252" i="9" s="1"/>
  <c r="AP250" i="9" s="1"/>
  <c r="AP306" i="9"/>
  <c r="AO294" i="9"/>
  <c r="AO301" i="9" s="1"/>
  <c r="AM260" i="9"/>
  <c r="AM276" i="9"/>
  <c r="AM284" i="9" s="1"/>
  <c r="AN306" i="9"/>
  <c r="AN277" i="9"/>
  <c r="AN252" i="9" s="1"/>
  <c r="AN250" i="9" s="1"/>
  <c r="AN301" i="9"/>
  <c r="JH102" i="14"/>
  <c r="IP102" i="14"/>
  <c r="IB105" i="14"/>
  <c r="HY105" i="14" s="1"/>
  <c r="HX105" i="14" s="1"/>
  <c r="HY102" i="14"/>
  <c r="HX102" i="14" s="1"/>
  <c r="IB104" i="14"/>
  <c r="AK193" i="9"/>
  <c r="Y32" i="8"/>
  <c r="Y34" i="8" s="1"/>
  <c r="X84" i="8"/>
  <c r="S47" i="11"/>
  <c r="BA47" i="11" s="1"/>
  <c r="BA39" i="11"/>
  <c r="X29" i="8"/>
  <c r="X30" i="8" s="1"/>
  <c r="AB75" i="8"/>
  <c r="AC75" i="8" s="1"/>
  <c r="AC62" i="8" s="1"/>
  <c r="AC42" i="8" s="1"/>
  <c r="AA62" i="8"/>
  <c r="AA42" i="8" s="1"/>
  <c r="AA39" i="8" s="1"/>
  <c r="AA35" i="8" s="1"/>
  <c r="DJ74" i="14"/>
  <c r="DJ76" i="14" s="1"/>
  <c r="CC70" i="14"/>
  <c r="EC70" i="14"/>
  <c r="BV70" i="14"/>
  <c r="L46" i="11"/>
  <c r="AT46" i="11" s="1"/>
  <c r="AT38" i="11"/>
  <c r="Z58" i="9"/>
  <c r="Z22" i="9"/>
  <c r="AA29" i="9"/>
  <c r="AA59" i="9"/>
  <c r="AA279" i="9"/>
  <c r="AA15" i="9"/>
  <c r="AA37" i="9"/>
  <c r="AA38" i="9" s="1"/>
  <c r="AA66" i="9"/>
  <c r="AB23" i="9"/>
  <c r="AB244" i="9"/>
  <c r="Z273" i="9"/>
  <c r="Z282" i="9" s="1"/>
  <c r="Z285" i="9"/>
  <c r="Z32" i="9"/>
  <c r="Z67" i="9"/>
  <c r="Z60" i="9"/>
  <c r="Y84" i="8" l="1"/>
  <c r="Y87" i="8" s="1"/>
  <c r="Y89" i="8" s="1"/>
  <c r="Y33" i="8"/>
  <c r="AK44" i="8"/>
  <c r="AK53" i="8" s="1"/>
  <c r="AJ55" i="8"/>
  <c r="AO306" i="9"/>
  <c r="AP301" i="9"/>
  <c r="AP256" i="9"/>
  <c r="AP263" i="9" s="1"/>
  <c r="AP260" i="9"/>
  <c r="AO277" i="9"/>
  <c r="AO252" i="9" s="1"/>
  <c r="AO250" i="9" s="1"/>
  <c r="AO260" i="9" s="1"/>
  <c r="AN276" i="9"/>
  <c r="AN284" i="9" s="1"/>
  <c r="JH105" i="14"/>
  <c r="JH104" i="14"/>
  <c r="AN256" i="9"/>
  <c r="AN263" i="9" s="1"/>
  <c r="AN260" i="9"/>
  <c r="IN102" i="14"/>
  <c r="IN104" i="14" s="1"/>
  <c r="BB47" i="11"/>
  <c r="IP105" i="14"/>
  <c r="IP104" i="14"/>
  <c r="HX104" i="14"/>
  <c r="HY104" i="14"/>
  <c r="BB39" i="11"/>
  <c r="BS39" i="11" s="1"/>
  <c r="Z32" i="8"/>
  <c r="Z34" i="8" s="1"/>
  <c r="Y29" i="8"/>
  <c r="Y30" i="8" s="1"/>
  <c r="X97" i="8"/>
  <c r="AC187" i="9" s="1"/>
  <c r="AD188" i="9" s="1"/>
  <c r="X87" i="8"/>
  <c r="X85" i="8"/>
  <c r="X86" i="8"/>
  <c r="AB62" i="8"/>
  <c r="AB42" i="8" s="1"/>
  <c r="AB39" i="8" s="1"/>
  <c r="AB35" i="8" s="1"/>
  <c r="AD75" i="8"/>
  <c r="AE75" i="8" s="1"/>
  <c r="AE62" i="8" s="1"/>
  <c r="AE42" i="8" s="1"/>
  <c r="DF74" i="14"/>
  <c r="DF76" i="14" s="1"/>
  <c r="AU38" i="11"/>
  <c r="M46" i="11"/>
  <c r="AU46" i="11" s="1"/>
  <c r="Z33" i="9"/>
  <c r="Z62" i="9" s="1"/>
  <c r="AB37" i="9"/>
  <c r="AB38" i="9" s="1"/>
  <c r="AB66" i="9"/>
  <c r="AB29" i="9"/>
  <c r="AB59" i="9"/>
  <c r="AB279" i="9"/>
  <c r="AB15" i="9"/>
  <c r="K14" i="11"/>
  <c r="AA285" i="9"/>
  <c r="AA273" i="9"/>
  <c r="AA282" i="9" s="1"/>
  <c r="AA67" i="9"/>
  <c r="AA60" i="9"/>
  <c r="AA32" i="9"/>
  <c r="AA22" i="9"/>
  <c r="AA58" i="9"/>
  <c r="AR14" i="11"/>
  <c r="AR15" i="11"/>
  <c r="I36" i="11"/>
  <c r="X90" i="8" l="1"/>
  <c r="X92" i="8" s="1"/>
  <c r="X89" i="8"/>
  <c r="AA32" i="8"/>
  <c r="AA34" i="8" s="1"/>
  <c r="Z33" i="8"/>
  <c r="AK55" i="8"/>
  <c r="AC39" i="8"/>
  <c r="AC35" i="8" s="1"/>
  <c r="AO276" i="9"/>
  <c r="AP276" i="9" s="1"/>
  <c r="AP284" i="9" s="1"/>
  <c r="AO256" i="9"/>
  <c r="AO263" i="9" s="1"/>
  <c r="IL102" i="14"/>
  <c r="IK102" i="14" s="1"/>
  <c r="IK104" i="14" s="1"/>
  <c r="IN105" i="14"/>
  <c r="AD62" i="8"/>
  <c r="AD42" i="8" s="1"/>
  <c r="AE39" i="8" s="1"/>
  <c r="AE35" i="8" s="1"/>
  <c r="AF75" i="8"/>
  <c r="ER77" i="14"/>
  <c r="X91" i="8"/>
  <c r="AC189" i="9"/>
  <c r="AC242" i="9"/>
  <c r="AC23" i="9" s="1"/>
  <c r="X88" i="8"/>
  <c r="Y86" i="8"/>
  <c r="FL77" i="14"/>
  <c r="AB32" i="8"/>
  <c r="AB34" i="8" s="1"/>
  <c r="AA84" i="8"/>
  <c r="Z29" i="8"/>
  <c r="Z30" i="8" s="1"/>
  <c r="Z84" i="8"/>
  <c r="GI77" i="14" s="1"/>
  <c r="Y85" i="8"/>
  <c r="Y97" i="8"/>
  <c r="K36" i="11"/>
  <c r="I51" i="11"/>
  <c r="AR51" i="11" s="1"/>
  <c r="AR36" i="11"/>
  <c r="AS14" i="11"/>
  <c r="K15" i="11"/>
  <c r="AS15" i="11" s="1"/>
  <c r="AB273" i="9"/>
  <c r="AB282" i="9" s="1"/>
  <c r="AB285" i="9"/>
  <c r="AB32" i="9"/>
  <c r="AB67" i="9"/>
  <c r="AB60" i="9"/>
  <c r="Z35" i="9"/>
  <c r="AA33" i="9"/>
  <c r="AA62" i="9" s="1"/>
  <c r="AB22" i="9"/>
  <c r="AB58" i="9"/>
  <c r="L14" i="11"/>
  <c r="AB84" i="8" l="1"/>
  <c r="IB77" i="14" s="1"/>
  <c r="IB79" i="14" s="1"/>
  <c r="AB33" i="8"/>
  <c r="AA29" i="8"/>
  <c r="AA30" i="8" s="1"/>
  <c r="AA33" i="8"/>
  <c r="AC32" i="8"/>
  <c r="AO284" i="9"/>
  <c r="AD39" i="8"/>
  <c r="AD35" i="8" s="1"/>
  <c r="AD32" i="8" s="1"/>
  <c r="AD34" i="8" s="1"/>
  <c r="IP85" i="14"/>
  <c r="IB81" i="14"/>
  <c r="HY77" i="14"/>
  <c r="AA87" i="8"/>
  <c r="GZ77" i="14"/>
  <c r="AF62" i="8"/>
  <c r="AF42" i="8" s="1"/>
  <c r="AG75" i="8"/>
  <c r="AG62" i="8" s="1"/>
  <c r="AG42" i="8" s="1"/>
  <c r="GH77" i="14"/>
  <c r="GI81" i="14"/>
  <c r="GI79" i="14"/>
  <c r="AA97" i="8"/>
  <c r="AF187" i="9" s="1"/>
  <c r="FL81" i="14"/>
  <c r="FH77" i="14"/>
  <c r="FH79" i="14" s="1"/>
  <c r="AB86" i="8"/>
  <c r="AB87" i="8"/>
  <c r="Z97" i="8"/>
  <c r="Z98" i="8" s="1"/>
  <c r="Z87" i="8"/>
  <c r="Z89" i="8" s="1"/>
  <c r="AD242" i="9"/>
  <c r="AD243" i="9" s="1"/>
  <c r="FL79" i="14"/>
  <c r="FJ77" i="14"/>
  <c r="FJ79" i="14" s="1"/>
  <c r="AC279" i="9"/>
  <c r="AC273" i="9" s="1"/>
  <c r="AC29" i="9"/>
  <c r="AC32" i="9" s="1"/>
  <c r="AC33" i="9" s="1"/>
  <c r="AC62" i="9" s="1"/>
  <c r="AC15" i="9"/>
  <c r="AC58" i="9" s="1"/>
  <c r="AC59" i="9"/>
  <c r="AC244" i="9"/>
  <c r="AC37" i="9"/>
  <c r="AC38" i="9" s="1"/>
  <c r="AC66" i="9"/>
  <c r="ER81" i="14"/>
  <c r="AB85" i="8"/>
  <c r="AB97" i="8"/>
  <c r="AH187" i="9" s="1"/>
  <c r="AB29" i="8"/>
  <c r="AB30" i="8" s="1"/>
  <c r="AA86" i="8"/>
  <c r="Y90" i="8"/>
  <c r="Y92" i="8" s="1"/>
  <c r="Y88" i="8"/>
  <c r="AD189" i="9"/>
  <c r="Z85" i="8"/>
  <c r="Z86" i="8"/>
  <c r="AA85" i="8"/>
  <c r="DJ69" i="14"/>
  <c r="DJ70" i="14" s="1"/>
  <c r="L36" i="11"/>
  <c r="M14" i="11"/>
  <c r="K56" i="11"/>
  <c r="L15" i="11"/>
  <c r="AT15" i="11" s="1"/>
  <c r="AT14" i="11"/>
  <c r="AA35" i="9"/>
  <c r="Z68" i="9"/>
  <c r="Z61" i="9"/>
  <c r="AS36" i="11"/>
  <c r="AS56" i="11" s="1"/>
  <c r="K51" i="11"/>
  <c r="AS51" i="11" s="1"/>
  <c r="AB33" i="9"/>
  <c r="AB62" i="9" s="1"/>
  <c r="AG39" i="8" l="1"/>
  <c r="AL568" i="9" s="1"/>
  <c r="AA90" i="8"/>
  <c r="AA92" i="8" s="1"/>
  <c r="AA89" i="8"/>
  <c r="AB90" i="8"/>
  <c r="AB92" i="8" s="1"/>
  <c r="AB89" i="8"/>
  <c r="D13" i="59"/>
  <c r="AL555" i="9"/>
  <c r="AC33" i="8"/>
  <c r="AC34" i="8"/>
  <c r="AF39" i="8"/>
  <c r="AF35" i="8" s="1"/>
  <c r="AF32" i="8" s="1"/>
  <c r="AE32" i="8"/>
  <c r="AE29" i="8" s="1"/>
  <c r="AE30" i="8" s="1"/>
  <c r="AD33" i="8"/>
  <c r="AC84" i="8"/>
  <c r="AC29" i="8"/>
  <c r="AC30" i="8" s="1"/>
  <c r="AH189" i="9"/>
  <c r="AH242" i="9"/>
  <c r="IN85" i="14"/>
  <c r="IL85" i="14" s="1"/>
  <c r="IK85" i="14" s="1"/>
  <c r="GY77" i="14"/>
  <c r="GX77" i="14" s="1"/>
  <c r="GX79" i="14" s="1"/>
  <c r="HY81" i="14"/>
  <c r="HX81" i="14" s="1"/>
  <c r="HX77" i="14"/>
  <c r="HY79" i="14"/>
  <c r="AH75" i="8"/>
  <c r="GZ81" i="14"/>
  <c r="GZ79" i="14"/>
  <c r="AA88" i="8"/>
  <c r="GG77" i="14"/>
  <c r="GH81" i="14"/>
  <c r="GH79" i="14"/>
  <c r="AE187" i="9"/>
  <c r="AC285" i="9"/>
  <c r="AC60" i="9"/>
  <c r="DF69" i="14"/>
  <c r="DF71" i="14" s="1"/>
  <c r="DJ71" i="14"/>
  <c r="ET70" i="14"/>
  <c r="AA98" i="8"/>
  <c r="AF242" i="9"/>
  <c r="FJ81" i="14"/>
  <c r="FH81" i="14"/>
  <c r="AC22" i="9"/>
  <c r="AF189" i="9"/>
  <c r="AG187" i="9"/>
  <c r="AH188" i="9" s="1"/>
  <c r="AB98" i="8"/>
  <c r="GZ74" i="14"/>
  <c r="AC67" i="9"/>
  <c r="M36" i="11"/>
  <c r="FL74" i="14"/>
  <c r="ER70" i="14"/>
  <c r="AC282" i="9"/>
  <c r="AD29" i="8"/>
  <c r="AD30" i="8" s="1"/>
  <c r="AB88" i="8"/>
  <c r="AU14" i="11"/>
  <c r="M15" i="11"/>
  <c r="AU15" i="11" s="1"/>
  <c r="Z90" i="8"/>
  <c r="Z88" i="8"/>
  <c r="AV38" i="11"/>
  <c r="N46" i="11"/>
  <c r="AV46" i="11" s="1"/>
  <c r="AD244" i="9"/>
  <c r="AD23" i="9"/>
  <c r="Y91" i="8"/>
  <c r="AB35" i="9"/>
  <c r="AB61" i="9" s="1"/>
  <c r="AC35" i="9"/>
  <c r="L51" i="11"/>
  <c r="AT51" i="11" s="1"/>
  <c r="AT36" i="11"/>
  <c r="AT56" i="11" s="1"/>
  <c r="L56" i="11"/>
  <c r="AA68" i="9"/>
  <c r="AA61" i="9"/>
  <c r="AA91" i="8" l="1"/>
  <c r="Z92" i="8"/>
  <c r="AB91" i="8"/>
  <c r="AH182" i="9"/>
  <c r="AE188" i="9"/>
  <c r="AF188" i="9"/>
  <c r="AG188" i="9"/>
  <c r="AF34" i="8"/>
  <c r="AF101" i="8"/>
  <c r="JH85" i="14"/>
  <c r="AE84" i="8"/>
  <c r="AE87" i="8" s="1"/>
  <c r="AE33" i="8"/>
  <c r="AE34" i="8"/>
  <c r="JH77" i="14"/>
  <c r="JH81" i="14" s="1"/>
  <c r="AF33" i="8"/>
  <c r="AC85" i="8"/>
  <c r="AC87" i="8"/>
  <c r="AC97" i="8"/>
  <c r="AC98" i="8" s="1"/>
  <c r="AC86" i="8"/>
  <c r="AH23" i="9"/>
  <c r="AH244" i="9"/>
  <c r="IP77" i="14"/>
  <c r="IP79" i="14" s="1"/>
  <c r="HX79" i="14"/>
  <c r="AI75" i="8"/>
  <c r="DF70" i="14"/>
  <c r="GZ76" i="14"/>
  <c r="GY74" i="14"/>
  <c r="GY81" i="14"/>
  <c r="GY79" i="14"/>
  <c r="AF29" i="8"/>
  <c r="AF30" i="8" s="1"/>
  <c r="AX38" i="11"/>
  <c r="GG81" i="14"/>
  <c r="GG79" i="14"/>
  <c r="AE189" i="9"/>
  <c r="O46" i="11"/>
  <c r="AW46" i="11" s="1"/>
  <c r="AE242" i="9"/>
  <c r="AF243" i="9" s="1"/>
  <c r="AD87" i="8"/>
  <c r="AF23" i="9"/>
  <c r="AF244" i="9"/>
  <c r="AX46" i="11"/>
  <c r="AG242" i="9"/>
  <c r="AH243" i="9" s="1"/>
  <c r="AG189" i="9"/>
  <c r="FL76" i="14"/>
  <c r="FH74" i="14"/>
  <c r="FH69" i="14" s="1"/>
  <c r="FJ74" i="14"/>
  <c r="AD85" i="8"/>
  <c r="AD86" i="8"/>
  <c r="AD59" i="9"/>
  <c r="AD29" i="9"/>
  <c r="AD66" i="9"/>
  <c r="AD37" i="9"/>
  <c r="AD38" i="9" s="1"/>
  <c r="AD279" i="9"/>
  <c r="Z91" i="8"/>
  <c r="AU36" i="11"/>
  <c r="AU56" i="11" s="1"/>
  <c r="M56" i="11"/>
  <c r="M51" i="11"/>
  <c r="AU51" i="11" s="1"/>
  <c r="AB68" i="9"/>
  <c r="AC61" i="9"/>
  <c r="AC68" i="9"/>
  <c r="AC90" i="8" l="1"/>
  <c r="AC92" i="8" s="1"/>
  <c r="AC89" i="8"/>
  <c r="AE90" i="8"/>
  <c r="AE92" i="8" s="1"/>
  <c r="AE89" i="8"/>
  <c r="AD90" i="8"/>
  <c r="AD92" i="8" s="1"/>
  <c r="AD89" i="8"/>
  <c r="JX85" i="14"/>
  <c r="AG35" i="8"/>
  <c r="AG32" i="8" s="1"/>
  <c r="AG23" i="9"/>
  <c r="AG66" i="9" s="1"/>
  <c r="AG243" i="9"/>
  <c r="AE244" i="9"/>
  <c r="AE243" i="9"/>
  <c r="AE85" i="8"/>
  <c r="AE97" i="8"/>
  <c r="AE98" i="8" s="1"/>
  <c r="AE86" i="8"/>
  <c r="JH79" i="14"/>
  <c r="AF85" i="8"/>
  <c r="AF90" i="8"/>
  <c r="AF92" i="8" s="1"/>
  <c r="AF98" i="8"/>
  <c r="AF86" i="8"/>
  <c r="AC91" i="8"/>
  <c r="AC88" i="8"/>
  <c r="AE88" i="8"/>
  <c r="AH279" i="9"/>
  <c r="AH29" i="9"/>
  <c r="AH15" i="9"/>
  <c r="AH59" i="9"/>
  <c r="AH37" i="9"/>
  <c r="AH38" i="9" s="1"/>
  <c r="AD98" i="8"/>
  <c r="AJ187" i="9"/>
  <c r="IP81" i="14"/>
  <c r="AJ75" i="8"/>
  <c r="IB74" i="14"/>
  <c r="HY74" i="14" s="1"/>
  <c r="HX74" i="14" s="1"/>
  <c r="GX74" i="14"/>
  <c r="GX76" i="14" s="1"/>
  <c r="AE23" i="9"/>
  <c r="AE279" i="9" s="1"/>
  <c r="AW38" i="11"/>
  <c r="GI74" i="14"/>
  <c r="GH74" i="14" s="1"/>
  <c r="GG74" i="14" s="1"/>
  <c r="FH70" i="14"/>
  <c r="FH163" i="14"/>
  <c r="AY38" i="11"/>
  <c r="AI188" i="9"/>
  <c r="Z36" i="13"/>
  <c r="AF59" i="9"/>
  <c r="AF279" i="9"/>
  <c r="AF29" i="9"/>
  <c r="AF37" i="9"/>
  <c r="AF38" i="9" s="1"/>
  <c r="Q46" i="11"/>
  <c r="AY46" i="11" s="1"/>
  <c r="AG279" i="9"/>
  <c r="AG285" i="9" s="1"/>
  <c r="AG29" i="9"/>
  <c r="AG244" i="9"/>
  <c r="FH76" i="14"/>
  <c r="FJ76" i="14"/>
  <c r="FJ69" i="14"/>
  <c r="FJ163" i="14" s="1"/>
  <c r="AD88" i="8"/>
  <c r="AD67" i="9"/>
  <c r="AD32" i="9"/>
  <c r="AD33" i="9" s="1"/>
  <c r="AD62" i="9" s="1"/>
  <c r="AD60" i="9"/>
  <c r="AD273" i="9"/>
  <c r="AD285" i="9"/>
  <c r="Z37" i="7"/>
  <c r="N14" i="11"/>
  <c r="Z103" i="7"/>
  <c r="AG59" i="9" l="1"/>
  <c r="AE91" i="8"/>
  <c r="AD91" i="8"/>
  <c r="JW85" i="14"/>
  <c r="JU85" i="14" s="1"/>
  <c r="AG37" i="9"/>
  <c r="AG38" i="9" s="1"/>
  <c r="AG84" i="8"/>
  <c r="AH66" i="9"/>
  <c r="AJ188" i="9"/>
  <c r="AG33" i="8"/>
  <c r="AG29" i="8"/>
  <c r="AG30" i="8" s="1"/>
  <c r="AG34" i="8"/>
  <c r="AF88" i="8"/>
  <c r="AF91" i="8"/>
  <c r="AH58" i="9"/>
  <c r="AH22" i="9"/>
  <c r="AH32" i="9"/>
  <c r="AH60" i="9"/>
  <c r="AH273" i="9"/>
  <c r="AH282" i="9" s="1"/>
  <c r="AH285" i="9"/>
  <c r="AJ189" i="9"/>
  <c r="AJ242" i="9"/>
  <c r="AG32" i="9"/>
  <c r="AG33" i="9" s="1"/>
  <c r="AG62" i="9" s="1"/>
  <c r="AH67" i="9"/>
  <c r="AK75" i="8"/>
  <c r="JH74" i="14"/>
  <c r="BB46" i="11"/>
  <c r="IB76" i="14"/>
  <c r="AE59" i="9"/>
  <c r="AE29" i="9"/>
  <c r="AE60" i="9" s="1"/>
  <c r="N36" i="11"/>
  <c r="AE37" i="9"/>
  <c r="AE38" i="9" s="1"/>
  <c r="AE66" i="9"/>
  <c r="AF66" i="9"/>
  <c r="GI76" i="14"/>
  <c r="GH76" i="14"/>
  <c r="GG76" i="14"/>
  <c r="AG67" i="9"/>
  <c r="AI242" i="9"/>
  <c r="AG273" i="9"/>
  <c r="AG282" i="9" s="1"/>
  <c r="AI189" i="9"/>
  <c r="AG60" i="9"/>
  <c r="AF285" i="9"/>
  <c r="AF273" i="9"/>
  <c r="AF282" i="9" s="1"/>
  <c r="AF32" i="9"/>
  <c r="AF33" i="9" s="1"/>
  <c r="AF62" i="9" s="1"/>
  <c r="AF60" i="9"/>
  <c r="Q14" i="11"/>
  <c r="FJ70" i="14"/>
  <c r="FJ71" i="14"/>
  <c r="FH71" i="14"/>
  <c r="FL69" i="14"/>
  <c r="AD282" i="9"/>
  <c r="AD35" i="9"/>
  <c r="AD61" i="9" s="1"/>
  <c r="Z99" i="7"/>
  <c r="Z111" i="7"/>
  <c r="Z102" i="7"/>
  <c r="Z31" i="7"/>
  <c r="N15" i="11"/>
  <c r="AV15" i="11" s="1"/>
  <c r="AV14" i="11"/>
  <c r="AE285" i="9"/>
  <c r="AE273" i="9"/>
  <c r="O14" i="11"/>
  <c r="P15" i="11" s="1"/>
  <c r="Z96" i="7"/>
  <c r="AJ182" i="9" l="1"/>
  <c r="AJ243" i="9"/>
  <c r="AI244" i="9"/>
  <c r="AI243" i="9"/>
  <c r="AK188" i="9"/>
  <c r="AG86" i="8"/>
  <c r="AG87" i="8"/>
  <c r="AG89" i="8" s="1"/>
  <c r="AG97" i="8"/>
  <c r="AL187" i="9" s="1"/>
  <c r="AL564" i="9" s="1"/>
  <c r="AL572" i="9" s="1"/>
  <c r="AG85" i="8"/>
  <c r="AK242" i="9"/>
  <c r="D5" i="59" s="1"/>
  <c r="D30" i="59" s="1"/>
  <c r="AK189" i="9"/>
  <c r="AH33" i="9"/>
  <c r="AH62" i="9" s="1"/>
  <c r="AJ23" i="9"/>
  <c r="AJ244" i="9"/>
  <c r="JH76" i="14"/>
  <c r="AI182" i="9"/>
  <c r="BB38" i="11"/>
  <c r="BS38" i="11" s="1"/>
  <c r="IP74" i="14"/>
  <c r="AE67" i="9"/>
  <c r="Q36" i="11"/>
  <c r="Q52" i="11" s="1"/>
  <c r="AF67" i="9"/>
  <c r="AE32" i="9"/>
  <c r="AE33" i="9" s="1"/>
  <c r="AE62" i="9" s="1"/>
  <c r="HY76" i="14"/>
  <c r="O36" i="11"/>
  <c r="GI69" i="14" s="1"/>
  <c r="GH69" i="14" s="1"/>
  <c r="AY14" i="11"/>
  <c r="BA38" i="11"/>
  <c r="FL71" i="14"/>
  <c r="FL163" i="14"/>
  <c r="S46" i="11"/>
  <c r="BA46" i="11" s="1"/>
  <c r="AI23" i="9"/>
  <c r="N56" i="11"/>
  <c r="AF35" i="9"/>
  <c r="Q15" i="11"/>
  <c r="AY15" i="11" s="1"/>
  <c r="AX14" i="11"/>
  <c r="GZ69" i="14"/>
  <c r="FL70" i="14"/>
  <c r="AE282" i="9"/>
  <c r="AX15" i="11"/>
  <c r="AD68" i="9"/>
  <c r="AW14" i="11"/>
  <c r="O15" i="11"/>
  <c r="AW15" i="11" s="1"/>
  <c r="AV36" i="11"/>
  <c r="AV56" i="11" s="1"/>
  <c r="N51" i="11"/>
  <c r="AV51" i="11" s="1"/>
  <c r="AG35" i="9"/>
  <c r="JX74" i="14" l="1"/>
  <c r="JZ74" i="14" s="1"/>
  <c r="AL188" i="9"/>
  <c r="AK182" i="9"/>
  <c r="AK243" i="9"/>
  <c r="AG88" i="8"/>
  <c r="Y38" i="11"/>
  <c r="BG38" i="11" s="1"/>
  <c r="AL189" i="9"/>
  <c r="AG98" i="8"/>
  <c r="AG90" i="8"/>
  <c r="AK23" i="9"/>
  <c r="AK37" i="9" s="1"/>
  <c r="AK38" i="9" s="1"/>
  <c r="AK244" i="9"/>
  <c r="AH35" i="9"/>
  <c r="AH68" i="9" s="1"/>
  <c r="AJ279" i="9"/>
  <c r="AJ15" i="9"/>
  <c r="AJ37" i="9"/>
  <c r="AJ38" i="9" s="1"/>
  <c r="AJ29" i="9"/>
  <c r="AJ59" i="9"/>
  <c r="AF61" i="9"/>
  <c r="AI279" i="9"/>
  <c r="AI285" i="9" s="1"/>
  <c r="AJ66" i="9"/>
  <c r="IB69" i="14"/>
  <c r="HY69" i="14" s="1"/>
  <c r="IN74" i="14"/>
  <c r="IL74" i="14" s="1"/>
  <c r="IP76" i="14"/>
  <c r="GY69" i="14"/>
  <c r="GX69" i="14" s="1"/>
  <c r="GX163" i="14" s="1"/>
  <c r="GG69" i="14"/>
  <c r="GG71" i="14" s="1"/>
  <c r="GZ163" i="14"/>
  <c r="GZ70" i="14"/>
  <c r="GZ71" i="14"/>
  <c r="AI59" i="9"/>
  <c r="AI29" i="9"/>
  <c r="AI37" i="9"/>
  <c r="AI38" i="9" s="1"/>
  <c r="AI66" i="9"/>
  <c r="GI71" i="14"/>
  <c r="GI70" i="14"/>
  <c r="Q51" i="11"/>
  <c r="AY51" i="11" s="1"/>
  <c r="Q56" i="11"/>
  <c r="O56" i="11"/>
  <c r="AY36" i="11"/>
  <c r="AY56" i="11" s="1"/>
  <c r="AX51" i="11"/>
  <c r="AX36" i="11"/>
  <c r="AX56" i="11" s="1"/>
  <c r="AE35" i="9"/>
  <c r="AW36" i="11"/>
  <c r="AW56" i="11" s="1"/>
  <c r="O51" i="11"/>
  <c r="AW51" i="11" s="1"/>
  <c r="AG61" i="9"/>
  <c r="AG68" i="9"/>
  <c r="JW74" i="14" l="1"/>
  <c r="JU74" i="14" s="1"/>
  <c r="AG91" i="8"/>
  <c r="AG92" i="8"/>
  <c r="AK59" i="9"/>
  <c r="IB71" i="14"/>
  <c r="IB163" i="14"/>
  <c r="AK279" i="9"/>
  <c r="AK285" i="9" s="1"/>
  <c r="AK66" i="9"/>
  <c r="Y46" i="11"/>
  <c r="BG46" i="11" s="1"/>
  <c r="AK29" i="9"/>
  <c r="AK67" i="9" s="1"/>
  <c r="AH49" i="9"/>
  <c r="AH52" i="9" s="1"/>
  <c r="AH50" i="9"/>
  <c r="AH44" i="9" s="1"/>
  <c r="AH61" i="9"/>
  <c r="AI273" i="9"/>
  <c r="AI282" i="9" s="1"/>
  <c r="AJ60" i="9"/>
  <c r="AJ32" i="9"/>
  <c r="AJ58" i="9"/>
  <c r="AJ22" i="9"/>
  <c r="AJ285" i="9"/>
  <c r="AJ273" i="9"/>
  <c r="AJ282" i="9" s="1"/>
  <c r="AI60" i="9"/>
  <c r="AJ67" i="9"/>
  <c r="IB70" i="14"/>
  <c r="IN76" i="14"/>
  <c r="IN77" i="14"/>
  <c r="HX69" i="14"/>
  <c r="HX71" i="14" s="1"/>
  <c r="HY71" i="14"/>
  <c r="HY70" i="14"/>
  <c r="GG70" i="14"/>
  <c r="GG163" i="14"/>
  <c r="HY163" i="14"/>
  <c r="GX71" i="14"/>
  <c r="GX70" i="14"/>
  <c r="AI62" i="9"/>
  <c r="AK36" i="7"/>
  <c r="AI67" i="9"/>
  <c r="S14" i="11"/>
  <c r="T14" i="11"/>
  <c r="GH71" i="14"/>
  <c r="GH70" i="14"/>
  <c r="AE9" i="7"/>
  <c r="AE103" i="7"/>
  <c r="AE68" i="9"/>
  <c r="AE61" i="9"/>
  <c r="AF68" i="9"/>
  <c r="AF15" i="11" l="1"/>
  <c r="BN15" i="11" s="1"/>
  <c r="AE15" i="11"/>
  <c r="BM15" i="11" s="1"/>
  <c r="AK273" i="9"/>
  <c r="AK282" i="9" s="1"/>
  <c r="AK60" i="9"/>
  <c r="AH43" i="9"/>
  <c r="AJ33" i="9"/>
  <c r="AJ62" i="9" s="1"/>
  <c r="T36" i="11"/>
  <c r="T51" i="11" s="1"/>
  <c r="AI15" i="11"/>
  <c r="BQ15" i="11" s="1"/>
  <c r="S36" i="11"/>
  <c r="S52" i="11" s="1"/>
  <c r="IN79" i="14"/>
  <c r="IL77" i="14"/>
  <c r="IL81" i="14" s="1"/>
  <c r="IL76" i="14"/>
  <c r="IK74" i="14"/>
  <c r="IN81" i="14"/>
  <c r="S15" i="11"/>
  <c r="BA15" i="11" s="1"/>
  <c r="BA14" i="11"/>
  <c r="T15" i="11"/>
  <c r="BB15" i="11" s="1"/>
  <c r="BB14" i="11"/>
  <c r="BS14" i="11" s="1"/>
  <c r="AE102" i="7"/>
  <c r="AE96" i="7"/>
  <c r="T16" i="11"/>
  <c r="BB16" i="11" s="1"/>
  <c r="AE111" i="7"/>
  <c r="AE99" i="7"/>
  <c r="AE63" i="13"/>
  <c r="AI35" i="9"/>
  <c r="AJ35" i="9" l="1"/>
  <c r="AJ49" i="9" s="1"/>
  <c r="AJ52" i="9" s="1"/>
  <c r="JH69" i="14"/>
  <c r="IK76" i="14"/>
  <c r="IK77" i="14"/>
  <c r="IK79" i="14" s="1"/>
  <c r="BA36" i="11"/>
  <c r="IP69" i="14"/>
  <c r="S51" i="11"/>
  <c r="BA51" i="11" s="1"/>
  <c r="S56" i="11"/>
  <c r="BB36" i="11"/>
  <c r="BB51" i="11"/>
  <c r="T56" i="11"/>
  <c r="AK35" i="9"/>
  <c r="AE104" i="7"/>
  <c r="AI68" i="9"/>
  <c r="AI61" i="9"/>
  <c r="BB56" i="11" l="1"/>
  <c r="BS36" i="11"/>
  <c r="AJ50" i="9"/>
  <c r="AJ44" i="9" s="1"/>
  <c r="AJ68" i="9"/>
  <c r="AJ61" i="9"/>
  <c r="BA56" i="11"/>
  <c r="JH71" i="14"/>
  <c r="JH70" i="14"/>
  <c r="JH163" i="14"/>
  <c r="IN69" i="14"/>
  <c r="IN163" i="14" s="1"/>
  <c r="IP70" i="14"/>
  <c r="IP163" i="14"/>
  <c r="IP71" i="14"/>
  <c r="AK68" i="9"/>
  <c r="AK61" i="9"/>
  <c r="AK49" i="9"/>
  <c r="AK52" i="9" s="1"/>
  <c r="AK50" i="9"/>
  <c r="AK44" i="9" s="1"/>
  <c r="AE105" i="7"/>
  <c r="AJ43" i="9" l="1"/>
  <c r="AE75" i="13"/>
  <c r="IN70" i="14"/>
  <c r="IL69" i="14"/>
  <c r="IL70" i="14" s="1"/>
  <c r="IN71" i="14"/>
  <c r="T17" i="11"/>
  <c r="JH164" i="14" s="1"/>
  <c r="AK43" i="9"/>
  <c r="AE106" i="7"/>
  <c r="AE6" i="7"/>
  <c r="JH165" i="14" l="1"/>
  <c r="BB17" i="11"/>
  <c r="IK69" i="14"/>
  <c r="IK71" i="14" s="1"/>
  <c r="AE5" i="7"/>
  <c r="AE215" i="13" l="1"/>
  <c r="IK163" i="14"/>
  <c r="AE261" i="13"/>
  <c r="CE128" i="14" l="1"/>
  <c r="I48" i="11"/>
  <c r="AR48" i="11" s="1"/>
  <c r="CC41" i="14"/>
  <c r="CU42" i="14" s="1"/>
  <c r="CC42" i="14" l="1"/>
  <c r="EC42" i="14"/>
  <c r="CC128" i="14"/>
  <c r="BV41" i="14"/>
  <c r="CO42" i="14" s="1"/>
  <c r="AR25" i="11"/>
  <c r="CC50" i="14"/>
  <c r="CU51" i="14" s="1"/>
  <c r="AR29" i="11"/>
  <c r="I56" i="11"/>
  <c r="I47" i="11"/>
  <c r="AR47" i="11" s="1"/>
  <c r="AR39" i="11"/>
  <c r="AR56" i="11" s="1"/>
  <c r="CC51" i="14" l="1"/>
  <c r="EC51" i="14"/>
  <c r="BV128" i="14"/>
  <c r="BV42" i="14"/>
  <c r="BV50" i="14"/>
  <c r="I49" i="11"/>
  <c r="AR49" i="11" s="1"/>
  <c r="CE76" i="14"/>
  <c r="CC8" i="14"/>
  <c r="BV51" i="14" l="1"/>
  <c r="CO51" i="14"/>
  <c r="I55" i="11"/>
  <c r="I45" i="11"/>
  <c r="AR45" i="11" s="1"/>
  <c r="AR20" i="11"/>
  <c r="AR21" i="11"/>
  <c r="I46" i="11"/>
  <c r="AR46" i="11" s="1"/>
  <c r="BV8" i="14"/>
  <c r="CC10" i="14"/>
  <c r="CC17" i="14" l="1"/>
  <c r="CC11" i="14"/>
  <c r="CU11" i="14"/>
  <c r="EC11" i="14"/>
  <c r="AR55" i="11"/>
  <c r="CC76" i="14"/>
  <c r="BV10" i="14"/>
  <c r="CA8" i="14"/>
  <c r="BV11" i="14" l="1"/>
  <c r="CO11" i="14"/>
  <c r="BV76" i="14"/>
  <c r="BV17" i="14"/>
  <c r="EC6" i="14"/>
  <c r="CC6" i="14"/>
  <c r="CC71" i="14"/>
  <c r="CC65" i="14"/>
  <c r="CC68" i="14"/>
  <c r="BV71" i="14"/>
  <c r="BV68" i="14"/>
  <c r="BV65" i="14"/>
  <c r="BV6" i="14"/>
  <c r="CE164" i="14" l="1"/>
  <c r="CC164" i="14" l="1"/>
  <c r="CE165" i="14"/>
  <c r="CC165" i="14" l="1"/>
  <c r="BV164" i="14"/>
  <c r="BV165" i="14" l="1"/>
  <c r="BV79" i="14"/>
  <c r="BV19" i="14"/>
  <c r="CA18" i="14"/>
  <c r="CA10" i="14" s="1"/>
  <c r="CA5" i="14" l="1"/>
  <c r="CA6" i="14" s="1"/>
  <c r="CA11" i="14"/>
  <c r="CG6" i="14"/>
  <c r="CG65" i="14"/>
  <c r="CG68" i="14"/>
  <c r="CG28" i="14" l="1"/>
  <c r="CG104" i="14" l="1"/>
  <c r="CG42" i="14"/>
  <c r="CG51" i="14"/>
  <c r="CG70" i="14"/>
  <c r="CR70" i="14"/>
  <c r="CG71" i="14"/>
  <c r="CR71" i="14"/>
  <c r="CR165" i="14"/>
  <c r="CG165" i="14" l="1"/>
  <c r="CG76" i="14" l="1"/>
  <c r="CG19" i="14"/>
  <c r="CG79" i="14"/>
  <c r="CG38" i="14"/>
  <c r="CP65" i="14"/>
  <c r="EB5" i="14"/>
  <c r="CP6" i="14"/>
  <c r="CP68" i="14"/>
  <c r="CL5" i="14"/>
  <c r="CL6" i="14" l="1"/>
  <c r="DC6" i="14"/>
  <c r="CL65" i="14"/>
  <c r="EB71" i="14"/>
  <c r="EB6" i="14"/>
  <c r="CL68" i="14"/>
  <c r="EB8" i="14" l="1"/>
  <c r="CL8" i="14"/>
  <c r="EB10" i="14"/>
  <c r="EB11" i="14" s="1"/>
  <c r="CL10" i="14"/>
  <c r="CL11" i="14" l="1"/>
  <c r="DC11" i="14"/>
  <c r="EB27" i="14"/>
  <c r="CL27" i="14"/>
  <c r="DC107" i="14" l="1"/>
  <c r="DC28" i="14"/>
  <c r="DD28" i="14"/>
  <c r="CL107" i="14"/>
  <c r="EB28" i="14"/>
  <c r="EB107" i="14"/>
  <c r="CL28" i="14"/>
  <c r="CL41" i="14"/>
  <c r="EB41" i="14"/>
  <c r="EB42" i="14" s="1"/>
  <c r="DD41" i="14" l="1"/>
  <c r="DC42" i="14"/>
  <c r="CL42" i="14"/>
  <c r="CL48" i="14"/>
  <c r="CL50" i="14"/>
  <c r="EB50" i="14"/>
  <c r="EB51" i="14" s="1"/>
  <c r="DD50" i="14" l="1"/>
  <c r="DC51" i="14"/>
  <c r="DD42" i="14"/>
  <c r="DH41" i="14"/>
  <c r="DH42" i="14" s="1"/>
  <c r="CJ48" i="14"/>
  <c r="CL49" i="14"/>
  <c r="CL51" i="14"/>
  <c r="EB57" i="14"/>
  <c r="CL57" i="14"/>
  <c r="EB59" i="14"/>
  <c r="CL59" i="14"/>
  <c r="CP165" i="14"/>
  <c r="CP71" i="14"/>
  <c r="CP70" i="14"/>
  <c r="CL69" i="14"/>
  <c r="DD51" i="14" l="1"/>
  <c r="DH50" i="14"/>
  <c r="DH51" i="14" s="1"/>
  <c r="CL70" i="14"/>
  <c r="DC70" i="14"/>
  <c r="EN128" i="14"/>
  <c r="CJ49" i="14"/>
  <c r="CR48" i="14"/>
  <c r="CU48" i="14" s="1"/>
  <c r="CL165" i="14"/>
  <c r="CL71" i="14"/>
  <c r="DR49" i="14" l="1"/>
  <c r="DJ49" i="14"/>
  <c r="DI49" i="14"/>
  <c r="EP128" i="14"/>
  <c r="CR49" i="14"/>
  <c r="EB73" i="14"/>
  <c r="CL73" i="14"/>
  <c r="EB74" i="14"/>
  <c r="EB76" i="14" s="1"/>
  <c r="CL74" i="14"/>
  <c r="ER51" i="14" l="1"/>
  <c r="CU49" i="14"/>
  <c r="CL76" i="14"/>
  <c r="CP104" i="14"/>
  <c r="EB102" i="14"/>
  <c r="CL102" i="14"/>
  <c r="DP102" i="14" s="1"/>
  <c r="EB127" i="14"/>
  <c r="CP128" i="14"/>
  <c r="CL127" i="14"/>
  <c r="DD127" i="14" s="1"/>
  <c r="DD128" i="14" l="1"/>
  <c r="DH127" i="14"/>
  <c r="DH128" i="14" s="1"/>
  <c r="CL104" i="14"/>
  <c r="DD102" i="14"/>
  <c r="CL128" i="14"/>
  <c r="EB129" i="14"/>
  <c r="EB128" i="14"/>
  <c r="EB104" i="14"/>
  <c r="EB105" i="14"/>
  <c r="EB142" i="14"/>
  <c r="CL142" i="14"/>
  <c r="EB149" i="14"/>
  <c r="CL149" i="14"/>
  <c r="EB157" i="14"/>
  <c r="CL157" i="14"/>
  <c r="CP19" i="14"/>
  <c r="EB18" i="14"/>
  <c r="CL18" i="14"/>
  <c r="CL17" i="14" s="1"/>
  <c r="CP79" i="14"/>
  <c r="CL77" i="14"/>
  <c r="DD77" i="14" s="1"/>
  <c r="DD18" i="14" l="1"/>
  <c r="DC19" i="14"/>
  <c r="DD104" i="14"/>
  <c r="DH102" i="14"/>
  <c r="DD79" i="14"/>
  <c r="DH77" i="14"/>
  <c r="CL19" i="14"/>
  <c r="CL79" i="14"/>
  <c r="EB19" i="14"/>
  <c r="EB79" i="14"/>
  <c r="W63" i="13"/>
  <c r="W75" i="13"/>
  <c r="W134" i="13"/>
  <c r="W190" i="13"/>
  <c r="W215" i="13"/>
  <c r="W256" i="13"/>
  <c r="W261" i="13"/>
  <c r="K16" i="11"/>
  <c r="AS16" i="11" s="1"/>
  <c r="K17" i="11"/>
  <c r="AS17" i="11" s="1"/>
  <c r="DH74" i="14" l="1"/>
  <c r="DH104" i="14"/>
  <c r="DH105" i="14"/>
  <c r="DH18" i="14"/>
  <c r="DH79" i="14" s="1"/>
  <c r="DD19" i="14"/>
  <c r="AR16" i="11"/>
  <c r="AR17" i="11"/>
  <c r="DH19" i="14" l="1"/>
  <c r="DH10" i="14"/>
  <c r="DD74" i="14"/>
  <c r="BQ56" i="11"/>
  <c r="AI56" i="11"/>
  <c r="DD10" i="14" l="1"/>
  <c r="DD76" i="14" s="1"/>
  <c r="DH11" i="14"/>
  <c r="DH76" i="14"/>
  <c r="DD69" i="14"/>
  <c r="DD70" i="14" s="1"/>
  <c r="CZ162" i="14"/>
  <c r="DD5" i="14" l="1"/>
  <c r="DD71" i="14" s="1"/>
  <c r="DD11" i="14"/>
  <c r="DH69" i="14"/>
  <c r="DD165" i="14"/>
  <c r="ER19" i="14"/>
  <c r="CZ22" i="14"/>
  <c r="DD6" i="14" l="1"/>
  <c r="DH5" i="14"/>
  <c r="DH6" i="14" s="1"/>
  <c r="DH70" i="14"/>
  <c r="DH165" i="14"/>
  <c r="DQ104" i="14"/>
  <c r="DH71" i="14" l="1"/>
  <c r="DF33" i="14"/>
  <c r="DF34" i="14" s="1"/>
  <c r="DG33" i="14"/>
  <c r="DQ33" i="14"/>
  <c r="DQ34" i="14" s="1"/>
  <c r="DC34" i="14"/>
  <c r="DG34" i="14" l="1"/>
  <c r="DE33" i="14"/>
  <c r="DS126" i="14"/>
  <c r="DS125" i="14"/>
  <c r="DS124" i="14"/>
  <c r="DS108" i="14"/>
  <c r="DJ164" i="14"/>
  <c r="DF164" i="14" s="1"/>
  <c r="DF165" i="14" s="1"/>
  <c r="FP76" i="14"/>
  <c r="FP79" i="14"/>
  <c r="DE34" i="14" l="1"/>
  <c r="DJ165" i="14"/>
  <c r="FP128" i="14"/>
  <c r="FP71" i="14"/>
  <c r="L16" i="11"/>
  <c r="AT16" i="11" s="1"/>
  <c r="L17" i="11"/>
  <c r="AT17" i="11" s="1"/>
  <c r="T1" i="9" l="1"/>
  <c r="EN10" i="14"/>
  <c r="EN11" i="14" s="1"/>
  <c r="EN74" i="14"/>
  <c r="EN69" i="14" s="1"/>
  <c r="EN76" i="14" l="1"/>
  <c r="EN70" i="14" l="1"/>
  <c r="EN165" i="14"/>
  <c r="EN27" i="14"/>
  <c r="EN5" i="14" l="1"/>
  <c r="EP27" i="14"/>
  <c r="EP104" i="14" s="1"/>
  <c r="EN104" i="14"/>
  <c r="EP5" i="14" l="1"/>
  <c r="EP62" i="14" s="1"/>
  <c r="EN62" i="14"/>
  <c r="EN6" i="14"/>
  <c r="EN71" i="14"/>
  <c r="EP28" i="14"/>
  <c r="ER28" i="14"/>
  <c r="EP6" i="14" l="1"/>
  <c r="EP71" i="14"/>
  <c r="EN37" i="14"/>
  <c r="EN33" i="14" l="1"/>
  <c r="EP37" i="14"/>
  <c r="EN34" i="14" l="1"/>
  <c r="EP33" i="14"/>
  <c r="EP38" i="14"/>
  <c r="EP34" i="14" l="1"/>
  <c r="EO33" i="14"/>
  <c r="FE33" i="14" s="1"/>
  <c r="FG33" i="14" s="1"/>
  <c r="FC33" i="14" l="1"/>
  <c r="FZ33" i="14" s="1"/>
  <c r="FE37" i="14"/>
  <c r="FG37" i="14" s="1"/>
  <c r="FO33" i="14"/>
  <c r="EQ33" i="14"/>
  <c r="FH34" i="14" s="1"/>
  <c r="FE34" i="14"/>
  <c r="ER34" i="14"/>
  <c r="EO37" i="14"/>
  <c r="EO34" i="14"/>
  <c r="GA33" i="14" l="1"/>
  <c r="GS33" i="14" s="1"/>
  <c r="FZ36" i="14"/>
  <c r="GA36" i="14" s="1"/>
  <c r="FZ34" i="14"/>
  <c r="FG34" i="14"/>
  <c r="FC34" i="14"/>
  <c r="FC36" i="14"/>
  <c r="FC37" i="14"/>
  <c r="FO37" i="14"/>
  <c r="EQ37" i="14"/>
  <c r="FH38" i="14" s="1"/>
  <c r="FE38" i="14"/>
  <c r="EQ34" i="14"/>
  <c r="FP34" i="14"/>
  <c r="FN34" i="14"/>
  <c r="EO38" i="14"/>
  <c r="EM37" i="14"/>
  <c r="ER38" i="14"/>
  <c r="Y49" i="9"/>
  <c r="Y52" i="9" s="1"/>
  <c r="Z49" i="9"/>
  <c r="Z52" i="9" s="1"/>
  <c r="AA49" i="9"/>
  <c r="AA52" i="9" s="1"/>
  <c r="AB49" i="9"/>
  <c r="AB52" i="9" s="1"/>
  <c r="Y50" i="9"/>
  <c r="Y43" i="9" s="1"/>
  <c r="Z50" i="9"/>
  <c r="Z43" i="9" s="1"/>
  <c r="AA50" i="9"/>
  <c r="AA43" i="9" s="1"/>
  <c r="AB50" i="9"/>
  <c r="AB43" i="9" s="1"/>
  <c r="HP33" i="14" l="1"/>
  <c r="HP34" i="14" s="1"/>
  <c r="HQ34" i="14"/>
  <c r="HO34" i="14"/>
  <c r="IH33" i="14"/>
  <c r="IJ36" i="14"/>
  <c r="IH36" i="14" s="1"/>
  <c r="GS36" i="14"/>
  <c r="GR33" i="14"/>
  <c r="GT33" i="14" s="1"/>
  <c r="GS34" i="14"/>
  <c r="GB33" i="14"/>
  <c r="GB34" i="14" s="1"/>
  <c r="FC40" i="14"/>
  <c r="FE40" i="14" s="1"/>
  <c r="FO40" i="14" s="1"/>
  <c r="FZ37" i="14"/>
  <c r="GA34" i="14"/>
  <c r="FE36" i="14"/>
  <c r="FG36" i="14"/>
  <c r="FG38" i="14"/>
  <c r="EM38" i="14"/>
  <c r="FC38" i="14"/>
  <c r="EQ38" i="14"/>
  <c r="EQ40" i="14"/>
  <c r="FP38" i="14"/>
  <c r="FN38" i="14"/>
  <c r="AB44" i="9"/>
  <c r="Z44" i="9"/>
  <c r="AA44" i="9"/>
  <c r="Y44" i="9"/>
  <c r="HN33" i="14" l="1"/>
  <c r="HP36" i="14"/>
  <c r="HN36" i="14" s="1"/>
  <c r="IH34" i="14"/>
  <c r="IM33" i="14"/>
  <c r="JB34" i="14" s="1"/>
  <c r="HN34" i="14"/>
  <c r="KX33" i="14"/>
  <c r="KX34" i="14" s="1"/>
  <c r="HR33" i="14"/>
  <c r="GT34" i="14"/>
  <c r="GT36" i="14"/>
  <c r="GR34" i="14"/>
  <c r="GR36" i="14"/>
  <c r="LE33" i="14"/>
  <c r="LE34" i="14" s="1"/>
  <c r="GB36" i="14"/>
  <c r="FG40" i="14"/>
  <c r="FZ40" i="14"/>
  <c r="GA40" i="14" s="1"/>
  <c r="GA37" i="14"/>
  <c r="GS37" i="14" s="1"/>
  <c r="FZ38" i="14"/>
  <c r="ER165" i="14"/>
  <c r="ET165" i="14"/>
  <c r="AC47" i="9"/>
  <c r="AC45" i="9" s="1"/>
  <c r="AC49" i="9" s="1"/>
  <c r="AC52" i="9" s="1"/>
  <c r="Y63" i="13"/>
  <c r="Y75" i="13"/>
  <c r="Y134" i="13"/>
  <c r="Y190" i="13"/>
  <c r="Y215" i="13"/>
  <c r="Y256" i="13"/>
  <c r="Y261" i="13"/>
  <c r="M16" i="11"/>
  <c r="AU16" i="11" s="1"/>
  <c r="M17" i="11"/>
  <c r="AU17" i="11" s="1"/>
  <c r="IM34" i="14" l="1"/>
  <c r="IM36" i="14"/>
  <c r="HP37" i="14"/>
  <c r="HP38" i="14" s="1"/>
  <c r="HQ38" i="14"/>
  <c r="HO38" i="14"/>
  <c r="IJ40" i="14"/>
  <c r="IH40" i="14" s="1"/>
  <c r="IH37" i="14"/>
  <c r="HR34" i="14"/>
  <c r="HR36" i="14"/>
  <c r="GR37" i="14"/>
  <c r="GT37" i="14" s="1"/>
  <c r="GS40" i="14"/>
  <c r="GS38" i="14"/>
  <c r="GB37" i="14"/>
  <c r="GB38" i="14" s="1"/>
  <c r="GA38" i="14"/>
  <c r="AC50" i="9"/>
  <c r="AC43" i="9" s="1"/>
  <c r="HP40" i="14" l="1"/>
  <c r="HN40" i="14" s="1"/>
  <c r="KX40" i="14" s="1"/>
  <c r="HN37" i="14"/>
  <c r="HR37" i="14" s="1"/>
  <c r="IH38" i="14"/>
  <c r="IM37" i="14"/>
  <c r="JB38" i="14" s="1"/>
  <c r="KX37" i="14"/>
  <c r="KX38" i="14" s="1"/>
  <c r="HN38" i="14"/>
  <c r="GT38" i="14"/>
  <c r="GT40" i="14"/>
  <c r="GB40" i="14"/>
  <c r="GR38" i="14"/>
  <c r="GR40" i="14"/>
  <c r="LE40" i="14" s="1"/>
  <c r="LE37" i="14"/>
  <c r="LE38" i="14" s="1"/>
  <c r="AC44" i="9"/>
  <c r="EI83" i="14"/>
  <c r="IM38" i="14" l="1"/>
  <c r="IM40" i="14"/>
  <c r="HR38" i="14"/>
  <c r="HR40" i="14"/>
  <c r="N16" i="11"/>
  <c r="AV16" i="11" s="1"/>
  <c r="Z63" i="13"/>
  <c r="Z69" i="7" l="1"/>
  <c r="Z104" i="7"/>
  <c r="Z105" i="7" l="1"/>
  <c r="Z75" i="13"/>
  <c r="Z77" i="7" l="1"/>
  <c r="Z106" i="7"/>
  <c r="N17" i="11"/>
  <c r="AV17" i="11" l="1"/>
  <c r="FL164" i="14"/>
  <c r="Z215" i="13"/>
  <c r="FL165" i="14" l="1"/>
  <c r="FH164" i="14"/>
  <c r="FJ164" i="14"/>
  <c r="O16" i="11" l="1"/>
  <c r="AW16" i="11" s="1"/>
  <c r="O17" i="11" l="1"/>
  <c r="GI164" i="14" s="1"/>
  <c r="GH164" i="14" s="1"/>
  <c r="AX16" i="11"/>
  <c r="BS16" i="11" s="1"/>
  <c r="Q16" i="11"/>
  <c r="S16" i="11"/>
  <c r="BA16" i="11" s="1"/>
  <c r="AY16" i="11" l="1"/>
  <c r="R16" i="11"/>
  <c r="AZ16" i="11" s="1"/>
  <c r="GG164" i="14"/>
  <c r="GG165" i="14" s="1"/>
  <c r="GI165" i="14"/>
  <c r="GH165" i="14"/>
  <c r="AW17" i="11"/>
  <c r="AD75" i="13" l="1"/>
  <c r="GZ164" i="14"/>
  <c r="GY164" i="14" s="1"/>
  <c r="GX164" i="14" l="1"/>
  <c r="GX165" i="14" s="1"/>
  <c r="S17" i="11"/>
  <c r="IP164" i="14" s="1"/>
  <c r="AX17" i="11"/>
  <c r="BS17" i="11" s="1"/>
  <c r="Q17" i="11"/>
  <c r="IN164" i="14" l="1"/>
  <c r="IL164" i="14" s="1"/>
  <c r="IL165" i="14" s="1"/>
  <c r="IP165" i="14"/>
  <c r="IB164" i="14"/>
  <c r="HY164" i="14" s="1"/>
  <c r="HX164" i="14" s="1"/>
  <c r="R17" i="11"/>
  <c r="AZ17" i="11" s="1"/>
  <c r="BA17" i="11"/>
  <c r="AY17" i="11"/>
  <c r="AD215" i="13" l="1"/>
  <c r="IN165" i="14"/>
  <c r="IK164" i="14"/>
  <c r="IK165" i="14" s="1"/>
  <c r="IB165" i="14"/>
  <c r="HY165" i="14"/>
  <c r="AD47" i="9" l="1"/>
  <c r="AD50" i="9" l="1"/>
  <c r="AD45" i="9"/>
  <c r="AD49" i="9" s="1"/>
  <c r="AD52" i="9" s="1"/>
  <c r="Z6" i="7"/>
  <c r="Z256" i="13" l="1"/>
  <c r="Z86" i="7"/>
  <c r="Z5" i="7"/>
  <c r="AD43" i="9"/>
  <c r="AD44" i="9"/>
  <c r="Z7" i="7" l="1"/>
  <c r="AA7" i="7"/>
  <c r="Z184" i="7"/>
  <c r="Z189" i="7"/>
  <c r="Z190" i="13"/>
  <c r="Z261" i="13" l="1"/>
  <c r="Z228" i="7"/>
  <c r="Z230" i="7"/>
  <c r="Z187" i="7"/>
  <c r="Z53" i="7" l="1"/>
  <c r="Z160" i="7"/>
  <c r="Z134" i="13"/>
  <c r="Z188" i="7"/>
  <c r="Z185" i="7" l="1"/>
  <c r="AE47" i="9" l="1"/>
  <c r="AE50" i="9" l="1"/>
  <c r="AE45" i="9"/>
  <c r="AE49" i="9" s="1"/>
  <c r="AE52" i="9" s="1"/>
  <c r="AA256" i="13" l="1"/>
  <c r="AA190" i="13"/>
  <c r="AE44" i="9"/>
  <c r="AE43" i="9"/>
  <c r="AA261" i="13" l="1"/>
  <c r="AA134" i="13" l="1"/>
  <c r="AF47" i="9" l="1"/>
  <c r="AG47" i="9" l="1"/>
  <c r="AG45" i="9" s="1"/>
  <c r="AG49" i="9" s="1"/>
  <c r="AG52" i="9" s="1"/>
  <c r="AI47" i="9"/>
  <c r="AF50" i="9"/>
  <c r="AF45" i="9"/>
  <c r="AF49" i="9" s="1"/>
  <c r="AF52" i="9" s="1"/>
  <c r="AD256" i="13" l="1"/>
  <c r="AG50" i="9"/>
  <c r="AG43" i="9" s="1"/>
  <c r="AE7" i="7"/>
  <c r="AF43" i="9"/>
  <c r="AF44" i="9"/>
  <c r="AI45" i="9"/>
  <c r="AI49" i="9" s="1"/>
  <c r="AI52" i="9" s="1"/>
  <c r="AI50" i="9"/>
  <c r="AD261" i="13"/>
  <c r="AC256" i="13" l="1"/>
  <c r="AG44" i="9"/>
  <c r="AI44" i="9"/>
  <c r="AI43" i="9"/>
  <c r="AC190" i="13"/>
  <c r="AC261" i="13"/>
  <c r="AD190" i="13" l="1"/>
  <c r="AC134" i="13"/>
  <c r="AE190" i="13" l="1"/>
  <c r="AD134" i="13"/>
  <c r="AE53" i="7"/>
  <c r="AE134" i="13" l="1"/>
  <c r="AE230" i="7"/>
  <c r="EZ106" i="14"/>
  <c r="EZ107" i="14" s="1"/>
  <c r="FC106" i="14"/>
  <c r="FJ106" i="14"/>
  <c r="FB107" i="14"/>
  <c r="FC105" i="14" l="1"/>
  <c r="FG106" i="14"/>
  <c r="FG107" i="14" s="1"/>
  <c r="FE91" i="14"/>
  <c r="FH91" i="14" l="1"/>
  <c r="FG91" i="14"/>
  <c r="GB6" i="14" l="1"/>
  <c r="GB17" i="14"/>
  <c r="GB77" i="14" s="1"/>
  <c r="LE81" i="14" s="1"/>
  <c r="GC79" i="14"/>
  <c r="GB19" i="14"/>
  <c r="GB24" i="14" s="1"/>
  <c r="GB28" i="14"/>
  <c r="GB42" i="14"/>
  <c r="GB51" i="14"/>
  <c r="GB62" i="14"/>
  <c r="GB65" i="14"/>
  <c r="GB68" i="14"/>
  <c r="GB70" i="14"/>
  <c r="GB71" i="14"/>
  <c r="GC76" i="14"/>
  <c r="GB76" i="14"/>
  <c r="GC104" i="14"/>
  <c r="GB104" i="14"/>
  <c r="GC128" i="14"/>
  <c r="GB128" i="14"/>
  <c r="GC150" i="14"/>
  <c r="GB150" i="14"/>
  <c r="GB163" i="14"/>
  <c r="GB165" i="14"/>
  <c r="GB79" i="14" l="1"/>
  <c r="GC165" i="14"/>
  <c r="GC62" i="14"/>
  <c r="GC163" i="14"/>
  <c r="GC105" i="14"/>
  <c r="GC24" i="14"/>
  <c r="GC68" i="14"/>
  <c r="GC65" i="14"/>
  <c r="GC71" i="14"/>
  <c r="GZ165" i="14" l="1"/>
  <c r="GK71" i="14" l="1"/>
  <c r="GK70" i="14"/>
  <c r="GK76" i="14" l="1"/>
  <c r="GM5" i="14"/>
  <c r="GM76" i="14"/>
  <c r="GN76" i="14"/>
  <c r="LF62" i="14" l="1"/>
  <c r="GM6" i="14"/>
  <c r="GN5" i="14"/>
  <c r="GM63" i="14"/>
  <c r="GN63" i="14" s="1"/>
  <c r="GY76" i="14"/>
  <c r="GM62" i="14"/>
  <c r="GM66" i="14"/>
  <c r="GM69" i="14" l="1"/>
  <c r="GM164" i="14" s="1"/>
  <c r="GN66" i="14"/>
  <c r="GN68" i="14" s="1"/>
  <c r="GN6" i="14"/>
  <c r="GN62" i="14"/>
  <c r="GY62" i="14"/>
  <c r="GN65" i="14"/>
  <c r="GM70" i="14" l="1"/>
  <c r="LF165" i="14"/>
  <c r="LF163" i="14"/>
  <c r="LF71" i="14"/>
  <c r="GY6" i="14"/>
  <c r="GN164" i="14"/>
  <c r="GM71" i="14"/>
  <c r="GN69" i="14"/>
  <c r="GN165" i="14" l="1"/>
  <c r="GN70" i="14"/>
  <c r="GN71" i="14"/>
  <c r="GY71" i="14" l="1"/>
  <c r="GY163" i="14"/>
  <c r="GY70" i="14"/>
  <c r="GY165" i="14"/>
  <c r="KY99" i="14" l="1"/>
  <c r="KX99" i="14" s="1"/>
  <c r="HW5" i="14" l="1"/>
  <c r="HW63" i="14" l="1"/>
  <c r="HW66" i="14" s="1"/>
  <c r="HW68" i="14" s="1"/>
  <c r="HW71" i="14"/>
  <c r="HW6" i="14"/>
  <c r="HW62" i="14"/>
  <c r="HW70" i="14" l="1"/>
  <c r="HW164" i="14"/>
  <c r="HX6" i="14"/>
  <c r="HX62" i="14"/>
  <c r="HX165" i="14" l="1"/>
  <c r="HX70" i="14"/>
  <c r="HX76" i="14"/>
  <c r="HW76" i="14"/>
  <c r="HW163" i="14"/>
  <c r="HX163" i="14" l="1"/>
  <c r="KV99" i="14" l="1"/>
  <c r="KV101" i="14"/>
  <c r="IV69" i="14" l="1"/>
  <c r="JM70" i="14" s="1"/>
  <c r="V15" i="11" s="1"/>
  <c r="JG69" i="14"/>
  <c r="JF69" i="14" s="1"/>
  <c r="KL69" i="14"/>
  <c r="KK69" i="14" s="1"/>
  <c r="IX70" i="14"/>
  <c r="IV70" i="14" l="1"/>
  <c r="KK70" i="14"/>
  <c r="JG70" i="14"/>
  <c r="KL70" i="14"/>
  <c r="JF70" i="14" l="1"/>
  <c r="IV5" i="14"/>
  <c r="JG5" i="14"/>
  <c r="KL5" i="14"/>
  <c r="KK5" i="14" s="1"/>
  <c r="IX6" i="14"/>
  <c r="IX71" i="14"/>
  <c r="JM6" i="14" l="1"/>
  <c r="V13" i="11" s="1"/>
  <c r="IV71" i="14"/>
  <c r="KK6" i="14"/>
  <c r="KK71" i="14"/>
  <c r="JG6" i="14"/>
  <c r="JF5" i="14"/>
  <c r="KL6" i="14"/>
  <c r="KL71" i="14"/>
  <c r="IV6" i="14"/>
  <c r="IV65" i="14"/>
  <c r="IV68" i="14"/>
  <c r="JG71" i="14"/>
  <c r="IV8" i="14"/>
  <c r="JM9" i="14" s="1"/>
  <c r="JG8" i="14"/>
  <c r="JF8" i="14" s="1"/>
  <c r="KL8" i="14"/>
  <c r="KK8" i="14" s="1"/>
  <c r="IV10" i="14"/>
  <c r="JG10" i="14"/>
  <c r="KL10" i="14"/>
  <c r="IV27" i="14"/>
  <c r="JK108" i="14" s="1"/>
  <c r="JG27" i="14"/>
  <c r="KL27" i="14"/>
  <c r="IX28" i="14"/>
  <c r="IX32" i="14" s="1"/>
  <c r="KL32" i="14" s="1"/>
  <c r="IV41" i="14"/>
  <c r="JG41" i="14"/>
  <c r="KL41" i="14"/>
  <c r="IX42" i="14"/>
  <c r="IV50" i="14"/>
  <c r="JM51" i="14" s="1"/>
  <c r="JG50" i="14"/>
  <c r="KL50" i="14"/>
  <c r="IX51" i="14"/>
  <c r="IV57" i="14"/>
  <c r="JG57" i="14"/>
  <c r="JF57" i="14" s="1"/>
  <c r="KL57" i="14"/>
  <c r="KK57" i="14" s="1"/>
  <c r="IV59" i="14"/>
  <c r="JG59" i="14"/>
  <c r="JF59" i="14" s="1"/>
  <c r="KL59" i="14"/>
  <c r="KK59" i="14" s="1"/>
  <c r="IV73" i="14"/>
  <c r="JG73" i="14"/>
  <c r="JF73" i="14" s="1"/>
  <c r="KL73" i="14"/>
  <c r="KK73" i="14" s="1"/>
  <c r="IV74" i="14"/>
  <c r="JG74" i="14"/>
  <c r="JF74" i="14" s="1"/>
  <c r="KL74" i="14"/>
  <c r="KK74" i="14" s="1"/>
  <c r="IX76" i="14"/>
  <c r="JM75" i="14" l="1"/>
  <c r="JM72" i="14"/>
  <c r="IV11" i="14"/>
  <c r="JM11" i="14"/>
  <c r="JK57" i="14"/>
  <c r="JM58" i="14"/>
  <c r="JV108" i="14"/>
  <c r="JM28" i="14"/>
  <c r="KB28" i="14"/>
  <c r="JK130" i="14"/>
  <c r="JM42" i="14"/>
  <c r="KB42" i="14"/>
  <c r="JK59" i="14"/>
  <c r="JM60" i="14"/>
  <c r="JK110" i="14"/>
  <c r="IV42" i="14"/>
  <c r="JK41" i="14"/>
  <c r="IV51" i="14"/>
  <c r="JK50" i="14"/>
  <c r="IV28" i="14"/>
  <c r="JK27" i="14"/>
  <c r="JK8" i="14"/>
  <c r="IV9" i="14"/>
  <c r="IV62" i="14"/>
  <c r="KL11" i="14"/>
  <c r="KK10" i="14"/>
  <c r="KK11" i="14" s="1"/>
  <c r="KL51" i="14"/>
  <c r="KK50" i="14"/>
  <c r="KK51" i="14" s="1"/>
  <c r="KL28" i="14"/>
  <c r="KK27" i="14"/>
  <c r="KK28" i="14" s="1"/>
  <c r="KL42" i="14"/>
  <c r="KK41" i="14"/>
  <c r="KK42" i="14" s="1"/>
  <c r="JF6" i="14"/>
  <c r="JF71" i="14"/>
  <c r="JF10" i="14"/>
  <c r="JF11" i="14" s="1"/>
  <c r="JG11" i="14"/>
  <c r="JG28" i="14"/>
  <c r="JF27" i="14"/>
  <c r="JF28" i="14" s="1"/>
  <c r="JG42" i="14"/>
  <c r="JF41" i="14"/>
  <c r="JF42" i="14" s="1"/>
  <c r="JG51" i="14"/>
  <c r="JF50" i="14"/>
  <c r="JF51" i="14" s="1"/>
  <c r="KL62" i="14"/>
  <c r="IV76" i="14"/>
  <c r="JG76" i="14"/>
  <c r="KL76" i="14"/>
  <c r="JM32" i="14" l="1"/>
  <c r="JV50" i="14"/>
  <c r="X29" i="11" s="1"/>
  <c r="JV41" i="14"/>
  <c r="BD25" i="11"/>
  <c r="JV59" i="14"/>
  <c r="JV60" i="14" s="1"/>
  <c r="BD35" i="11"/>
  <c r="JV57" i="14"/>
  <c r="BD34" i="11"/>
  <c r="JV8" i="14"/>
  <c r="JV9" i="14" s="1"/>
  <c r="V20" i="11"/>
  <c r="JV27" i="14"/>
  <c r="BD22" i="11"/>
  <c r="JX58" i="14"/>
  <c r="JW9" i="14"/>
  <c r="JV58" i="14"/>
  <c r="JV110" i="14"/>
  <c r="JV130" i="14"/>
  <c r="JK149" i="14"/>
  <c r="IV32" i="14"/>
  <c r="JK106" i="14"/>
  <c r="JV106" i="14" s="1"/>
  <c r="JX9" i="14"/>
  <c r="IV102" i="14"/>
  <c r="JM103" i="14" s="1"/>
  <c r="JG102" i="14"/>
  <c r="JF102" i="14" s="1"/>
  <c r="JF105" i="14" s="1"/>
  <c r="KL102" i="14"/>
  <c r="IX104" i="14"/>
  <c r="JV51" i="14" l="1"/>
  <c r="JU108" i="14"/>
  <c r="JW108" i="14" s="1"/>
  <c r="BD20" i="11"/>
  <c r="V45" i="11"/>
  <c r="BD45" i="11" s="1"/>
  <c r="JW42" i="14"/>
  <c r="JX60" i="14"/>
  <c r="BD29" i="11"/>
  <c r="V49" i="11"/>
  <c r="BD49" i="11" s="1"/>
  <c r="BD42" i="11"/>
  <c r="V50" i="11"/>
  <c r="BD50" i="11" s="1"/>
  <c r="JV42" i="14"/>
  <c r="BF29" i="11"/>
  <c r="X49" i="11"/>
  <c r="BF49" i="11" s="1"/>
  <c r="JU9" i="14"/>
  <c r="X20" i="11"/>
  <c r="JW58" i="14"/>
  <c r="JV149" i="14"/>
  <c r="JK105" i="14"/>
  <c r="JK102" i="14" s="1"/>
  <c r="JK103" i="14" s="1"/>
  <c r="JX42" i="14"/>
  <c r="JV28" i="14"/>
  <c r="IV104" i="14"/>
  <c r="JG105" i="14"/>
  <c r="JG104" i="14"/>
  <c r="KL105" i="14"/>
  <c r="KL104" i="14"/>
  <c r="IV127" i="14"/>
  <c r="JM129" i="14" s="1"/>
  <c r="JG127" i="14"/>
  <c r="KL127" i="14"/>
  <c r="KL128" i="14" s="1"/>
  <c r="IX128" i="14"/>
  <c r="IV142" i="14"/>
  <c r="JM143" i="14" s="1"/>
  <c r="JG142" i="14"/>
  <c r="JF142" i="14" s="1"/>
  <c r="KL142" i="14"/>
  <c r="KL143" i="14" s="1"/>
  <c r="IV149" i="14"/>
  <c r="JM151" i="14" s="1"/>
  <c r="JG149" i="14"/>
  <c r="KL149" i="14"/>
  <c r="KL150" i="14" s="1"/>
  <c r="IX150" i="14"/>
  <c r="JW60" i="14" l="1"/>
  <c r="BD39" i="11"/>
  <c r="V47" i="11"/>
  <c r="BD47" i="11" s="1"/>
  <c r="JU42" i="14"/>
  <c r="X25" i="11"/>
  <c r="BF25" i="11" s="1"/>
  <c r="JV151" i="14"/>
  <c r="JU151" i="14"/>
  <c r="X42" i="11"/>
  <c r="BF20" i="11"/>
  <c r="X45" i="11"/>
  <c r="BF45" i="11" s="1"/>
  <c r="JU58" i="14"/>
  <c r="X34" i="11"/>
  <c r="BF34" i="11" s="1"/>
  <c r="JW151" i="14"/>
  <c r="JW150" i="14"/>
  <c r="JV150" i="14"/>
  <c r="JK104" i="14"/>
  <c r="JV102" i="14"/>
  <c r="JV103" i="14" s="1"/>
  <c r="IV151" i="14"/>
  <c r="JK151" i="14"/>
  <c r="IV143" i="14"/>
  <c r="JK143" i="14"/>
  <c r="JX151" i="14"/>
  <c r="JX150" i="14"/>
  <c r="IV128" i="14"/>
  <c r="JK127" i="14"/>
  <c r="IV150" i="14"/>
  <c r="JG150" i="14"/>
  <c r="JF149" i="14"/>
  <c r="JF150" i="14" s="1"/>
  <c r="JG128" i="14"/>
  <c r="JF127" i="14"/>
  <c r="KL129" i="14"/>
  <c r="KL151" i="14"/>
  <c r="IV157" i="14"/>
  <c r="IV163" i="14" s="1"/>
  <c r="JG157" i="14"/>
  <c r="JF157" i="14" s="1"/>
  <c r="KL157" i="14"/>
  <c r="KL163" i="14" s="1"/>
  <c r="IV18" i="14"/>
  <c r="JG18" i="14"/>
  <c r="IX19" i="14"/>
  <c r="IX24" i="14" s="1"/>
  <c r="IV24" i="14" s="1"/>
  <c r="JG77" i="14"/>
  <c r="KL77" i="14"/>
  <c r="KK77" i="14" s="1"/>
  <c r="KK79" i="14" s="1"/>
  <c r="IX79" i="14"/>
  <c r="JK84" i="14" l="1"/>
  <c r="JK83" i="14"/>
  <c r="JV83" i="14" s="1"/>
  <c r="JK18" i="14"/>
  <c r="X35" i="11"/>
  <c r="BF35" i="11" s="1"/>
  <c r="JU60" i="14"/>
  <c r="BF42" i="11"/>
  <c r="X50" i="11"/>
  <c r="BF50" i="11" s="1"/>
  <c r="JK129" i="14"/>
  <c r="JV127" i="14"/>
  <c r="JM19" i="14"/>
  <c r="JM24" i="14" s="1"/>
  <c r="KB19" i="14"/>
  <c r="JK128" i="14"/>
  <c r="JG79" i="14"/>
  <c r="JF77" i="14"/>
  <c r="JF18" i="14"/>
  <c r="JF19" i="14" s="1"/>
  <c r="JG19" i="14"/>
  <c r="KL81" i="14"/>
  <c r="KL79" i="14"/>
  <c r="IV82" i="14"/>
  <c r="KL82" i="14"/>
  <c r="KK82" i="14" s="1"/>
  <c r="IV89" i="14"/>
  <c r="KL89" i="14"/>
  <c r="KK89" i="14" s="1"/>
  <c r="IV98" i="14"/>
  <c r="KL98" i="14"/>
  <c r="KK98" i="14" s="1"/>
  <c r="JV129" i="14" l="1"/>
  <c r="JU129" i="14"/>
  <c r="X40" i="11"/>
  <c r="JU128" i="14"/>
  <c r="V48" i="11"/>
  <c r="BD48" i="11" s="1"/>
  <c r="BD40" i="11"/>
  <c r="JV84" i="14"/>
  <c r="JU82" i="14" s="1"/>
  <c r="JU81" i="14" s="1"/>
  <c r="JK19" i="14"/>
  <c r="JV18" i="14"/>
  <c r="JV128" i="14"/>
  <c r="JK82" i="14"/>
  <c r="JF79" i="14"/>
  <c r="IV81" i="14"/>
  <c r="IV77" i="14" s="1"/>
  <c r="IV106" i="14"/>
  <c r="KL106" i="14"/>
  <c r="IV112" i="14"/>
  <c r="KL112" i="14"/>
  <c r="IV123" i="14"/>
  <c r="KL123" i="14"/>
  <c r="KL84" i="14"/>
  <c r="JG24" i="14"/>
  <c r="IV164" i="14"/>
  <c r="JG164" i="14"/>
  <c r="KL164" i="14"/>
  <c r="KL165" i="14" s="1"/>
  <c r="IX165" i="14"/>
  <c r="JU77" i="14" l="1"/>
  <c r="JW81" i="14"/>
  <c r="IV79" i="14"/>
  <c r="JM78" i="14"/>
  <c r="JU19" i="14"/>
  <c r="JW19" i="14"/>
  <c r="X48" i="11"/>
  <c r="BF48" i="11" s="1"/>
  <c r="BF40" i="11"/>
  <c r="JV19" i="14"/>
  <c r="JW128" i="14"/>
  <c r="JW129" i="14"/>
  <c r="JK81" i="14"/>
  <c r="JV82" i="14"/>
  <c r="IV166" i="14"/>
  <c r="JX128" i="14"/>
  <c r="JX129" i="14"/>
  <c r="JX19" i="14"/>
  <c r="IX81" i="14"/>
  <c r="JG81" i="14" s="1"/>
  <c r="AG100" i="8"/>
  <c r="JG165" i="14"/>
  <c r="JF164" i="14"/>
  <c r="JF165" i="14" s="1"/>
  <c r="IV105" i="14"/>
  <c r="JU78" i="14" l="1"/>
  <c r="JW77" i="14"/>
  <c r="JV81" i="14"/>
  <c r="JK77" i="14"/>
  <c r="JK78" i="14" s="1"/>
  <c r="JB166" i="14"/>
  <c r="JC81" i="14"/>
  <c r="JB81" i="14" s="1"/>
  <c r="JX11" i="14"/>
  <c r="BH73" i="14"/>
  <c r="BG73" i="14" s="1"/>
  <c r="JV77" i="14" l="1"/>
  <c r="JV78" i="14" s="1"/>
  <c r="JK79" i="14"/>
  <c r="BH69" i="14"/>
  <c r="JV79" i="14" l="1"/>
  <c r="BG69" i="14"/>
  <c r="BH70" i="14"/>
  <c r="BH71" i="14"/>
  <c r="AG101" i="8" l="1"/>
  <c r="BG70" i="14"/>
  <c r="BG71" i="14"/>
  <c r="JX75" i="14" l="1"/>
  <c r="JX76" i="14"/>
  <c r="AK13" i="9"/>
  <c r="AK15" i="9"/>
  <c r="AK58" i="9" s="1"/>
  <c r="AI13" i="9" l="1"/>
  <c r="AI15" i="9"/>
  <c r="AI57" i="9"/>
  <c r="AI58" i="9" l="1"/>
  <c r="AI22" i="9"/>
  <c r="AG13" i="9"/>
  <c r="AG15" i="9"/>
  <c r="AG22" i="9" s="1"/>
  <c r="AG57" i="9"/>
  <c r="AG58" i="9" l="1"/>
  <c r="AF13" i="9"/>
  <c r="AF15" i="9"/>
  <c r="AF22" i="9" s="1"/>
  <c r="AF57" i="9"/>
  <c r="AF58" i="9" l="1"/>
  <c r="AE13" i="9"/>
  <c r="AE15" i="9"/>
  <c r="AE22" i="9" s="1"/>
  <c r="AE57" i="9"/>
  <c r="AD13" i="9"/>
  <c r="AD15" i="9"/>
  <c r="AD22" i="9" s="1"/>
  <c r="AD57" i="9"/>
  <c r="FL63" i="14"/>
  <c r="FJ63" i="14" s="1"/>
  <c r="FJ65" i="14" s="1"/>
  <c r="AE58" i="9" l="1"/>
  <c r="FL65" i="14"/>
  <c r="FH63" i="14"/>
  <c r="FH65" i="14" s="1"/>
  <c r="AD58" i="9"/>
  <c r="FL66" i="14"/>
  <c r="FJ66" i="14" l="1"/>
  <c r="FJ68" i="14" s="1"/>
  <c r="FH66" i="14"/>
  <c r="FH68" i="14" s="1"/>
  <c r="FL68" i="14"/>
  <c r="JJ69" i="14"/>
  <c r="JV105" i="14"/>
  <c r="JJ164" i="14" l="1"/>
  <c r="JJ71" i="14"/>
  <c r="JJ70" i="14"/>
  <c r="JV104" i="14"/>
  <c r="JJ104" i="14"/>
  <c r="JJ166" i="14" l="1"/>
  <c r="AL101" i="9" l="1"/>
  <c r="AL100" i="9" s="1"/>
  <c r="AL96" i="9" s="1"/>
  <c r="AL111" i="9"/>
  <c r="AL110" i="9" s="1"/>
  <c r="AL108" i="9" s="1"/>
  <c r="AL94" i="9" l="1"/>
  <c r="AM196" i="9" s="1"/>
  <c r="AL97" i="9"/>
  <c r="AL77" i="9" l="1"/>
  <c r="AL112" i="9"/>
  <c r="AL113" i="9" s="1"/>
  <c r="AL195" i="9" l="1"/>
  <c r="JX27" i="14"/>
  <c r="JW27" i="14" s="1"/>
  <c r="JU27" i="14" s="1"/>
  <c r="AL152" i="9"/>
  <c r="AM197" i="9"/>
  <c r="AM560" i="9" s="1"/>
  <c r="E6" i="59" s="1"/>
  <c r="AL198" i="9"/>
  <c r="AL95" i="9"/>
  <c r="Y24" i="11"/>
  <c r="BG24" i="11" s="1"/>
  <c r="JX28" i="14" l="1"/>
  <c r="AL78" i="9"/>
  <c r="AL157" i="9"/>
  <c r="Y22" i="11"/>
  <c r="JW28" i="14" l="1"/>
  <c r="BG22" i="11"/>
  <c r="AL158" i="9"/>
  <c r="AL163" i="9"/>
  <c r="AL162" i="9"/>
  <c r="AL161" i="9"/>
  <c r="AL159" i="9"/>
  <c r="AL160" i="9"/>
  <c r="AL12" i="9"/>
  <c r="JX5" i="14" s="1"/>
  <c r="JW5" i="14" s="1"/>
  <c r="JU5" i="14" s="1"/>
  <c r="AL153" i="9"/>
  <c r="AL211" i="9"/>
  <c r="AM210" i="9" s="1"/>
  <c r="AM201" i="9" s="1"/>
  <c r="AM562" i="9" s="1"/>
  <c r="E8" i="59" s="1"/>
  <c r="JU28" i="14" l="1"/>
  <c r="X22" i="11"/>
  <c r="BF22" i="11" s="1"/>
  <c r="JX6" i="14"/>
  <c r="AL209" i="9"/>
  <c r="AL202" i="9" s="1"/>
  <c r="AL156" i="9"/>
  <c r="AL164" i="9"/>
  <c r="AL165" i="9" s="1"/>
  <c r="AL65" i="9"/>
  <c r="AL18" i="9"/>
  <c r="AL19" i="9"/>
  <c r="AL17" i="9"/>
  <c r="AF14" i="7"/>
  <c r="AF140" i="7" l="1"/>
  <c r="AF17" i="7"/>
  <c r="AF16" i="7"/>
  <c r="AF107" i="7"/>
  <c r="AF126" i="7"/>
  <c r="AF100" i="7"/>
  <c r="AF15" i="7"/>
  <c r="AF165" i="7"/>
  <c r="AF98" i="7"/>
  <c r="AF112" i="7"/>
  <c r="Y12" i="11"/>
  <c r="AF201" i="7" l="1"/>
  <c r="AF181" i="7"/>
  <c r="AF143" i="7"/>
  <c r="AF182" i="7"/>
  <c r="AF202" i="7"/>
  <c r="AF164" i="7"/>
  <c r="Y13" i="11"/>
  <c r="BG13" i="11" s="1"/>
  <c r="Y19" i="11"/>
  <c r="BG12" i="11"/>
  <c r="AL242" i="9" l="1"/>
  <c r="AL245" i="9" s="1"/>
  <c r="JX102" i="14"/>
  <c r="AL192" i="9"/>
  <c r="AF125" i="7"/>
  <c r="AL193" i="9"/>
  <c r="Y39" i="11"/>
  <c r="AF148" i="7"/>
  <c r="BG19" i="11"/>
  <c r="BG55" i="11" s="1"/>
  <c r="Y55" i="11"/>
  <c r="JZ102" i="14" l="1"/>
  <c r="JX103" i="14"/>
  <c r="JW102" i="14"/>
  <c r="D16" i="59"/>
  <c r="E5" i="59"/>
  <c r="AL23" i="9"/>
  <c r="AL573" i="9"/>
  <c r="JX104" i="14"/>
  <c r="JX105" i="14"/>
  <c r="AF200" i="7"/>
  <c r="AF199" i="7" s="1"/>
  <c r="AF180" i="7"/>
  <c r="AL243" i="9"/>
  <c r="JX69" i="14"/>
  <c r="JZ69" i="14" s="1"/>
  <c r="Y47" i="11"/>
  <c r="BG47" i="11" s="1"/>
  <c r="BG39" i="11"/>
  <c r="AL182" i="9"/>
  <c r="AL244" i="9"/>
  <c r="JU102" i="14" l="1"/>
  <c r="JU103" i="14" s="1"/>
  <c r="JW103" i="14"/>
  <c r="JW69" i="14"/>
  <c r="JU104" i="14"/>
  <c r="X39" i="11"/>
  <c r="JW105" i="14"/>
  <c r="JW104" i="14"/>
  <c r="JX71" i="14"/>
  <c r="JX70" i="14"/>
  <c r="AL29" i="9"/>
  <c r="AL66" i="9"/>
  <c r="AL37" i="9"/>
  <c r="AL38" i="9" s="1"/>
  <c r="AL279" i="9"/>
  <c r="AL59" i="9"/>
  <c r="AL57" i="9" s="1"/>
  <c r="AF36" i="7"/>
  <c r="JW68" i="14" l="1"/>
  <c r="JU69" i="14"/>
  <c r="BF39" i="11"/>
  <c r="X47" i="11"/>
  <c r="BF47" i="11" s="1"/>
  <c r="AF40" i="7"/>
  <c r="AL14" i="9"/>
  <c r="AL13" i="9" s="1"/>
  <c r="AF19" i="7" s="1"/>
  <c r="AF38" i="7"/>
  <c r="AF39" i="7"/>
  <c r="AL60" i="9"/>
  <c r="AL67" i="9"/>
  <c r="AL285" i="9"/>
  <c r="AL273" i="9"/>
  <c r="AL282" i="9" s="1"/>
  <c r="AF9" i="7"/>
  <c r="AF30" i="7"/>
  <c r="Y14" i="11"/>
  <c r="AF64" i="7"/>
  <c r="AF37" i="7"/>
  <c r="AF103" i="7"/>
  <c r="AL15" i="9" l="1"/>
  <c r="AF21" i="7"/>
  <c r="AF97" i="7"/>
  <c r="AF68" i="7"/>
  <c r="Y16" i="11"/>
  <c r="BG16" i="11" s="1"/>
  <c r="BG14" i="11"/>
  <c r="Y15" i="11"/>
  <c r="BG15" i="11" s="1"/>
  <c r="Y36" i="11"/>
  <c r="AF31" i="7"/>
  <c r="AF102" i="7"/>
  <c r="AL58" i="9" l="1"/>
  <c r="AF26" i="7"/>
  <c r="AF23" i="7"/>
  <c r="AL32" i="9"/>
  <c r="Y51" i="11"/>
  <c r="BG51" i="11" s="1"/>
  <c r="BG36" i="11"/>
  <c r="Y56" i="11"/>
  <c r="AF69" i="7"/>
  <c r="AF71" i="7"/>
  <c r="AF104" i="7"/>
  <c r="BG56" i="11" l="1"/>
  <c r="AF24" i="7"/>
  <c r="AF111" i="7"/>
  <c r="AF117" i="7" s="1"/>
  <c r="AF99" i="7"/>
  <c r="AF28" i="7"/>
  <c r="AF96" i="7" s="1"/>
  <c r="AF101" i="7"/>
  <c r="AF76" i="7"/>
  <c r="AL33" i="9"/>
  <c r="AF105" i="7"/>
  <c r="AF29" i="7" l="1"/>
  <c r="AF80" i="7"/>
  <c r="Y17" i="11"/>
  <c r="BG17" i="11" s="1"/>
  <c r="AF194" i="7"/>
  <c r="AF77" i="7"/>
  <c r="JX164" i="14"/>
  <c r="JW164" i="14" s="1"/>
  <c r="JU164" i="14" s="1"/>
  <c r="AF106" i="7"/>
  <c r="AF153" i="7"/>
  <c r="AF155" i="7" s="1"/>
  <c r="AF81" i="7"/>
  <c r="AL62" i="9"/>
  <c r="AL35" i="9"/>
  <c r="AF189" i="7" l="1"/>
  <c r="AF5" i="7"/>
  <c r="AF7" i="7" s="1"/>
  <c r="AF86" i="7"/>
  <c r="JX166" i="14"/>
  <c r="JU166" i="14" s="1"/>
  <c r="JW166" i="14" s="1"/>
  <c r="AF204" i="7"/>
  <c r="AF6" i="7"/>
  <c r="AL61" i="9"/>
  <c r="AL68" i="9"/>
  <c r="AF184" i="7"/>
  <c r="AF157" i="7"/>
  <c r="AF225" i="7" l="1"/>
  <c r="AF226" i="7"/>
  <c r="AF227" i="7" s="1"/>
  <c r="AF158" i="7"/>
  <c r="AF124" i="7" l="1"/>
  <c r="AF138" i="7"/>
  <c r="AF160" i="7" s="1"/>
  <c r="AF228" i="7" l="1"/>
  <c r="AF231" i="7"/>
  <c r="AF230" i="7"/>
  <c r="AF187" i="7"/>
  <c r="AF53" i="7"/>
  <c r="AF128" i="7"/>
  <c r="AF185" i="7" s="1"/>
  <c r="AF188" i="7" l="1"/>
  <c r="AF190" i="7"/>
  <c r="AF127" i="7"/>
  <c r="AM203" i="9" l="1"/>
  <c r="AN203" i="9"/>
  <c r="AO203" i="9"/>
  <c r="AP203" i="9"/>
  <c r="AL16" i="9" l="1"/>
  <c r="AL22" i="9" s="1"/>
  <c r="AK22" i="9"/>
  <c r="LB99" i="14" l="1"/>
  <c r="LD99" i="14" s="1"/>
  <c r="AM107" i="9"/>
  <c r="AM106" i="9" s="1"/>
  <c r="AM103" i="9" s="1"/>
  <c r="AM119" i="9"/>
  <c r="AM118" i="9" s="1"/>
  <c r="AM116" i="9" s="1"/>
  <c r="AM112" i="9" s="1"/>
  <c r="AM113" i="9" s="1"/>
  <c r="AM111" i="9"/>
  <c r="AM110" i="9" s="1"/>
  <c r="AM108" i="9" s="1"/>
  <c r="AM101" i="9"/>
  <c r="AM100" i="9" s="1"/>
  <c r="AM96" i="9" s="1"/>
  <c r="AM200" i="9"/>
  <c r="AM194" i="9" l="1"/>
  <c r="AM191" i="9" s="1"/>
  <c r="AM559" i="9" s="1"/>
  <c r="AM561" i="9"/>
  <c r="AM97" i="9"/>
  <c r="AM94" i="9"/>
  <c r="AN196" i="9" l="1"/>
  <c r="AM554" i="9"/>
  <c r="E7" i="59"/>
  <c r="AM192" i="9"/>
  <c r="Z39" i="11"/>
  <c r="Z24" i="11"/>
  <c r="AM95" i="9"/>
  <c r="AM77" i="9"/>
  <c r="BH39" i="11" l="1"/>
  <c r="BH24" i="11"/>
  <c r="AN197" i="9"/>
  <c r="AN560" i="9" s="1"/>
  <c r="F6" i="59" s="1"/>
  <c r="D31" i="59" s="1"/>
  <c r="Z22" i="11"/>
  <c r="AM195" i="9"/>
  <c r="AM78" i="9"/>
  <c r="AM211" i="9" s="1"/>
  <c r="AM198" i="9"/>
  <c r="AM193" i="9"/>
  <c r="BH22" i="11" l="1"/>
  <c r="Z47" i="11"/>
  <c r="AN210" i="9"/>
  <c r="AN201" i="9" s="1"/>
  <c r="AN562" i="9" s="1"/>
  <c r="F8" i="59" s="1"/>
  <c r="D33" i="59" s="1"/>
  <c r="AM209" i="9"/>
  <c r="AM202" i="9" s="1"/>
  <c r="BH47" i="11" l="1"/>
  <c r="AN119" i="9" l="1"/>
  <c r="AN111" i="9"/>
  <c r="AN110" i="9" s="1"/>
  <c r="AN108" i="9" s="1"/>
  <c r="AN200" i="9"/>
  <c r="AN101" i="9"/>
  <c r="AN100" i="9" s="1"/>
  <c r="AN96" i="9" s="1"/>
  <c r="AN107" i="9"/>
  <c r="AN194" i="9" l="1"/>
  <c r="AN191" i="9" s="1"/>
  <c r="AN561" i="9"/>
  <c r="AN106" i="9"/>
  <c r="AN103" i="9" s="1"/>
  <c r="AN97" i="9"/>
  <c r="AN118" i="9"/>
  <c r="AN116" i="9" s="1"/>
  <c r="AN112" i="9" s="1"/>
  <c r="AN113" i="9" s="1"/>
  <c r="AA39" i="11" l="1"/>
  <c r="AN554" i="9"/>
  <c r="F7" i="59"/>
  <c r="D32" i="59" s="1"/>
  <c r="AN559" i="9"/>
  <c r="AN192" i="9"/>
  <c r="AN94" i="9"/>
  <c r="AO196" i="9" l="1"/>
  <c r="BI39" i="11"/>
  <c r="AN95" i="9"/>
  <c r="AN77" i="9"/>
  <c r="AA24" i="11"/>
  <c r="BI24" i="11" s="1"/>
  <c r="BU24" i="11" s="1"/>
  <c r="BU39" i="11" l="1"/>
  <c r="AN195" i="9"/>
  <c r="AN193" i="9"/>
  <c r="AO197" i="9"/>
  <c r="AO560" i="9" s="1"/>
  <c r="AA22" i="11"/>
  <c r="BI22" i="11" s="1"/>
  <c r="BU22" i="11" s="1"/>
  <c r="AN78" i="9"/>
  <c r="AN211" i="9" s="1"/>
  <c r="AN209" i="9" s="1"/>
  <c r="AN202" i="9" s="1"/>
  <c r="AN198" i="9"/>
  <c r="AA47" i="11" l="1"/>
  <c r="BI47" i="11" s="1"/>
  <c r="AO210" i="9"/>
  <c r="AO201" i="9" s="1"/>
  <c r="AO562" i="9" s="1"/>
  <c r="AO107" i="9" l="1"/>
  <c r="AO106" i="9" s="1"/>
  <c r="AO103" i="9" s="1"/>
  <c r="AO119" i="9"/>
  <c r="AO118" i="9" s="1"/>
  <c r="AO116" i="9" s="1"/>
  <c r="AO112" i="9" s="1"/>
  <c r="AO113" i="9" s="1"/>
  <c r="AO111" i="9"/>
  <c r="AO110" i="9" s="1"/>
  <c r="AO108" i="9" s="1"/>
  <c r="AO200" i="9"/>
  <c r="AO101" i="9"/>
  <c r="AO100" i="9" s="1"/>
  <c r="AO96" i="9" s="1"/>
  <c r="AO194" i="9" l="1"/>
  <c r="AO191" i="9" s="1"/>
  <c r="AO561" i="9"/>
  <c r="AO554" i="9" s="1"/>
  <c r="AO97" i="9"/>
  <c r="AO94" i="9"/>
  <c r="AP196" i="9" l="1"/>
  <c r="AO192" i="9"/>
  <c r="AO559" i="9"/>
  <c r="AB39" i="11"/>
  <c r="BJ39" i="11" s="1"/>
  <c r="AB24" i="11"/>
  <c r="BJ24" i="11" s="1"/>
  <c r="AO95" i="9"/>
  <c r="AO77" i="9"/>
  <c r="AP197" i="9" l="1"/>
  <c r="AP560" i="9" s="1"/>
  <c r="AO195" i="9"/>
  <c r="AO78" i="9"/>
  <c r="AO211" i="9" s="1"/>
  <c r="AO198" i="9"/>
  <c r="AB22" i="11"/>
  <c r="AO193" i="9"/>
  <c r="AP210" i="9" l="1"/>
  <c r="AP201" i="9" s="1"/>
  <c r="AP562" i="9" s="1"/>
  <c r="AO209" i="9"/>
  <c r="AO202" i="9" s="1"/>
  <c r="BJ22" i="11"/>
  <c r="AB47" i="11"/>
  <c r="BJ47" i="11" s="1"/>
  <c r="AP111" i="9" l="1"/>
  <c r="AP110" i="9" s="1"/>
  <c r="AP108" i="9" s="1"/>
  <c r="AP119" i="9"/>
  <c r="AP118" i="9" s="1"/>
  <c r="AP116" i="9" s="1"/>
  <c r="AP112" i="9" s="1"/>
  <c r="AP113" i="9" s="1"/>
  <c r="AP107" i="9"/>
  <c r="AP106" i="9" s="1"/>
  <c r="AP103" i="9" s="1"/>
  <c r="AP101" i="9"/>
  <c r="AP100" i="9" s="1"/>
  <c r="AP96" i="9" s="1"/>
  <c r="AP200" i="9"/>
  <c r="AP194" i="9" l="1"/>
  <c r="AP191" i="9" s="1"/>
  <c r="AP559" i="9" s="1"/>
  <c r="AP561" i="9"/>
  <c r="AP554" i="9" s="1"/>
  <c r="AP97" i="9"/>
  <c r="AP94" i="9"/>
  <c r="AP192" i="9" l="1"/>
  <c r="AC39" i="11"/>
  <c r="BK39" i="11" s="1"/>
  <c r="AP77" i="9"/>
  <c r="AC24" i="11"/>
  <c r="BK24" i="11" s="1"/>
  <c r="AP95" i="9"/>
  <c r="AP78" i="9" l="1"/>
  <c r="AP211" i="9" s="1"/>
  <c r="AP209" i="9" s="1"/>
  <c r="AP202" i="9" s="1"/>
  <c r="AP198" i="9"/>
  <c r="AC22" i="11"/>
  <c r="AP195" i="9"/>
  <c r="AP193" i="9"/>
  <c r="BK22" i="11" l="1"/>
  <c r="AC47" i="11"/>
  <c r="BK47" i="11" s="1"/>
  <c r="LD101" i="14" l="1"/>
  <c r="KX101" i="14"/>
  <c r="EB98" i="14"/>
  <c r="IV19" i="14"/>
  <c r="JX165" i="14" l="1"/>
  <c r="JU79" i="14" l="1"/>
  <c r="JX81" i="14"/>
  <c r="JX77" i="14" l="1"/>
  <c r="JX78" i="14" s="1"/>
  <c r="JW78" i="14"/>
  <c r="JW79" i="14"/>
  <c r="JX79" i="14" l="1"/>
  <c r="JU105" i="14"/>
  <c r="JX51" i="14"/>
  <c r="JW51" i="14"/>
  <c r="JU51" i="14"/>
  <c r="JX108" i="14" l="1"/>
  <c r="JX109" i="14" s="1"/>
  <c r="JW109" i="14" s="1"/>
  <c r="AH15" i="8"/>
  <c r="AH36" i="8" s="1"/>
  <c r="AH46" i="8"/>
  <c r="AH48" i="8" s="1"/>
  <c r="AH50" i="8" s="1"/>
  <c r="AH57" i="8" s="1"/>
  <c r="AH43" i="8" s="1"/>
  <c r="AH7" i="8"/>
  <c r="AM565" i="9" l="1"/>
  <c r="E10" i="59" s="1"/>
  <c r="AH10" i="8"/>
  <c r="AI15" i="8"/>
  <c r="AI36" i="8" s="1"/>
  <c r="AI38" i="8"/>
  <c r="AI46" i="8"/>
  <c r="AH65" i="8"/>
  <c r="AH67" i="8" s="1"/>
  <c r="AH73" i="8" s="1"/>
  <c r="AH62" i="8" s="1"/>
  <c r="AH42" i="8" s="1"/>
  <c r="AH39" i="8" l="1"/>
  <c r="AH35" i="8" s="1"/>
  <c r="AJ46" i="8"/>
  <c r="AI65" i="8"/>
  <c r="AI67" i="8" s="1"/>
  <c r="AI73" i="8" s="1"/>
  <c r="AI62" i="8" s="1"/>
  <c r="AI48" i="8"/>
  <c r="AI50" i="8" s="1"/>
  <c r="AI57" i="8" s="1"/>
  <c r="AI43" i="8" s="1"/>
  <c r="AI10" i="8"/>
  <c r="AJ38" i="8"/>
  <c r="AJ15" i="8"/>
  <c r="AH11" i="8"/>
  <c r="AH5" i="8"/>
  <c r="AH32" i="8" l="1"/>
  <c r="AH33" i="8" s="1"/>
  <c r="AM568" i="9"/>
  <c r="AI42" i="8"/>
  <c r="AI39" i="8" s="1"/>
  <c r="AH26" i="8"/>
  <c r="AH27" i="8" s="1"/>
  <c r="AK15" i="8"/>
  <c r="AJ10" i="8"/>
  <c r="AJ36" i="8"/>
  <c r="AK38" i="8"/>
  <c r="AJ48" i="8"/>
  <c r="AJ50" i="8" s="1"/>
  <c r="AJ57" i="8" s="1"/>
  <c r="AJ43" i="8" s="1"/>
  <c r="AJ65" i="8"/>
  <c r="AJ67" i="8" s="1"/>
  <c r="AJ73" i="8" s="1"/>
  <c r="AJ62" i="8" s="1"/>
  <c r="AK46" i="8"/>
  <c r="AH95" i="8"/>
  <c r="AH78" i="8"/>
  <c r="AM569" i="9" s="1"/>
  <c r="E14" i="59" s="1"/>
  <c r="AH6" i="8"/>
  <c r="AI11" i="8"/>
  <c r="AI5" i="8"/>
  <c r="AI26" i="8" s="1"/>
  <c r="AI27" i="8" s="1"/>
  <c r="AH34" i="8" l="1"/>
  <c r="AH29" i="8"/>
  <c r="AH30" i="8" s="1"/>
  <c r="AN566" i="9"/>
  <c r="F11" i="59" s="1"/>
  <c r="D36" i="59" s="1"/>
  <c r="AN565" i="9"/>
  <c r="AI35" i="8"/>
  <c r="AI32" i="8" s="1"/>
  <c r="AI34" i="8" s="1"/>
  <c r="E13" i="59"/>
  <c r="D38" i="59" s="1"/>
  <c r="AM555" i="9"/>
  <c r="AH79" i="8"/>
  <c r="AH84" i="8"/>
  <c r="AI6" i="8"/>
  <c r="AI95" i="8"/>
  <c r="AI78" i="8"/>
  <c r="AJ42" i="8"/>
  <c r="AJ39" i="8" s="1"/>
  <c r="AO565" i="9" s="1"/>
  <c r="AM74" i="9"/>
  <c r="AH96" i="8"/>
  <c r="AJ11" i="8"/>
  <c r="AJ5" i="8"/>
  <c r="AJ26" i="8" s="1"/>
  <c r="AJ27" i="8" s="1"/>
  <c r="AK48" i="8"/>
  <c r="AK50" i="8" s="1"/>
  <c r="AK57" i="8" s="1"/>
  <c r="AK43" i="8" s="1"/>
  <c r="AK65" i="8"/>
  <c r="AK67" i="8" s="1"/>
  <c r="AK73" i="8" s="1"/>
  <c r="AK62" i="8" s="1"/>
  <c r="AK10" i="8"/>
  <c r="AK36" i="8"/>
  <c r="AI33" i="8" l="1"/>
  <c r="F10" i="59"/>
  <c r="D35" i="59" s="1"/>
  <c r="AJ35" i="8"/>
  <c r="AJ32" i="8" s="1"/>
  <c r="AJ33" i="8" s="1"/>
  <c r="AO566" i="9"/>
  <c r="AI29" i="8"/>
  <c r="AI30" i="8" s="1"/>
  <c r="AI79" i="8"/>
  <c r="AN569" i="9"/>
  <c r="F14" i="59" s="1"/>
  <c r="D39" i="59" s="1"/>
  <c r="AI84" i="8"/>
  <c r="AI85" i="8" s="1"/>
  <c r="Z21" i="11"/>
  <c r="AM75" i="9"/>
  <c r="AM152" i="9"/>
  <c r="AK42" i="8"/>
  <c r="AK39" i="8" s="1"/>
  <c r="AN74" i="9"/>
  <c r="AI96" i="8"/>
  <c r="AJ95" i="8"/>
  <c r="AJ6" i="8"/>
  <c r="AJ78" i="8"/>
  <c r="AH97" i="8"/>
  <c r="AH86" i="8"/>
  <c r="AH87" i="8"/>
  <c r="AH85" i="8"/>
  <c r="AK5" i="8"/>
  <c r="AK11" i="8"/>
  <c r="AJ29" i="8" l="1"/>
  <c r="AJ30" i="8" s="1"/>
  <c r="AJ34" i="8"/>
  <c r="AJ79" i="8"/>
  <c r="AO569" i="9"/>
  <c r="AO555" i="9" s="1"/>
  <c r="AK35" i="8"/>
  <c r="AK32" i="8" s="1"/>
  <c r="AK33" i="8" s="1"/>
  <c r="AP566" i="9"/>
  <c r="AN555" i="9"/>
  <c r="AP565" i="9"/>
  <c r="AI97" i="8"/>
  <c r="AI98" i="8" s="1"/>
  <c r="AH90" i="8"/>
  <c r="AH92" i="8" s="1"/>
  <c r="AH89" i="8"/>
  <c r="AI86" i="8"/>
  <c r="AI87" i="8"/>
  <c r="AI89" i="8" s="1"/>
  <c r="AJ96" i="8"/>
  <c r="AO74" i="9"/>
  <c r="BH21" i="11"/>
  <c r="AN152" i="9"/>
  <c r="AN163" i="9" s="1"/>
  <c r="AN75" i="9"/>
  <c r="AA21" i="11"/>
  <c r="AH98" i="8"/>
  <c r="AM187" i="9"/>
  <c r="AM564" i="9" s="1"/>
  <c r="AM572" i="9" s="1"/>
  <c r="AK6" i="8"/>
  <c r="AK78" i="8"/>
  <c r="AK95" i="8"/>
  <c r="AK26" i="8"/>
  <c r="AK27" i="8" s="1"/>
  <c r="AM162" i="9"/>
  <c r="AM159" i="9"/>
  <c r="AM12" i="9"/>
  <c r="AM160" i="9"/>
  <c r="AM157" i="9"/>
  <c r="AM158" i="9"/>
  <c r="AM153" i="9"/>
  <c r="AM161" i="9"/>
  <c r="AM163" i="9"/>
  <c r="AH88" i="8"/>
  <c r="AJ84" i="8"/>
  <c r="AN187" i="9" l="1"/>
  <c r="AK29" i="8"/>
  <c r="AK30" i="8" s="1"/>
  <c r="AK34" i="8"/>
  <c r="AK79" i="8"/>
  <c r="AP569" i="9"/>
  <c r="AP555" i="9" s="1"/>
  <c r="AH91" i="8"/>
  <c r="AN564" i="9"/>
  <c r="AN572" i="9" s="1"/>
  <c r="AI88" i="8"/>
  <c r="AI90" i="8"/>
  <c r="AI92" i="8" s="1"/>
  <c r="BI21" i="11"/>
  <c r="AN164" i="9"/>
  <c r="AN165" i="9" s="1"/>
  <c r="AN156" i="9"/>
  <c r="AJ86" i="8"/>
  <c r="AJ87" i="8"/>
  <c r="AJ97" i="8"/>
  <c r="AJ85" i="8"/>
  <c r="AN242" i="9"/>
  <c r="AN160" i="9"/>
  <c r="AN159" i="9"/>
  <c r="AN157" i="9"/>
  <c r="AN161" i="9"/>
  <c r="AN158" i="9"/>
  <c r="AN12" i="9"/>
  <c r="AN162" i="9"/>
  <c r="AN153" i="9"/>
  <c r="AO152" i="9"/>
  <c r="AB21" i="11"/>
  <c r="AO75" i="9"/>
  <c r="AM242" i="9"/>
  <c r="AM245" i="9" s="1"/>
  <c r="AM189" i="9"/>
  <c r="Z38" i="11"/>
  <c r="AM188" i="9"/>
  <c r="AM164" i="9"/>
  <c r="AM165" i="9" s="1"/>
  <c r="AM156" i="9"/>
  <c r="AM19" i="9"/>
  <c r="AM18" i="9"/>
  <c r="AM17" i="9"/>
  <c r="AG14" i="7"/>
  <c r="AM16" i="9"/>
  <c r="AM65" i="9"/>
  <c r="AK96" i="8"/>
  <c r="AP74" i="9"/>
  <c r="AK84" i="8"/>
  <c r="F16" i="59" l="1"/>
  <c r="D41" i="59" s="1"/>
  <c r="AN245" i="9"/>
  <c r="AN189" i="9"/>
  <c r="AA38" i="11"/>
  <c r="AN188" i="9"/>
  <c r="AM573" i="9"/>
  <c r="E16" i="59"/>
  <c r="F5" i="59"/>
  <c r="AN573" i="9"/>
  <c r="AI91" i="8"/>
  <c r="AJ90" i="8"/>
  <c r="AJ92" i="8" s="1"/>
  <c r="AJ89" i="8"/>
  <c r="AN17" i="9"/>
  <c r="AN18" i="9"/>
  <c r="AN19" i="9"/>
  <c r="AJ98" i="8"/>
  <c r="AO187" i="9"/>
  <c r="AO564" i="9" s="1"/>
  <c r="AO572" i="9" s="1"/>
  <c r="AM244" i="9"/>
  <c r="AM243" i="9"/>
  <c r="AM23" i="9"/>
  <c r="AK97" i="8"/>
  <c r="AK86" i="8"/>
  <c r="AK87" i="8"/>
  <c r="AK89" i="8" s="1"/>
  <c r="AK85" i="8"/>
  <c r="AN23" i="9"/>
  <c r="AN244" i="9"/>
  <c r="AN243" i="9"/>
  <c r="Z46" i="11"/>
  <c r="BH38" i="11"/>
  <c r="AN182" i="9"/>
  <c r="BJ21" i="11"/>
  <c r="AJ88" i="8"/>
  <c r="BU21" i="11"/>
  <c r="AN65" i="9"/>
  <c r="AH14" i="7"/>
  <c r="AN16" i="9"/>
  <c r="AO160" i="9"/>
  <c r="AO162" i="9"/>
  <c r="AO157" i="9"/>
  <c r="AO12" i="9"/>
  <c r="AO17" i="9" s="1"/>
  <c r="AO161" i="9"/>
  <c r="AO158" i="9"/>
  <c r="AO159" i="9"/>
  <c r="AO153" i="9"/>
  <c r="AP152" i="9"/>
  <c r="AC21" i="11"/>
  <c r="AP75" i="9"/>
  <c r="AG16" i="7"/>
  <c r="AG100" i="7"/>
  <c r="AG165" i="7"/>
  <c r="Z12" i="11"/>
  <c r="AG107" i="7"/>
  <c r="AG140" i="7"/>
  <c r="AG17" i="7"/>
  <c r="AG98" i="7"/>
  <c r="AG112" i="7"/>
  <c r="AH112" i="7" s="1"/>
  <c r="AG126" i="7"/>
  <c r="AG15" i="7"/>
  <c r="AM182" i="9"/>
  <c r="AO163" i="9"/>
  <c r="BI38" i="11" l="1"/>
  <c r="AA46" i="11"/>
  <c r="BI46" i="11" s="1"/>
  <c r="AO16" i="9"/>
  <c r="AJ91" i="8"/>
  <c r="AO19" i="9"/>
  <c r="AK88" i="8"/>
  <c r="AO156" i="9"/>
  <c r="AO164" i="9"/>
  <c r="AO165" i="9" s="1"/>
  <c r="AP187" i="9"/>
  <c r="AP564" i="9" s="1"/>
  <c r="AP572" i="9" s="1"/>
  <c r="AK98" i="8"/>
  <c r="AO242" i="9"/>
  <c r="AO189" i="9"/>
  <c r="AB38" i="11"/>
  <c r="AO188" i="9"/>
  <c r="BK21" i="11"/>
  <c r="AK90" i="8"/>
  <c r="AK92" i="8" s="1"/>
  <c r="BH46" i="11"/>
  <c r="AP12" i="9"/>
  <c r="AP153" i="9"/>
  <c r="AP159" i="9"/>
  <c r="AP160" i="9"/>
  <c r="AP161" i="9"/>
  <c r="AP162" i="9"/>
  <c r="AP157" i="9"/>
  <c r="AP158" i="9"/>
  <c r="AI14" i="7"/>
  <c r="AI112" i="7" s="1"/>
  <c r="AO65" i="9"/>
  <c r="AN59" i="9"/>
  <c r="AN66" i="9"/>
  <c r="AN29" i="9"/>
  <c r="AH36" i="7"/>
  <c r="AN279" i="9"/>
  <c r="AN37" i="9"/>
  <c r="AN38" i="9" s="1"/>
  <c r="AO18" i="9"/>
  <c r="Z13" i="11"/>
  <c r="BH13" i="11" s="1"/>
  <c r="Z19" i="11"/>
  <c r="BH12" i="11"/>
  <c r="BU38" i="11"/>
  <c r="AH165" i="7"/>
  <c r="AG164" i="7"/>
  <c r="AG125" i="7" s="1"/>
  <c r="AG182" i="7"/>
  <c r="AH140" i="7"/>
  <c r="AG202" i="7"/>
  <c r="AG143" i="7"/>
  <c r="AH126" i="7"/>
  <c r="AH201" i="7" s="1"/>
  <c r="AG181" i="7"/>
  <c r="AG201" i="7"/>
  <c r="AP163" i="9"/>
  <c r="AH98" i="7"/>
  <c r="AH100" i="7"/>
  <c r="AH107" i="7"/>
  <c r="AH15" i="7"/>
  <c r="AH17" i="7"/>
  <c r="AA12" i="11"/>
  <c r="AH16" i="7"/>
  <c r="AM59" i="9"/>
  <c r="AM57" i="9" s="1"/>
  <c r="AG36" i="7"/>
  <c r="AM37" i="9"/>
  <c r="AM38" i="9" s="1"/>
  <c r="AM29" i="9"/>
  <c r="AM279" i="9"/>
  <c r="AM66" i="9"/>
  <c r="AO573" i="9" l="1"/>
  <c r="AO245" i="9"/>
  <c r="AP18" i="9"/>
  <c r="AG9" i="7"/>
  <c r="AG39" i="7"/>
  <c r="AG38" i="7"/>
  <c r="Z14" i="11"/>
  <c r="AG37" i="7"/>
  <c r="AG30" i="7"/>
  <c r="AG64" i="7"/>
  <c r="AG40" i="7"/>
  <c r="AG103" i="7"/>
  <c r="AO243" i="9"/>
  <c r="AO23" i="9"/>
  <c r="AO244" i="9"/>
  <c r="AI165" i="7"/>
  <c r="AH164" i="7"/>
  <c r="AH125" i="7" s="1"/>
  <c r="AH200" i="7" s="1"/>
  <c r="AK91" i="8"/>
  <c r="AO182" i="9"/>
  <c r="AM60" i="9"/>
  <c r="AM67" i="9"/>
  <c r="BI12" i="11"/>
  <c r="BU12" i="11" s="1"/>
  <c r="AA19" i="11"/>
  <c r="AA13" i="11"/>
  <c r="BI13" i="11" s="1"/>
  <c r="AI140" i="7"/>
  <c r="AH202" i="7"/>
  <c r="AH182" i="7"/>
  <c r="AH143" i="7"/>
  <c r="BH19" i="11"/>
  <c r="BH55" i="11" s="1"/>
  <c r="Z55" i="11"/>
  <c r="BJ38" i="11"/>
  <c r="AB46" i="11"/>
  <c r="BJ46" i="11" s="1"/>
  <c r="AP65" i="9"/>
  <c r="AJ14" i="7"/>
  <c r="AI126" i="7"/>
  <c r="AH181" i="7"/>
  <c r="AG148" i="7"/>
  <c r="AN60" i="9"/>
  <c r="AN67" i="9"/>
  <c r="AP16" i="9"/>
  <c r="AP17" i="9"/>
  <c r="AP188" i="9"/>
  <c r="AC38" i="11"/>
  <c r="AP242" i="9"/>
  <c r="AP245" i="9" s="1"/>
  <c r="AP189" i="9"/>
  <c r="AG180" i="7"/>
  <c r="AG200" i="7"/>
  <c r="AG199" i="7" s="1"/>
  <c r="AN273" i="9"/>
  <c r="AN282" i="9" s="1"/>
  <c r="AN285" i="9"/>
  <c r="AN57" i="9"/>
  <c r="AM14" i="9"/>
  <c r="AP164" i="9"/>
  <c r="AP165" i="9" s="1"/>
  <c r="AP156" i="9"/>
  <c r="AA14" i="11"/>
  <c r="AH40" i="7"/>
  <c r="AH9" i="7"/>
  <c r="AH39" i="7"/>
  <c r="AH30" i="7"/>
  <c r="AH38" i="7"/>
  <c r="AH64" i="7"/>
  <c r="AH103" i="7"/>
  <c r="AH37" i="7"/>
  <c r="AM285" i="9"/>
  <c r="AM273" i="9"/>
  <c r="AM282" i="9" s="1"/>
  <c r="AI100" i="7"/>
  <c r="AI17" i="7"/>
  <c r="AB12" i="11"/>
  <c r="AI107" i="7"/>
  <c r="AI16" i="7"/>
  <c r="AI98" i="7"/>
  <c r="AI15" i="7"/>
  <c r="AP19" i="9"/>
  <c r="AH199" i="7" l="1"/>
  <c r="AP182" i="9"/>
  <c r="AP573" i="9"/>
  <c r="AJ16" i="7"/>
  <c r="AJ98" i="7"/>
  <c r="AC12" i="11"/>
  <c r="AJ100" i="7"/>
  <c r="AJ17" i="7"/>
  <c r="AJ107" i="7"/>
  <c r="AJ15" i="7"/>
  <c r="AA16" i="11"/>
  <c r="BI16" i="11" s="1"/>
  <c r="BU16" i="11" s="1"/>
  <c r="AH68" i="7"/>
  <c r="AP243" i="9"/>
  <c r="AP23" i="9"/>
  <c r="AP244" i="9"/>
  <c r="AJ140" i="7"/>
  <c r="AI143" i="7"/>
  <c r="AI182" i="7"/>
  <c r="AI202" i="7"/>
  <c r="AO29" i="9"/>
  <c r="AO59" i="9"/>
  <c r="AO57" i="9" s="1"/>
  <c r="AO66" i="9"/>
  <c r="AO279" i="9"/>
  <c r="AO37" i="9"/>
  <c r="AO38" i="9" s="1"/>
  <c r="AI36" i="7"/>
  <c r="AG68" i="7"/>
  <c r="Z16" i="11"/>
  <c r="BH16" i="11" s="1"/>
  <c r="AJ165" i="7"/>
  <c r="AJ164" i="7" s="1"/>
  <c r="AJ125" i="7" s="1"/>
  <c r="AI164" i="7"/>
  <c r="AI125" i="7" s="1"/>
  <c r="AI200" i="7" s="1"/>
  <c r="AB19" i="11"/>
  <c r="AB13" i="11"/>
  <c r="BJ13" i="11" s="1"/>
  <c r="BJ12" i="11"/>
  <c r="AM15" i="9"/>
  <c r="AM13" i="9"/>
  <c r="AG19" i="7" s="1"/>
  <c r="AG102" i="7"/>
  <c r="AG31" i="7"/>
  <c r="BI14" i="11"/>
  <c r="BU14" i="11" s="1"/>
  <c r="AA1" i="11"/>
  <c r="AA36" i="11"/>
  <c r="AA15" i="11"/>
  <c r="BI15" i="11" s="1"/>
  <c r="AN14" i="9"/>
  <c r="AI181" i="7"/>
  <c r="AJ126" i="7"/>
  <c r="AH148" i="7"/>
  <c r="BI19" i="11"/>
  <c r="AA55" i="11"/>
  <c r="AJ112" i="7"/>
  <c r="BH14" i="11"/>
  <c r="Z15" i="11"/>
  <c r="BH15" i="11" s="1"/>
  <c r="Z36" i="11"/>
  <c r="Z1" i="11"/>
  <c r="BK38" i="11"/>
  <c r="AC46" i="11"/>
  <c r="BK46" i="11" s="1"/>
  <c r="AH102" i="7"/>
  <c r="AH31" i="7"/>
  <c r="AI201" i="7"/>
  <c r="AH180" i="7"/>
  <c r="AI199" i="7" l="1"/>
  <c r="BI36" i="11"/>
  <c r="AA51" i="11"/>
  <c r="BI51" i="11" s="1"/>
  <c r="AA56" i="11"/>
  <c r="BJ19" i="11"/>
  <c r="BJ55" i="11" s="1"/>
  <c r="AB55" i="11"/>
  <c r="AJ143" i="7"/>
  <c r="AJ202" i="7"/>
  <c r="AJ182" i="7"/>
  <c r="AH69" i="7"/>
  <c r="AH71" i="7"/>
  <c r="AN32" i="9"/>
  <c r="AH104" i="7"/>
  <c r="AI148" i="7"/>
  <c r="AJ181" i="7"/>
  <c r="AJ201" i="7"/>
  <c r="AI180" i="7"/>
  <c r="AJ200" i="7"/>
  <c r="AM32" i="9"/>
  <c r="AG71" i="7"/>
  <c r="AG76" i="7" s="1"/>
  <c r="AG104" i="7"/>
  <c r="AG69" i="7"/>
  <c r="AO67" i="9"/>
  <c r="AO60" i="9"/>
  <c r="AG97" i="7"/>
  <c r="AG21" i="7"/>
  <c r="AI37" i="7"/>
  <c r="AI38" i="7"/>
  <c r="AB14" i="11"/>
  <c r="AI40" i="7"/>
  <c r="AI30" i="7"/>
  <c r="AI64" i="7"/>
  <c r="AI103" i="7"/>
  <c r="AI39" i="7"/>
  <c r="AI9" i="7"/>
  <c r="AP279" i="9"/>
  <c r="AP59" i="9"/>
  <c r="AP57" i="9" s="1"/>
  <c r="AP14" i="9" s="1"/>
  <c r="AJ36" i="7"/>
  <c r="AP37" i="9"/>
  <c r="AP38" i="9" s="1"/>
  <c r="AP66" i="9"/>
  <c r="AP29" i="9"/>
  <c r="AO14" i="9"/>
  <c r="AO285" i="9"/>
  <c r="AO273" i="9"/>
  <c r="AO282" i="9" s="1"/>
  <c r="BU19" i="11"/>
  <c r="BI55" i="11"/>
  <c r="AJ180" i="7"/>
  <c r="Z51" i="11"/>
  <c r="BH36" i="11"/>
  <c r="Z56" i="11"/>
  <c r="AN15" i="9"/>
  <c r="AN13" i="9"/>
  <c r="AH19" i="7" s="1"/>
  <c r="AG26" i="7"/>
  <c r="AM58" i="9"/>
  <c r="AM22" i="9"/>
  <c r="BK12" i="11"/>
  <c r="AC19" i="11"/>
  <c r="AC13" i="11"/>
  <c r="BK13" i="11" s="1"/>
  <c r="BH56" i="11" l="1"/>
  <c r="AG99" i="7"/>
  <c r="AG111" i="7"/>
  <c r="AG117" i="7" s="1"/>
  <c r="AJ30" i="7"/>
  <c r="AJ64" i="7"/>
  <c r="AJ39" i="7"/>
  <c r="AC14" i="11"/>
  <c r="AJ38" i="7"/>
  <c r="AJ103" i="7"/>
  <c r="AJ37" i="7"/>
  <c r="AJ40" i="7"/>
  <c r="AJ9" i="7"/>
  <c r="AJ148" i="7"/>
  <c r="AB15" i="11"/>
  <c r="BJ15" i="11" s="1"/>
  <c r="AB1" i="11"/>
  <c r="AB36" i="11"/>
  <c r="BJ14" i="11"/>
  <c r="AG81" i="7"/>
  <c r="AG106" i="7"/>
  <c r="AG77" i="7"/>
  <c r="AG153" i="7"/>
  <c r="Z17" i="11"/>
  <c r="BH17" i="11" s="1"/>
  <c r="AG80" i="7"/>
  <c r="AG194" i="7"/>
  <c r="BU36" i="11"/>
  <c r="BI56" i="11"/>
  <c r="AB16" i="11"/>
  <c r="BJ16" i="11" s="1"/>
  <c r="AI68" i="7"/>
  <c r="AO15" i="9"/>
  <c r="AO13" i="9"/>
  <c r="AI19" i="7" s="1"/>
  <c r="AH105" i="7"/>
  <c r="AN33" i="9"/>
  <c r="AN62" i="9" s="1"/>
  <c r="AI102" i="7"/>
  <c r="AI31" i="7"/>
  <c r="AP15" i="9"/>
  <c r="AP13" i="9"/>
  <c r="AJ19" i="7" s="1"/>
  <c r="BK19" i="11"/>
  <c r="BK55" i="11" s="1"/>
  <c r="AC55" i="11"/>
  <c r="BH51" i="11"/>
  <c r="AH21" i="7"/>
  <c r="AH97" i="7"/>
  <c r="AP285" i="9"/>
  <c r="AP273" i="9"/>
  <c r="AP282" i="9" s="1"/>
  <c r="AJ199" i="7"/>
  <c r="AH76" i="7"/>
  <c r="AH26" i="7"/>
  <c r="AN22" i="9"/>
  <c r="AN58" i="9"/>
  <c r="AP60" i="9"/>
  <c r="AP67" i="9"/>
  <c r="AG23" i="7"/>
  <c r="AM33" i="9"/>
  <c r="AM62" i="9" s="1"/>
  <c r="AG105" i="7"/>
  <c r="AN35" i="9" l="1"/>
  <c r="AN61" i="9" s="1"/>
  <c r="AJ21" i="7"/>
  <c r="AJ97" i="7"/>
  <c r="AJ68" i="7"/>
  <c r="AC16" i="11"/>
  <c r="BK16" i="11" s="1"/>
  <c r="AH23" i="7"/>
  <c r="AM35" i="9"/>
  <c r="AJ26" i="7"/>
  <c r="AP58" i="9"/>
  <c r="AP22" i="9"/>
  <c r="AG6" i="7"/>
  <c r="AI97" i="7"/>
  <c r="AI21" i="7"/>
  <c r="AH153" i="7"/>
  <c r="AG155" i="7"/>
  <c r="BJ36" i="11"/>
  <c r="AB51" i="11"/>
  <c r="BJ51" i="11" s="1"/>
  <c r="AB56" i="11"/>
  <c r="AC15" i="11"/>
  <c r="BK15" i="11" s="1"/>
  <c r="BK14" i="11"/>
  <c r="AC36" i="11"/>
  <c r="AC1" i="11"/>
  <c r="AH80" i="7"/>
  <c r="AH77" i="7"/>
  <c r="AA17" i="11"/>
  <c r="BI17" i="11" s="1"/>
  <c r="BU17" i="11" s="1"/>
  <c r="AH81" i="7"/>
  <c r="AH194" i="7"/>
  <c r="AH106" i="7"/>
  <c r="AJ102" i="7"/>
  <c r="AJ31" i="7"/>
  <c r="AG24" i="7"/>
  <c r="AG101" i="7"/>
  <c r="AG28" i="7"/>
  <c r="AO58" i="9"/>
  <c r="AI26" i="7"/>
  <c r="AO22" i="9"/>
  <c r="AG204" i="7"/>
  <c r="AH99" i="7"/>
  <c r="AH111" i="7"/>
  <c r="AH117" i="7" s="1"/>
  <c r="AO32" i="9"/>
  <c r="AI69" i="7"/>
  <c r="AI104" i="7"/>
  <c r="AI71" i="7"/>
  <c r="AG5" i="7"/>
  <c r="AG7" i="7" s="1"/>
  <c r="AG86" i="7"/>
  <c r="BJ56" i="11" l="1"/>
  <c r="AO33" i="9"/>
  <c r="AO62" i="9" s="1"/>
  <c r="AI105" i="7"/>
  <c r="AM68" i="9"/>
  <c r="AM61" i="9"/>
  <c r="AI111" i="7"/>
  <c r="AI117" i="7" s="1"/>
  <c r="AI99" i="7"/>
  <c r="AN68" i="9"/>
  <c r="AJ69" i="7"/>
  <c r="AP32" i="9"/>
  <c r="AJ104" i="7"/>
  <c r="AJ71" i="7"/>
  <c r="AJ76" i="7" s="1"/>
  <c r="AG184" i="7"/>
  <c r="AG157" i="7"/>
  <c r="AG189" i="7"/>
  <c r="AC51" i="11"/>
  <c r="BK51" i="11" s="1"/>
  <c r="BK36" i="11"/>
  <c r="AC56" i="11"/>
  <c r="AH204" i="7"/>
  <c r="AH24" i="7"/>
  <c r="AH101" i="7"/>
  <c r="AH28" i="7"/>
  <c r="AG29" i="7"/>
  <c r="AG96" i="7"/>
  <c r="AH5" i="7"/>
  <c r="AH7" i="7" s="1"/>
  <c r="AH86" i="7"/>
  <c r="AH155" i="7"/>
  <c r="AI76" i="7"/>
  <c r="AI153" i="7" s="1"/>
  <c r="AG226" i="7"/>
  <c r="AG227" i="7" s="1"/>
  <c r="AG225" i="7"/>
  <c r="AH6" i="7"/>
  <c r="AI23" i="7"/>
  <c r="AJ111" i="7"/>
  <c r="AJ117" i="7" s="1"/>
  <c r="AJ99" i="7"/>
  <c r="AJ23" i="7"/>
  <c r="BK56" i="11" l="1"/>
  <c r="AO35" i="9"/>
  <c r="AO61" i="9" s="1"/>
  <c r="AJ81" i="7"/>
  <c r="AJ80" i="7"/>
  <c r="AJ106" i="7"/>
  <c r="AJ194" i="7"/>
  <c r="AC17" i="11"/>
  <c r="BK17" i="11" s="1"/>
  <c r="AJ77" i="7"/>
  <c r="AG124" i="7"/>
  <c r="AH96" i="7"/>
  <c r="AH29" i="7"/>
  <c r="AJ153" i="7"/>
  <c r="AJ155" i="7" s="1"/>
  <c r="AI155" i="7"/>
  <c r="AI24" i="7"/>
  <c r="AI101" i="7"/>
  <c r="AI28" i="7"/>
  <c r="AH157" i="7"/>
  <c r="AH184" i="7"/>
  <c r="AH189" i="7"/>
  <c r="AH225" i="7"/>
  <c r="AH226" i="7"/>
  <c r="AH227" i="7" s="1"/>
  <c r="AG158" i="7"/>
  <c r="AP33" i="9"/>
  <c r="AP62" i="9" s="1"/>
  <c r="AJ105" i="7"/>
  <c r="AJ24" i="7"/>
  <c r="AJ101" i="7"/>
  <c r="AJ28" i="7"/>
  <c r="AI106" i="7"/>
  <c r="AB17" i="11"/>
  <c r="BJ17" i="11" s="1"/>
  <c r="AI77" i="7"/>
  <c r="AI81" i="7"/>
  <c r="AI194" i="7"/>
  <c r="AI80" i="7"/>
  <c r="AO68" i="9" l="1"/>
  <c r="AP35" i="9"/>
  <c r="AP61" i="9" s="1"/>
  <c r="AI157" i="7"/>
  <c r="AI184" i="7"/>
  <c r="AJ157" i="7"/>
  <c r="AJ184" i="7"/>
  <c r="AJ189" i="7"/>
  <c r="AH158" i="7"/>
  <c r="AH160" i="7" s="1"/>
  <c r="AJ204" i="7"/>
  <c r="AI204" i="7"/>
  <c r="AJ29" i="7"/>
  <c r="AJ96" i="7"/>
  <c r="AJ5" i="7"/>
  <c r="AJ86" i="7"/>
  <c r="AI5" i="7"/>
  <c r="AI7" i="7" s="1"/>
  <c r="AI86" i="7"/>
  <c r="AH124" i="7"/>
  <c r="AG230" i="7"/>
  <c r="AG231" i="7"/>
  <c r="AG53" i="7"/>
  <c r="AG187" i="7"/>
  <c r="AG228" i="7"/>
  <c r="AI6" i="7"/>
  <c r="AI96" i="7"/>
  <c r="AI29" i="7"/>
  <c r="AI189" i="7"/>
  <c r="AG138" i="7"/>
  <c r="AG160" i="7" s="1"/>
  <c r="AJ6" i="7"/>
  <c r="AP68" i="9" l="1"/>
  <c r="AG188" i="7"/>
  <c r="AG190" i="7"/>
  <c r="AJ7" i="7"/>
  <c r="AJ226" i="7"/>
  <c r="AJ225" i="7"/>
  <c r="AH231" i="7"/>
  <c r="AH53" i="7"/>
  <c r="AH230" i="7"/>
  <c r="AH187" i="7"/>
  <c r="AH228" i="7"/>
  <c r="AH138" i="7"/>
  <c r="AI158" i="7"/>
  <c r="AJ158" i="7"/>
  <c r="AI225" i="7"/>
  <c r="AI226" i="7"/>
  <c r="AI227" i="7" s="1"/>
  <c r="AG128" i="7"/>
  <c r="AH188" i="7" l="1"/>
  <c r="AH190" i="7"/>
  <c r="AH128" i="7"/>
  <c r="AI124" i="7"/>
  <c r="AI138" i="7"/>
  <c r="AI160" i="7" s="1"/>
  <c r="AG127" i="7"/>
  <c r="AG185" i="7"/>
  <c r="AJ138" i="7"/>
  <c r="AJ160" i="7" s="1"/>
  <c r="AJ227" i="7"/>
  <c r="AJ128" i="7" l="1"/>
  <c r="AI128" i="7"/>
  <c r="AH185" i="7"/>
  <c r="AH127" i="7"/>
  <c r="AI228" i="7"/>
  <c r="AI230" i="7"/>
  <c r="AI231" i="7"/>
  <c r="AJ124" i="7"/>
  <c r="AI53" i="7"/>
  <c r="AI187" i="7"/>
  <c r="AI188" i="7" l="1"/>
  <c r="AJ231" i="7"/>
  <c r="AJ187" i="7"/>
  <c r="AJ228" i="7"/>
  <c r="AJ230" i="7"/>
  <c r="AJ53" i="7"/>
  <c r="AI185" i="7"/>
  <c r="AI127" i="7"/>
  <c r="AJ127" i="7"/>
  <c r="AJ185" i="7"/>
  <c r="AJ188" i="7" l="1"/>
  <c r="JV17" i="14" l="1"/>
  <c r="JV74" i="14" s="1"/>
  <c r="JW75" i="14" l="1"/>
  <c r="JV75" i="14"/>
  <c r="JK10" i="14"/>
  <c r="JK74" i="14"/>
  <c r="JK69" i="14" l="1"/>
  <c r="JK75" i="14"/>
  <c r="JK76" i="14"/>
  <c r="JV10" i="14"/>
  <c r="BD21" i="11"/>
  <c r="JK5" i="14"/>
  <c r="JK11" i="14"/>
  <c r="JV5" i="14" l="1"/>
  <c r="JK6" i="14"/>
  <c r="BD13" i="11" s="1"/>
  <c r="JV69" i="14"/>
  <c r="JK70" i="14"/>
  <c r="BD15" i="11" s="1"/>
  <c r="JK71" i="14"/>
  <c r="JK164" i="14"/>
  <c r="JV11" i="14"/>
  <c r="JV12" i="14"/>
  <c r="JV76" i="14"/>
  <c r="X38" i="11"/>
  <c r="JU75" i="14"/>
  <c r="BD38" i="11"/>
  <c r="V46" i="11"/>
  <c r="BD46" i="11" s="1"/>
  <c r="BD14" i="11" l="1"/>
  <c r="V36" i="11"/>
  <c r="BD17" i="11"/>
  <c r="JK166" i="14"/>
  <c r="JV164" i="14"/>
  <c r="BF38" i="11"/>
  <c r="JV70" i="14"/>
  <c r="JV71" i="14"/>
  <c r="JW11" i="14"/>
  <c r="JW76" i="14"/>
  <c r="JV6" i="14"/>
  <c r="V19" i="11"/>
  <c r="BD19" i="11" s="1"/>
  <c r="BD12" i="11"/>
  <c r="V51" i="11" l="1"/>
  <c r="BD51" i="11" s="1"/>
  <c r="BD36" i="11"/>
  <c r="JV165" i="14"/>
  <c r="JW6" i="14"/>
  <c r="JV166" i="14"/>
  <c r="JW70" i="14"/>
  <c r="JW71" i="14"/>
  <c r="JU11" i="14"/>
  <c r="X21" i="11"/>
  <c r="JU76" i="14"/>
  <c r="X12" i="11" l="1"/>
  <c r="JU6" i="14"/>
  <c r="X13" i="11" s="1"/>
  <c r="BF13" i="11" s="1"/>
  <c r="X14" i="11"/>
  <c r="JU70" i="14"/>
  <c r="X15" i="11" s="1"/>
  <c r="BF15" i="11" s="1"/>
  <c r="JU71" i="14"/>
  <c r="BF21" i="11"/>
  <c r="X46" i="11"/>
  <c r="BF46" i="11" s="1"/>
  <c r="JW165" i="14"/>
  <c r="JU165" i="14" l="1"/>
  <c r="X17" i="11"/>
  <c r="BF17" i="11" s="1"/>
  <c r="BF14" i="11"/>
  <c r="X36" i="11"/>
  <c r="X19" i="11"/>
  <c r="BF19" i="11" s="1"/>
  <c r="BF12" i="11"/>
  <c r="X51" i="11" l="1"/>
  <c r="BF51" i="11" s="1"/>
  <c r="BF36" i="11"/>
  <c r="X43" i="11" l="1"/>
  <c r="BF4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Yamaguchi, Keiko [GIR]</author>
  </authors>
  <commentList>
    <comment ref="S1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Yamaguchi, Keiko [GIR]:FY21から、日本の会計基準が変わり、売上がネットベースになる。FY20の本決算の時にガイダンスと、新ベースのFY20を開示。</t>
        </r>
      </text>
    </comment>
    <comment ref="AG2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122円/USD前提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yakeik</author>
    <author>Yamaguchi, Keiko [GIR]</author>
    <author>Lu, Yaou [GIR]</author>
    <author>Suzuki, Takashi [GIR]</author>
    <author>Watanabe, Akira [GIR]</author>
  </authors>
  <commentList>
    <comment ref="EB19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ここの見方は変えていない。</t>
        </r>
      </text>
    </comment>
    <comment ref="IU21" authorId="1" shapeId="0" xr:uid="{00000000-0006-0000-0700-000002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会社計画は+4％だった。</t>
        </r>
      </text>
    </comment>
    <comment ref="FS22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Co'E=+9%</t>
        </r>
      </text>
    </comment>
    <comment ref="HR22" authorId="1" shapeId="0" xr:uid="{00000000-0006-0000-0700-000004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texasの停電の影響、Fy19/4Qの反動減</t>
        </r>
      </text>
    </comment>
    <comment ref="IU22" authorId="2" shapeId="0" xr:uid="{00000000-0006-0000-0700-000005000000}">
      <text>
        <r>
          <rPr>
            <b/>
            <sz val="9"/>
            <color indexed="81"/>
            <rFont val="Tahoma"/>
            <family val="2"/>
          </rPr>
          <t>Lu, Yaou [GIR]:</t>
        </r>
        <r>
          <rPr>
            <sz val="9"/>
            <color indexed="81"/>
            <rFont val="Tahoma"/>
            <family val="2"/>
          </rPr>
          <t xml:space="preserve">
In US they raised prices in 2021 Oct (+10%) and 2022 Apr(+9%). In Mexico, they did price hikes in 2021 July, and 2022 Apr. </t>
        </r>
      </text>
    </comment>
    <comment ref="FS23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Co'E=+4%</t>
        </r>
      </text>
    </comment>
    <comment ref="FZ24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メキシコの量販店向けの値上げ</t>
        </r>
      </text>
    </comment>
    <comment ref="GB24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ＭＳ Ｐゴシック"/>
            <family val="3"/>
            <charset val="128"/>
          </rPr>
          <t>月からは、卸向け（売上構成の7割ぐらいを占める）の値上げも行った。アメリカの費用負担をカバーするためもあり。</t>
        </r>
      </text>
    </comment>
    <comment ref="GR24" authorId="1" shapeId="0" xr:uid="{00000000-0006-0000-0700-000009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ほとんどメキシコのインパクト</t>
        </r>
      </text>
    </comment>
    <comment ref="GT24" authorId="1" shapeId="0" xr:uid="{00000000-0006-0000-0700-00000A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米国での販促の調整、メキシコでの値上げ？</t>
        </r>
      </text>
    </comment>
    <comment ref="IU24" authorId="2" shapeId="0" xr:uid="{00000000-0006-0000-0700-00000B000000}">
      <text>
        <r>
          <rPr>
            <b/>
            <sz val="9"/>
            <color indexed="81"/>
            <rFont val="Tahoma"/>
            <family val="2"/>
          </rPr>
          <t>Lu, Yaou [GIR]:</t>
        </r>
        <r>
          <rPr>
            <sz val="9"/>
            <color indexed="81"/>
            <rFont val="Tahoma"/>
            <family val="2"/>
          </rPr>
          <t xml:space="preserve">
+20%は単純値上げ、残りは商品ミックス改善＞リベート抑制</t>
        </r>
      </text>
    </comment>
    <comment ref="KT24" authorId="1" shapeId="0" xr:uid="{00000000-0006-0000-0700-00000C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リベート抑制とメキシコの早めの値上げでプラスが残ろう。</t>
        </r>
      </text>
    </comment>
    <comment ref="GR28" authorId="1" shapeId="0" xr:uid="{00000000-0006-0000-0700-00000D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volume flat, pricing:+4%</t>
        </r>
      </text>
    </comment>
    <comment ref="KM32" authorId="1" shapeId="0" xr:uid="{00000000-0006-0000-0700-00000E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rebate抑制。とにかく来年もコストは下がらないので、100円の壁を乗り越える必要がある。</t>
        </r>
      </text>
    </comment>
    <comment ref="IE33" authorId="1" shapeId="0" xr:uid="{00000000-0006-0000-0700-00000F000000}">
      <text>
        <r>
          <rPr>
            <b/>
            <sz val="9"/>
            <color indexed="81"/>
            <rFont val="Tahoma"/>
            <family val="2"/>
          </rPr>
          <t>Yamaguchi, Keiko [GIR]:
上期計画の半分程度とのこと</t>
        </r>
        <r>
          <rPr>
            <sz val="9"/>
            <color indexed="81"/>
            <rFont val="Tahoma"/>
            <family val="2"/>
          </rPr>
          <t xml:space="preserve">
'-20%(volume)</t>
        </r>
      </text>
    </comment>
    <comment ref="GL35" authorId="1" shapeId="0" xr:uid="{00000000-0006-0000-0700-000010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-6%</t>
        </r>
      </text>
    </comment>
    <comment ref="IR35" authorId="1" shapeId="0" xr:uid="{00000000-0006-0000-0700-000011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旧ベース。-1％</t>
        </r>
      </text>
    </comment>
    <comment ref="GL36" authorId="1" shapeId="0" xr:uid="{00000000-0006-0000-0700-000012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-6%</t>
        </r>
      </text>
    </comment>
    <comment ref="IE37" authorId="1" shapeId="0" xr:uid="{00000000-0006-0000-0700-000013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'-1%(volume)</t>
        </r>
      </text>
    </comment>
    <comment ref="FP39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下期の増収の半分程度は</t>
        </r>
        <r>
          <rPr>
            <sz val="9"/>
            <color indexed="81"/>
            <rFont val="Tahoma"/>
            <family val="2"/>
          </rPr>
          <t>QTTA</t>
        </r>
        <r>
          <rPr>
            <sz val="9"/>
            <color indexed="81"/>
            <rFont val="ＭＳ Ｐゴシック"/>
            <family val="3"/>
            <charset val="128"/>
          </rPr>
          <t>でやりたい</t>
        </r>
      </text>
    </comment>
    <comment ref="KM42" authorId="1" shapeId="0" xr:uid="{00000000-0006-0000-0700-000015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volume:-3-4%, pricing:+7-8%</t>
        </r>
      </text>
    </comment>
    <comment ref="KU69" authorId="1" shapeId="0" xr:uid="{00000000-0006-0000-0700-000016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1Qは80億円、2Qは70億円程度のいめーじ</t>
        </r>
      </text>
    </comment>
    <comment ref="GT73" authorId="1" shapeId="0" xr:uid="{00000000-0006-0000-0700-000017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在庫評価損</t>
        </r>
      </text>
    </comment>
    <comment ref="LC73" authorId="1" shapeId="0" xr:uid="{00000000-0006-0000-0700-000018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在庫評価損の正常化</t>
        </r>
      </text>
    </comment>
    <comment ref="AW82" authorId="0" shapeId="0" xr:uid="{00000000-0006-0000-0700-000019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数量増加で+6、販促費で-5</t>
        </r>
      </text>
    </comment>
    <comment ref="EO82" authorId="3" shapeId="0" xr:uid="{00000000-0006-0000-0700-00001A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販促費を含む、(メキシコでの問屋・量販店の両方を含む)</t>
        </r>
      </text>
    </comment>
    <comment ref="LA84" authorId="1" shapeId="0" xr:uid="{00000000-0006-0000-0700-00001B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足元のペソ安をほおっておくとここまで出ないが、メキシコでは20年5月に販促費の調整をしたので、それでチャラ。つまり、計画通りに出るだろう。また、コロナの影響で米国では販促費なくして売れているので、現実劇にはもっと出る可能性がある。</t>
        </r>
      </text>
    </comment>
    <comment ref="DU89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もろもろ+で見ていた。</t>
        </r>
      </text>
    </comment>
    <comment ref="DK97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エネルギーコスト</t>
        </r>
      </text>
    </comment>
    <comment ref="EG97" authorId="3" shapeId="0" xr:uid="{00000000-0006-0000-0700-00001E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動力費</t>
        </r>
      </text>
    </comment>
    <comment ref="GB99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 xml:space="preserve">yakeik:
</t>
        </r>
        <r>
          <rPr>
            <b/>
            <sz val="9"/>
            <color indexed="81"/>
            <rFont val="ＭＳ Ｐゴシック"/>
            <family val="3"/>
            <charset val="128"/>
          </rPr>
          <t>テキサス工場の生産が安定したことにより、物流効率が上昇。FY20まで増益要因は出るかも。</t>
        </r>
      </text>
    </comment>
    <comment ref="GT99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 xml:space="preserve">yakeik:
</t>
        </r>
        <r>
          <rPr>
            <b/>
            <sz val="9"/>
            <color indexed="81"/>
            <rFont val="ＭＳ Ｐゴシック"/>
            <family val="3"/>
            <charset val="128"/>
          </rPr>
          <t>テキサス工場の生産が安定したことにより、物流効率が上昇。FY20まで増益要因は出るかも。</t>
        </r>
      </text>
    </comment>
    <comment ref="KL102" authorId="1" shapeId="0" xr:uid="{00000000-0006-0000-0700-000021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値上げと袋麺拡大で取り返す</t>
        </r>
      </text>
    </comment>
    <comment ref="KM109" authorId="1" shapeId="0" xr:uid="{00000000-0006-0000-0700-000022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OP/PB(リベートなし）の好調、定番品のリベートコントロール</t>
        </r>
      </text>
    </comment>
    <comment ref="KM117" authorId="1" shapeId="0" xr:uid="{00000000-0006-0000-0700-000023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広範なコストアップ+原価比率の高いOP/PBミックスの上昇</t>
        </r>
      </text>
    </comment>
    <comment ref="EG125" authorId="0" shapeId="0" xr:uid="{00000000-0006-0000-0700-000024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ＭＳ Ｐゴシック"/>
            <family val="3"/>
            <charset val="128"/>
          </rPr>
          <t>億円期ずれ</t>
        </r>
      </text>
    </comment>
    <comment ref="LG127" authorId="1" shapeId="0" xr:uid="{00000000-0006-0000-0700-000025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53-54億円かも</t>
        </r>
      </text>
    </comment>
    <comment ref="KM131" authorId="1" shapeId="0" xr:uid="{00000000-0006-0000-0700-000026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期中で冷食値上げ</t>
        </r>
      </text>
    </comment>
    <comment ref="KM134" authorId="2" shapeId="0" xr:uid="{00000000-0006-0000-0700-000027000000}">
      <text>
        <r>
          <rPr>
            <b/>
            <sz val="9"/>
            <color indexed="81"/>
            <rFont val="Tahoma"/>
            <family val="2"/>
          </rPr>
          <t>Lu, Yaou [GIR]:</t>
        </r>
        <r>
          <rPr>
            <sz val="9"/>
            <color indexed="81"/>
            <rFont val="Tahoma"/>
            <family val="2"/>
          </rPr>
          <t xml:space="preserve">
小麦粉、そば粉に加え、包装資材の価格が高騰</t>
        </r>
      </text>
    </comment>
    <comment ref="FQ142" authorId="3" shapeId="0" xr:uid="{00000000-0006-0000-0700-000028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減価償却費の増加４億円、原料が２億円の減益効果</t>
        </r>
      </text>
    </comment>
    <comment ref="LE151" authorId="1" shapeId="0" xr:uid="{00000000-0006-0000-0700-000029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3Qまでは減益、4Qは昨年の費用の戻りがあって増益で横ばい</t>
        </r>
      </text>
    </comment>
    <comment ref="LF151" authorId="1" shapeId="0" xr:uid="{00000000-0006-0000-0700-00002A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3Qまでは減益、4Qは昨年の費用の戻りがあって増益で横ばい</t>
        </r>
      </text>
    </comment>
    <comment ref="CG160" authorId="4" shapeId="0" xr:uid="{00000000-0006-0000-0700-00002B000000}">
      <text>
        <r>
          <rPr>
            <b/>
            <sz val="9"/>
            <color indexed="81"/>
            <rFont val="Tahoma"/>
            <family val="2"/>
          </rPr>
          <t>Watanabe, Akira [GIR]:</t>
        </r>
        <r>
          <rPr>
            <sz val="9"/>
            <color indexed="81"/>
            <rFont val="Tahoma"/>
            <family val="2"/>
          </rPr>
          <t xml:space="preserve">
短信のセグメント表の注の中にある。</t>
        </r>
      </text>
    </comment>
    <comment ref="HK164" authorId="1" shapeId="0" xr:uid="{00000000-0006-0000-0700-00002C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年間20億円の特益のうち、10億円が上期のどこかにはいる</t>
        </r>
      </text>
    </comment>
    <comment ref="HY164" authorId="1" shapeId="0" xr:uid="{00000000-0006-0000-0700-00002D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３Qにフクシマフーズの建設に絡む助成金が10億円はいる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Yamaguchi, Keiko [GIR]</author>
    <author>yakeik</author>
    <author>Suzuki, Takashi [GIR]</author>
    <author>Taniguchi, Megumi [GIR]</author>
    <author>Authorized User</author>
    <author>Okubo, Yoshihiro</author>
  </authors>
  <commentList>
    <comment ref="AK83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zubaaan新商品</t>
        </r>
      </text>
    </comment>
    <comment ref="Z88" authorId="1" shapeId="0" xr:uid="{00000000-0006-0000-0A00-000002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2011</t>
        </r>
        <r>
          <rPr>
            <sz val="10"/>
            <color indexed="81"/>
            <rFont val="ＭＳ Ｐゴシック"/>
            <family val="3"/>
            <charset val="128"/>
          </rPr>
          <t>年11月、2012年5月、2013年3or4月で、トータル3億食の生産能力。実際の販売数量は3.5億食。</t>
        </r>
      </text>
    </comment>
    <comment ref="AK89" authorId="0" shapeId="0" xr:uid="{21469F3C-D840-4C2F-A9B6-597C48E567B2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zubaaan新商品</t>
        </r>
      </text>
    </comment>
    <comment ref="AK93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新商品 zubaaaan</t>
        </r>
      </text>
    </comment>
    <comment ref="AB94" authorId="1" shapeId="0" xr:uid="{00000000-0006-0000-0A00-00000C000000}">
      <text>
        <r>
          <rPr>
            <b/>
            <sz val="9"/>
            <color indexed="81"/>
            <rFont val="Tahoma"/>
            <family val="2"/>
          </rPr>
          <t>yakeik:
cup</t>
        </r>
        <r>
          <rPr>
            <b/>
            <sz val="9"/>
            <color indexed="81"/>
            <rFont val="ＭＳ Ｐゴシック"/>
            <family val="3"/>
            <charset val="128"/>
          </rPr>
          <t>で1000億円達成</t>
        </r>
      </text>
    </comment>
    <comment ref="AC119" authorId="2" shapeId="0" xr:uid="{00000000-0006-0000-0A00-000014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3/27に発売、縦型カップ市場での東洋水産のシェアは5％程度で10％を目指す</t>
        </r>
      </text>
    </comment>
    <comment ref="AK120" authorId="0" shapeId="0" xr:uid="{00000000-0006-0000-0A00-000015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収益認識の会計基準の影響を排除するため、FY20の売上高をベースの試算</t>
        </r>
      </text>
    </comment>
    <comment ref="AL120" authorId="0" shapeId="0" xr:uid="{00000000-0006-0000-0A00-000016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収益認識の会計基準の影響を排除するため、FY20の売上高をベースの試算</t>
        </r>
      </text>
    </comment>
    <comment ref="AE138" authorId="1" shapeId="0" xr:uid="{00000000-0006-0000-0A00-000017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+7</t>
        </r>
        <r>
          <rPr>
            <sz val="9"/>
            <color indexed="81"/>
            <rFont val="ＭＳ Ｐゴシック"/>
            <family val="3"/>
            <charset val="128"/>
          </rPr>
          <t>～8％の値上げ効果</t>
        </r>
      </text>
    </comment>
    <comment ref="Z149" authorId="1" shapeId="0" xr:uid="{00000000-0006-0000-0A00-000018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シマヤの連結効果110億円。</t>
        </r>
      </text>
    </comment>
    <comment ref="AD199" authorId="2" shapeId="0" xr:uid="{00000000-0006-0000-0A00-000019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PBが落ちてＮＢが増えるので限界利益率上昇</t>
        </r>
      </text>
    </comment>
    <comment ref="C207" authorId="3" shapeId="0" xr:uid="{12F7E1E7-167D-4C2B-8045-ECC1CD08B8A2}">
      <text>
        <r>
          <rPr>
            <b/>
            <sz val="9"/>
            <color indexed="81"/>
            <rFont val="Tahoma"/>
            <family val="2"/>
          </rPr>
          <t>Taniguchi, Megumi [GIR]:</t>
        </r>
        <r>
          <rPr>
            <sz val="9"/>
            <color indexed="81"/>
            <rFont val="Tahoma"/>
            <family val="2"/>
          </rPr>
          <t xml:space="preserve">
wheatファイルから各年度の平均価格を反映</t>
        </r>
      </text>
    </comment>
    <comment ref="AD218" authorId="2" shapeId="0" xr:uid="{00000000-0006-0000-0A00-00001A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関西工場ライン投資減価償却費増</t>
        </r>
      </text>
    </comment>
    <comment ref="AD219" authorId="2" shapeId="0" xr:uid="{00000000-0006-0000-0A00-00001B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ＱＴＴＡの宣伝費は正麺から予想し、6億円程度と仮定</t>
        </r>
      </text>
    </comment>
    <comment ref="AL219" authorId="0" shapeId="0" xr:uid="{00000000-0006-0000-0A00-00001C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値上げできないリスクをここで織り込む。</t>
        </r>
      </text>
    </comment>
    <comment ref="AD230" authorId="2" shapeId="0" xr:uid="{00000000-0006-0000-0A00-00001D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減価償却費4億円、原材料2億円だが、売り上げが伸びる点を考慮</t>
        </r>
      </text>
    </comment>
    <comment ref="M268" authorId="4" shapeId="0" xr:uid="{00000000-0006-0000-0A00-00001E000000}">
      <text>
        <r>
          <rPr>
            <b/>
            <sz val="9"/>
            <color indexed="81"/>
            <rFont val="ＭＳ Ｐゴシック"/>
            <family val="2"/>
            <charset val="128"/>
          </rPr>
          <t>100億円はラーメン以外</t>
        </r>
      </text>
    </comment>
    <comment ref="U367" authorId="5" shapeId="0" xr:uid="{00000000-0006-0000-0A00-00001F000000}">
      <text>
        <r>
          <rPr>
            <b/>
            <sz val="8"/>
            <color indexed="81"/>
            <rFont val="Tahoma"/>
            <family val="2"/>
          </rPr>
          <t>Okubo, Yoshihiro: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2"/>
            <charset val="128"/>
          </rPr>
          <t>説明会資料？</t>
        </r>
      </text>
    </comment>
    <comment ref="V367" authorId="5" shapeId="0" xr:uid="{00000000-0006-0000-0A00-000020000000}">
      <text>
        <r>
          <rPr>
            <b/>
            <sz val="8"/>
            <color indexed="81"/>
            <rFont val="Tahoma"/>
            <family val="2"/>
          </rPr>
          <t>Okubo, Yoshihiro: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2"/>
            <charset val="128"/>
          </rPr>
          <t>説明会資料？</t>
        </r>
      </text>
    </comment>
    <comment ref="U377" authorId="5" shapeId="0" xr:uid="{00000000-0006-0000-0A00-000021000000}">
      <text>
        <r>
          <rPr>
            <b/>
            <sz val="8"/>
            <color indexed="81"/>
            <rFont val="Tahoma"/>
            <family val="2"/>
          </rPr>
          <t>Okubo, Yoshihiro:</t>
        </r>
        <r>
          <rPr>
            <sz val="8"/>
            <color indexed="81"/>
            <rFont val="Tahoma"/>
            <family val="2"/>
          </rPr>
          <t xml:space="preserve">
6,500</t>
        </r>
      </text>
    </comment>
    <comment ref="V377" authorId="5" shapeId="0" xr:uid="{00000000-0006-0000-0A00-000022000000}">
      <text>
        <r>
          <rPr>
            <b/>
            <sz val="8"/>
            <color indexed="81"/>
            <rFont val="Tahoma"/>
            <family val="2"/>
          </rPr>
          <t>Okubo, Yoshihiro:</t>
        </r>
        <r>
          <rPr>
            <sz val="8"/>
            <color indexed="81"/>
            <rFont val="Tahoma"/>
            <family val="2"/>
          </rPr>
          <t xml:space="preserve">
6,500</t>
        </r>
      </text>
    </comment>
    <comment ref="O430" authorId="4" shapeId="0" xr:uid="{00000000-0006-0000-0A00-000023000000}">
      <text>
        <r>
          <rPr>
            <b/>
            <sz val="9"/>
            <color indexed="81"/>
            <rFont val="ＭＳ Ｐゴシック"/>
            <family val="2"/>
            <charset val="128"/>
          </rPr>
          <t>北海道解開設</t>
        </r>
      </text>
    </comment>
    <comment ref="N436" authorId="4" shapeId="0" xr:uid="{00000000-0006-0000-0A00-000024000000}">
      <text>
        <r>
          <rPr>
            <b/>
            <sz val="9"/>
            <color indexed="81"/>
            <rFont val="ＭＳ Ｐゴシック"/>
            <family val="2"/>
            <charset val="128"/>
          </rPr>
          <t>CoE-5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yakeik</author>
    <author>Yamaguchi, Keiko [GIR]</author>
    <author>Suzuki, Takashi [GIR]</author>
  </authors>
  <commentList>
    <comment ref="U1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food stamp cut started </t>
        </r>
      </text>
    </comment>
    <comment ref="AE12" authorId="1" shapeId="0" xr:uid="{7461579B-A394-4A5A-BF54-A41715D39642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No6ライン投資</t>
        </r>
      </text>
    </comment>
    <comment ref="AF12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No6ライン投資</t>
        </r>
      </text>
    </comment>
    <comment ref="AG12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ライン増強（22年6月）の影響は一巡するが、土日のシフト数の増加や習熟度の上昇による1時間あたりの生産数量の増加などで+15％ぐらいは理論的にできる。コロナの再拡大や補助金がなければ、人はとれているとのこと(2022/11/17）</t>
        </r>
      </text>
    </comment>
    <comment ref="W13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原料安、マーケットシェア拡大のため</t>
        </r>
      </text>
    </comment>
    <comment ref="AG13" authorId="1" shapeId="0" xr:uid="{00000000-0006-0000-0800-000005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単純値上げは難しいが、販促抑制効果は続くのではないか+2022年10月の10％程度の値上げが少なくとも半年続く。</t>
        </r>
      </text>
    </comment>
    <comment ref="AC21" authorId="1" shapeId="0" xr:uid="{BAC88843-B507-45A7-B728-CF06197CCFB6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20/7に5～10％の値上げ（70％の問屋チャネル）</t>
        </r>
      </text>
    </comment>
    <comment ref="AD21" authorId="1" shapeId="0" xr:uid="{00000000-0006-0000-0800-000006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20/7に5～10％の値上げ（70％の問屋チャネル）</t>
        </r>
      </text>
    </comment>
    <comment ref="X37" authorId="2" shapeId="0" xr:uid="{00000000-0006-0000-0800-000007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原材料安が続いたことにより限界利益率上昇</t>
        </r>
      </text>
    </comment>
    <comment ref="Y40" authorId="2" shapeId="0" xr:uid="{00000000-0006-0000-0800-000008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人件費上昇</t>
        </r>
      </text>
    </comment>
    <comment ref="Z40" authorId="2" shapeId="0" xr:uid="{00000000-0006-0000-0800-000009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テキサス+人件費上昇</t>
        </r>
      </text>
    </comment>
    <comment ref="AG74" authorId="1" shapeId="0" xr:uid="{00000000-0006-0000-0800-00000A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FY22/6～YTDを参考に</t>
        </r>
      </text>
    </comment>
    <comment ref="B76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カップ、エビ、カートン</t>
        </r>
      </text>
    </comment>
    <comment ref="AE76" authorId="1" shapeId="0" xr:uid="{4F415887-ADC7-45D6-8AA6-C0796392C62C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No6のライン稼働による費用負担の増加を織り込む</t>
        </r>
      </text>
    </comment>
    <comment ref="AF76" authorId="1" shapeId="0" xr:uid="{00000000-0006-0000-0800-00000C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No6のライン稼働による費用負担の増加を織り込む</t>
        </r>
      </text>
    </comment>
    <comment ref="U80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米国工場建設</t>
        </r>
      </text>
    </comment>
    <comment ref="V80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テキサス工場14年4月～稼働。第一工事のCAPACITY UPは10～15％程度。ただし、製造数量は年4％増程度。ヒスパニックの人口増ぐらい。西海岸の工場をつぶすのでそれほど供給過剰にはならない。</t>
        </r>
      </text>
    </comment>
    <comment ref="X80" authorId="2" shapeId="0" xr:uid="{00000000-0006-0000-0800-00000F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ペソの急落により、メキシコでの販促が増加と見込む</t>
        </r>
      </text>
    </comment>
    <comment ref="Y80" authorId="2" shapeId="0" xr:uid="{00000000-0006-0000-0800-000010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ペソ安は落ち着いたものの米国での新商品展開や人件費の上昇</t>
        </r>
      </text>
    </comment>
    <comment ref="AC80" authorId="1" shapeId="0" xr:uid="{C9F9847B-7214-4B32-87E0-E70094D538F7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distribution cost</t>
        </r>
      </text>
    </comment>
    <comment ref="AD80" authorId="1" shapeId="0" xr:uid="{00000000-0006-0000-0800-000011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distribution cost</t>
        </r>
      </text>
    </comment>
    <comment ref="AE86" authorId="1" shapeId="0" xr:uid="{FAF36C1D-0A5A-47E0-BC0D-263713678D89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会社目標は15％</t>
        </r>
      </text>
    </comment>
    <comment ref="AF86" authorId="1" shapeId="0" xr:uid="{00000000-0006-0000-0800-000012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会社目標は15％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Suzuki, Takashi [GIR]</author>
    <author>yakeik</author>
    <author>unadks</author>
    <author>Yamaguchi, Keiko [GIR]</author>
  </authors>
  <commentList>
    <comment ref="W5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リース債務</t>
        </r>
      </text>
    </comment>
    <comment ref="V65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yakeik: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>工場の跡地売却益が19億円、補助金収入が17億円。</t>
        </r>
      </text>
    </comment>
    <comment ref="C85" authorId="1" shapeId="0" xr:uid="{00000000-0006-0000-0B00-000004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配当性向の目標はないがさすがに30％は意識しているのではないか。</t>
        </r>
      </text>
    </comment>
    <comment ref="B160" authorId="2" shapeId="0" xr:uid="{00000000-0006-0000-0B00-000005000000}">
      <text>
        <r>
          <rPr>
            <b/>
            <sz val="8"/>
            <color indexed="81"/>
            <rFont val="Tahoma"/>
            <family val="2"/>
          </rPr>
          <t>bengri:</t>
        </r>
        <r>
          <rPr>
            <sz val="8"/>
            <color indexed="81"/>
            <rFont val="Tahoma"/>
            <family val="2"/>
          </rPr>
          <t xml:space="preserve">
Cell blank if ok.
Red if error.</t>
        </r>
      </text>
    </comment>
    <comment ref="AD206" authorId="3" shapeId="0" xr:uid="{00000000-0006-0000-0B00-000006000000}">
      <text>
        <r>
          <rPr>
            <b/>
            <sz val="9"/>
            <color indexed="81"/>
            <rFont val="Tahoma"/>
            <family val="2"/>
          </rPr>
          <t>Yamaguchi, Keiko [GIR]:
今後の投資案件は、米国のNo6ラインや国内の生めんの西日本の工場の建て替え。</t>
        </r>
      </text>
    </comment>
    <comment ref="AE206" authorId="3" shapeId="0" xr:uid="{00000000-0006-0000-0B00-000007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テキサス工場第6ラインの投資を計画中（30億円）</t>
        </r>
      </text>
    </comment>
    <comment ref="AF206" authorId="3" shapeId="0" xr:uid="{00000000-0006-0000-0B00-000008000000}">
      <text>
        <r>
          <rPr>
            <b/>
            <sz val="9"/>
            <color indexed="81"/>
            <rFont val="Tahoma"/>
            <family val="2"/>
          </rPr>
          <t>Yamaguchi, Keiko [GIR]:</t>
        </r>
        <r>
          <rPr>
            <sz val="9"/>
            <color indexed="81"/>
            <rFont val="Tahoma"/>
            <family val="2"/>
          </rPr>
          <t xml:space="preserve">
米国の第5工場や、国内の低温食品の再編のニーズがあるので、高水準な設備投資が継続すると予想。</t>
        </r>
      </text>
    </comment>
    <comment ref="V208" authorId="1" shapeId="0" xr:uid="{00000000-0006-0000-0B00-00000A000000}">
      <text>
        <r>
          <rPr>
            <b/>
            <sz val="8"/>
            <color indexed="81"/>
            <rFont val="Tahoma"/>
            <family val="2"/>
          </rPr>
          <t>yakeik: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ＭＳ Ｐゴシック"/>
            <family val="3"/>
            <charset val="128"/>
          </rPr>
          <t>テキサス工場第1期の拡張（140億円、最終的に生産能力は2割増程度）。稼働は2014年4月から</t>
        </r>
      </text>
    </comment>
    <comment ref="Z208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Suzuki, Takashi [GIR]:</t>
        </r>
        <r>
          <rPr>
            <sz val="9"/>
            <color indexed="81"/>
            <rFont val="Tahoma"/>
            <family val="2"/>
          </rPr>
          <t xml:space="preserve">
テキサス工場の拡張、バージジニア/カリフォルニアにて人件費が上昇しているのでテキサスに投資</t>
        </r>
      </text>
    </comment>
    <comment ref="B228" authorId="2" shapeId="0" xr:uid="{00000000-0006-0000-0B00-00000C000000}">
      <text>
        <r>
          <rPr>
            <b/>
            <sz val="8"/>
            <color indexed="81"/>
            <rFont val="Tahoma"/>
            <family val="2"/>
          </rPr>
          <t>unadks:</t>
        </r>
        <r>
          <rPr>
            <sz val="8"/>
            <color indexed="81"/>
            <rFont val="Tahoma"/>
            <family val="2"/>
          </rPr>
          <t xml:space="preserve">
Cell blank if ok.
Red if error.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Authorized User</author>
    <author>Toda, Keita [GIR]</author>
  </authors>
  <commentList>
    <comment ref="D1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Source: DATASTREAM
Time Series: J6367;P;2008/04/01;;D
Last Refreshed: 2009/04/01 17:09:08
2 Columns
266 Rows</t>
        </r>
      </text>
    </comment>
    <comment ref="AA105" authorId="1" shapeId="0" xr:uid="{00000000-0006-0000-1200-000002000000}">
      <text>
        <r>
          <rPr>
            <b/>
            <sz val="9"/>
            <color indexed="81"/>
            <rFont val="Tahoma"/>
            <family val="2"/>
          </rPr>
          <t>Toda, Keita [GIR]:</t>
        </r>
        <r>
          <rPr>
            <sz val="9"/>
            <color indexed="81"/>
            <rFont val="Tahoma"/>
            <family val="2"/>
          </rPr>
          <t xml:space="preserve">
固定資産へ</t>
        </r>
      </text>
    </comment>
  </commentList>
</comments>
</file>

<file path=xl/sharedStrings.xml><?xml version="1.0" encoding="utf-8"?>
<sst xmlns="http://schemas.openxmlformats.org/spreadsheetml/2006/main" count="3274" uniqueCount="1575">
  <si>
    <t>出所: 会社, ゴールドマン・サックス調査部予想</t>
  </si>
  <si>
    <t>Shares outstanding (mn)</t>
  </si>
  <si>
    <t>Rating</t>
  </si>
  <si>
    <t>EPS</t>
  </si>
  <si>
    <t>EBITDA</t>
  </si>
  <si>
    <t>Sales</t>
  </si>
  <si>
    <t>百万円</t>
  </si>
  <si>
    <t>JPY millions</t>
  </si>
  <si>
    <t>東洋水産 (2875.T)</t>
  </si>
  <si>
    <t>Toyo Suisan Kaisha (2875.T)</t>
  </si>
  <si>
    <t>Source: Company data, Goldman Sachs Research estimates.</t>
  </si>
  <si>
    <t>ROE</t>
  </si>
  <si>
    <t>株式数</t>
  </si>
  <si>
    <t>WACC</t>
  </si>
  <si>
    <t>IC</t>
  </si>
  <si>
    <t>ROC</t>
  </si>
  <si>
    <t>ROCモデル</t>
  </si>
  <si>
    <t>Net debt</t>
  </si>
  <si>
    <t>Divestitures</t>
  </si>
  <si>
    <t xml:space="preserve">Acquisition </t>
  </si>
  <si>
    <t>買収・精算</t>
  </si>
  <si>
    <t>(Acquisitions)/divestitures</t>
  </si>
  <si>
    <t>Check (TCF= Change in B/S Cash)</t>
  </si>
  <si>
    <t>FCF</t>
    <phoneticPr fontId="0" type="noConversion"/>
  </si>
  <si>
    <t>キャッシュフロー合計</t>
  </si>
  <si>
    <t>Total cash flow</t>
  </si>
  <si>
    <t>為替変動による変動</t>
  </si>
  <si>
    <t>Effect of foreign exchange rate changes</t>
  </si>
  <si>
    <t xml:space="preserve"> </t>
  </si>
  <si>
    <t>財務キャッシュフロー</t>
  </si>
  <si>
    <t>Cash flow from financing</t>
  </si>
  <si>
    <t>その他財務キャッシュフロー項目</t>
  </si>
  <si>
    <t>Other financing cash flow items</t>
  </si>
  <si>
    <t>少数株主持分増減</t>
  </si>
  <si>
    <t>Change in minority interest</t>
  </si>
  <si>
    <t>優先株増減</t>
  </si>
  <si>
    <t>Increase/(decrease) in preferred shares</t>
  </si>
  <si>
    <t>長期借入金増減</t>
  </si>
  <si>
    <t>Increase/(decrease) in long-term debt</t>
  </si>
  <si>
    <t>短期借入金増減</t>
  </si>
  <si>
    <t>Increase/(decrease) in short-term debt</t>
  </si>
  <si>
    <t>自社株買い</t>
  </si>
  <si>
    <t>Share repurchase/issue (change In common stock)</t>
  </si>
  <si>
    <t>配当金</t>
  </si>
  <si>
    <t>Dividends paid (common and preferred)</t>
  </si>
  <si>
    <t>投資キャッシュフロー</t>
  </si>
  <si>
    <t>Cash flow from investing</t>
  </si>
  <si>
    <t>その他投資キャッシュフロー項目</t>
  </si>
  <si>
    <t>Other investment cash flow items</t>
  </si>
  <si>
    <t>投資等</t>
  </si>
  <si>
    <t>Investments</t>
  </si>
  <si>
    <t>　海外</t>
    <rPh sb="1" eb="3">
      <t>かいがい</t>
    </rPh>
    <phoneticPr fontId="0" type="noConversion"/>
  </si>
  <si>
    <t>　国内</t>
    <rPh sb="1" eb="3">
      <t>こくない</t>
    </rPh>
    <phoneticPr fontId="0" type="noConversion"/>
  </si>
  <si>
    <t>設備投資</t>
  </si>
  <si>
    <t>Capital expenditure</t>
  </si>
  <si>
    <t>営業キャッシュフロー</t>
  </si>
  <si>
    <t>Cash flow from operations</t>
  </si>
  <si>
    <t>その他営業キャッシュフロー項目</t>
  </si>
  <si>
    <t>Other operating cash flow items</t>
  </si>
  <si>
    <t>買入債務</t>
  </si>
  <si>
    <t>Accounts payable</t>
  </si>
  <si>
    <t>棚卸資産</t>
  </si>
  <si>
    <t>Inventory</t>
  </si>
  <si>
    <t>営業債権</t>
  </si>
  <si>
    <t>Accounts receivable</t>
  </si>
  <si>
    <t>運転資本の増減</t>
  </si>
  <si>
    <t>(Increase)/decrease in working capital :</t>
  </si>
  <si>
    <t>資産売却損益</t>
  </si>
  <si>
    <t>Net loss/(gain) on asset sales</t>
  </si>
  <si>
    <t>持分法利益</t>
  </si>
  <si>
    <t>Net income from associates and jointly controlled entities</t>
  </si>
  <si>
    <t>減価償却費</t>
  </si>
  <si>
    <t>Depreciation and amortization add-back</t>
  </si>
  <si>
    <t>少数株主持分</t>
  </si>
  <si>
    <t>Minority interest add-back</t>
  </si>
  <si>
    <t>優先株配当金前純利益</t>
  </si>
  <si>
    <t>Income pre-preferred share dividends</t>
  </si>
  <si>
    <t>キャッシュフロー計算書</t>
  </si>
  <si>
    <t>Cash flow statements</t>
  </si>
  <si>
    <t>ROE</t>
    <phoneticPr fontId="0" type="noConversion"/>
  </si>
  <si>
    <t>ネットデット</t>
  </si>
  <si>
    <t>有利子負債</t>
  </si>
  <si>
    <t>Interest-bearing debt</t>
  </si>
  <si>
    <t>運転資本(流動資産-流動負債)</t>
  </si>
  <si>
    <t>Net working capital</t>
  </si>
  <si>
    <t>BPS (円)</t>
  </si>
  <si>
    <t>Book value per share</t>
  </si>
  <si>
    <t>買入債務回転期間(月)</t>
  </si>
  <si>
    <t>Account paiable turnover (month)</t>
  </si>
  <si>
    <t>棚卸資産回転期間(月)</t>
  </si>
  <si>
    <t>Inventory turnover (month)</t>
  </si>
  <si>
    <t>売上債権回転期間(月)</t>
  </si>
  <si>
    <t>Account recievable turnover (month)</t>
  </si>
  <si>
    <t>社債</t>
  </si>
  <si>
    <t>Bonds</t>
  </si>
  <si>
    <t>長期借入金</t>
  </si>
  <si>
    <t>Long-term debt</t>
  </si>
  <si>
    <t>一年以内償還長期借入金</t>
  </si>
  <si>
    <t>Long-term debt (refund in 1 year)</t>
  </si>
  <si>
    <t>短期借入金</t>
  </si>
  <si>
    <t>Short-term debt</t>
  </si>
  <si>
    <t>Short-term debt and current portion of long-term debt</t>
  </si>
  <si>
    <t>投資有価証券</t>
  </si>
  <si>
    <t>Investments in Securities</t>
  </si>
  <si>
    <t>非連結子会社及び関連会社に対する有価証券および出資金</t>
  </si>
  <si>
    <t>Equity Method Investments</t>
  </si>
  <si>
    <t>投資・その他資産</t>
  </si>
  <si>
    <t>Total investments</t>
  </si>
  <si>
    <t>貸倒引当金</t>
  </si>
  <si>
    <t>Provision for doubtful debts</t>
  </si>
  <si>
    <t>受取手形及び売掛金</t>
  </si>
  <si>
    <t>Notes &amp; accounts receivable</t>
  </si>
  <si>
    <t>Net receivables</t>
  </si>
  <si>
    <t>貸借対照表その他情報</t>
  </si>
  <si>
    <t>Balance sheet assumptions and other calculations</t>
  </si>
  <si>
    <t>Check (TA=TL&amp;E)</t>
  </si>
  <si>
    <t>負債・純資産合計</t>
  </si>
  <si>
    <t>Total liabilities and equity</t>
  </si>
  <si>
    <t>純資産合計</t>
  </si>
  <si>
    <t>Total shareholders funds/equity</t>
  </si>
  <si>
    <t>Minority interest (balance sheet)</t>
  </si>
  <si>
    <t>株主資本合計他</t>
    <rPh sb="6" eb="7">
      <t>ほか</t>
    </rPh>
    <phoneticPr fontId="0" type="noConversion"/>
  </si>
  <si>
    <t>Total common equity</t>
  </si>
  <si>
    <t>その他普通株</t>
  </si>
  <si>
    <t>Other common equity</t>
  </si>
  <si>
    <t>利益剰余金他</t>
    <rPh sb="5" eb="6">
      <t>ほか</t>
    </rPh>
    <phoneticPr fontId="0" type="noConversion"/>
  </si>
  <si>
    <t>Retained earnings</t>
  </si>
  <si>
    <t>金庫株</t>
  </si>
  <si>
    <t>Treasury stock</t>
  </si>
  <si>
    <t>普通株</t>
  </si>
  <si>
    <t>Common stock (includes par value, capital surplus, and treasury)</t>
  </si>
  <si>
    <t>優先株</t>
  </si>
  <si>
    <t>Preferred shares</t>
  </si>
  <si>
    <t>負債合計</t>
  </si>
  <si>
    <t xml:space="preserve">Total liabilities   </t>
  </si>
  <si>
    <t>固定負債合計</t>
  </si>
  <si>
    <t>Total long-term liabilities</t>
  </si>
  <si>
    <t>その他固定負債</t>
  </si>
  <si>
    <t>Other long-term liabilities/creditors</t>
  </si>
  <si>
    <t>流動負債</t>
  </si>
  <si>
    <t>Current liabilities</t>
  </si>
  <si>
    <t>その他流動負債</t>
  </si>
  <si>
    <t>Other current liabilities</t>
  </si>
  <si>
    <t>資産</t>
  </si>
  <si>
    <t>Total assets</t>
  </si>
  <si>
    <t>その他長期資産</t>
  </si>
  <si>
    <t>Other long-term assets</t>
  </si>
  <si>
    <t>無形固定資産</t>
  </si>
  <si>
    <t>Net intangibles</t>
  </si>
  <si>
    <t>営業権等償却</t>
  </si>
  <si>
    <t>Accumulated amortization</t>
  </si>
  <si>
    <t>償却前無形固定資産</t>
  </si>
  <si>
    <t xml:space="preserve">Gross intangibles </t>
  </si>
  <si>
    <t>有形固定資産</t>
  </si>
  <si>
    <t>Net PP&amp;E/Fixed assets</t>
  </si>
  <si>
    <t>Less accumulated depreciation</t>
  </si>
  <si>
    <t>償却前有形固定資産</t>
  </si>
  <si>
    <t>Gross PP&amp;E/Fixed assets</t>
  </si>
  <si>
    <t>流動資産</t>
  </si>
  <si>
    <t>Current assets</t>
  </si>
  <si>
    <t>その他流動資産</t>
  </si>
  <si>
    <t>Other current assets</t>
  </si>
  <si>
    <t>Inventory/stocks</t>
  </si>
  <si>
    <t>現金・現金等価物</t>
  </si>
  <si>
    <t>Cash and equivalents</t>
  </si>
  <si>
    <t>貸借対照表</t>
  </si>
  <si>
    <t>Balance sheets</t>
  </si>
  <si>
    <t>その他</t>
  </si>
  <si>
    <t xml:space="preserve">Other </t>
  </si>
  <si>
    <t>償却費</t>
  </si>
  <si>
    <t>Depreciation</t>
  </si>
  <si>
    <t>人件費</t>
  </si>
  <si>
    <t>Personnel expense</t>
  </si>
  <si>
    <t>販売促進費</t>
  </si>
  <si>
    <t>Sales promotion</t>
  </si>
  <si>
    <t>広告費</t>
  </si>
  <si>
    <t>Advertisement</t>
  </si>
  <si>
    <t>物流費</t>
  </si>
  <si>
    <t>Distribution costs</t>
  </si>
  <si>
    <t>販管費</t>
  </si>
  <si>
    <t xml:space="preserve">SG&amp;A </t>
  </si>
  <si>
    <t>その他損益計算書前提</t>
  </si>
  <si>
    <t>Other income statement assumptions</t>
  </si>
  <si>
    <t>Minority interest</t>
  </si>
  <si>
    <t>当期純利益</t>
  </si>
  <si>
    <t>Net margins</t>
  </si>
  <si>
    <t>法人税等</t>
  </si>
  <si>
    <t>Tax rate (as a % of EBT excluding associates)</t>
  </si>
  <si>
    <t>税引前利益</t>
  </si>
  <si>
    <t>Pre-tax margin</t>
  </si>
  <si>
    <t>営業利益</t>
  </si>
  <si>
    <t>EBIT margin</t>
  </si>
  <si>
    <t>粗利益</t>
  </si>
  <si>
    <t>Gross margins</t>
  </si>
  <si>
    <t>その他営業費用</t>
  </si>
  <si>
    <t>Other operating expense</t>
  </si>
  <si>
    <t>Others</t>
  </si>
  <si>
    <t>売上原価</t>
  </si>
  <si>
    <t>COGS (wages and staff welfare)</t>
  </si>
  <si>
    <t>営業費用</t>
  </si>
  <si>
    <t>Operating expense</t>
  </si>
  <si>
    <t>対売上高構成比</t>
  </si>
  <si>
    <t>% of sales</t>
  </si>
  <si>
    <t>マージンと成長性の分析</t>
  </si>
  <si>
    <t>Margin and growth analysis</t>
  </si>
  <si>
    <t>期末発行済株数</t>
  </si>
  <si>
    <t>Period end shares outstanding (mn)</t>
  </si>
  <si>
    <t>希薄化考慮後発行済株数</t>
  </si>
  <si>
    <t>Fully diluted shares outstanding (mn)</t>
  </si>
  <si>
    <t>自己株式</t>
  </si>
  <si>
    <t>発行済株数（平均）</t>
  </si>
  <si>
    <t>Weighted avg. adj. shares outstanding (mn)</t>
  </si>
  <si>
    <t>配当性向</t>
    <rPh sb="0" eb="2">
      <t>はいとう</t>
    </rPh>
    <rPh sb="2" eb="4">
      <t>せいこう</t>
    </rPh>
    <phoneticPr fontId="0" type="noConversion"/>
  </si>
  <si>
    <t>Dividends per share</t>
  </si>
  <si>
    <t>普通株配当金</t>
  </si>
  <si>
    <t>Common dividends declared</t>
  </si>
  <si>
    <t>完全希薄化後EPS（円）</t>
  </si>
  <si>
    <t>EPS - fully diluted</t>
  </si>
  <si>
    <t>連結EPS(円)</t>
  </si>
  <si>
    <t>EPS - basic</t>
  </si>
  <si>
    <t>yoy %</t>
  </si>
  <si>
    <t>Net income</t>
  </si>
  <si>
    <t>特別損益</t>
  </si>
  <si>
    <t>Extraordinary gain/(loss)</t>
  </si>
  <si>
    <t>優先株配当金</t>
  </si>
  <si>
    <t>Preferred dividends</t>
  </si>
  <si>
    <t>　実効税率</t>
    <rPh sb="1" eb="3">
      <t>じっこう</t>
    </rPh>
    <rPh sb="3" eb="5">
      <t>ぜいりつ</t>
    </rPh>
    <phoneticPr fontId="0" type="noConversion"/>
  </si>
  <si>
    <t>Income taxes</t>
  </si>
  <si>
    <t>Pre-tax profit (income before tax)</t>
  </si>
  <si>
    <t>特別損失</t>
  </si>
  <si>
    <t>Extraordinary Expense (Japan)</t>
  </si>
  <si>
    <t>特別利益</t>
  </si>
  <si>
    <t>Extraordinary Income (Japan)</t>
  </si>
  <si>
    <t>経常利益</t>
  </si>
  <si>
    <t>Recurring profit</t>
  </si>
  <si>
    <t>営業外損益</t>
  </si>
  <si>
    <t>Non-operating income/(loss)</t>
  </si>
  <si>
    <t>その他営業外収支</t>
  </si>
  <si>
    <t>Other non-operating income/expense</t>
  </si>
  <si>
    <t>持分法投資損益</t>
  </si>
  <si>
    <t>Net income from associates</t>
  </si>
  <si>
    <t>JV収益</t>
  </si>
  <si>
    <t>Share of results in jointly controlled entities</t>
  </si>
  <si>
    <t>為替差損益</t>
  </si>
  <si>
    <t>Foreign exchange gain/(loss)</t>
  </si>
  <si>
    <t>資産処分損益（税引前）</t>
  </si>
  <si>
    <t>Profit/loss on disposal of assets (pre-tax)</t>
  </si>
  <si>
    <t>利息収支</t>
    <phoneticPr fontId="0" type="noConversion"/>
  </si>
  <si>
    <t>Net interest income/expense</t>
  </si>
  <si>
    <t>　　利回り</t>
    <rPh sb="2" eb="4">
      <t>りまわ</t>
    </rPh>
    <phoneticPr fontId="0" type="noConversion"/>
  </si>
  <si>
    <t>支払利息</t>
  </si>
  <si>
    <t>Interest expense</t>
  </si>
  <si>
    <t>受取利息</t>
  </si>
  <si>
    <t>Interest income</t>
  </si>
  <si>
    <t>Distribution, personnel, and other costs</t>
  </si>
  <si>
    <t>運賃･物流･人件費他</t>
  </si>
  <si>
    <t>減価償却</t>
  </si>
  <si>
    <t>Marketing costs</t>
  </si>
  <si>
    <t>マーケティング費</t>
  </si>
  <si>
    <t>Kanebo cosmetics consolidation</t>
  </si>
  <si>
    <t>カネボウ化粧品連結</t>
  </si>
  <si>
    <t>Cost reduction</t>
  </si>
  <si>
    <t>コスト削減</t>
  </si>
  <si>
    <t>Materials cost</t>
  </si>
  <si>
    <t>原材料価格</t>
  </si>
  <si>
    <t>実質値上げ</t>
  </si>
  <si>
    <t>Increase/decrease in sales</t>
  </si>
  <si>
    <t>増収効果</t>
  </si>
  <si>
    <t>Total</t>
  </si>
  <si>
    <t>トータル</t>
  </si>
  <si>
    <t>Increase/decrease in op. profits</t>
  </si>
  <si>
    <t>増減分析</t>
  </si>
  <si>
    <t>EBIT  (operating profit)</t>
  </si>
  <si>
    <t>Amortization</t>
  </si>
  <si>
    <t>　　償却率</t>
    <rPh sb="2" eb="5">
      <t>しょうきゃくりつ</t>
    </rPh>
    <phoneticPr fontId="0" type="noConversion"/>
  </si>
  <si>
    <t>営業費用合計</t>
  </si>
  <si>
    <t>Total operating expense</t>
  </si>
  <si>
    <t>Other operating income/(expense)</t>
  </si>
  <si>
    <t>Gross profit</t>
  </si>
  <si>
    <t>売上原価合計</t>
  </si>
  <si>
    <t>Total COGS</t>
  </si>
  <si>
    <t>COGS</t>
  </si>
  <si>
    <t>売上高</t>
  </si>
  <si>
    <t>Total sales/revenues</t>
  </si>
  <si>
    <t>損益計算書</t>
  </si>
  <si>
    <t>Income statements</t>
  </si>
  <si>
    <t>コンセンサスとの乖離</t>
  </si>
  <si>
    <t>Variance from consensus (%)</t>
  </si>
  <si>
    <t>コンセンサス予想</t>
  </si>
  <si>
    <t>Consensus estimates</t>
  </si>
  <si>
    <t>前年比伸び率</t>
  </si>
  <si>
    <t>EPS （円）</t>
  </si>
  <si>
    <t>FY3/2016</t>
  </si>
  <si>
    <t>FY3/2014</t>
  </si>
  <si>
    <t>Target</t>
  </si>
  <si>
    <t>FOREX(Yen/USD)</t>
  </si>
  <si>
    <t>Operating profits</t>
    <phoneticPr fontId="61"/>
  </si>
  <si>
    <t>Sales</t>
    <phoneticPr fontId="61"/>
  </si>
  <si>
    <t>(mil. Yen)</t>
    <phoneticPr fontId="61"/>
  </si>
  <si>
    <t xml:space="preserve">   OP margin</t>
    <phoneticPr fontId="61"/>
  </si>
  <si>
    <t xml:space="preserve">  YoY</t>
    <phoneticPr fontId="61"/>
  </si>
  <si>
    <t xml:space="preserve">  Mexico</t>
    <phoneticPr fontId="61"/>
  </si>
  <si>
    <t xml:space="preserve">  USA</t>
    <phoneticPr fontId="61"/>
  </si>
  <si>
    <t xml:space="preserve">  out of sales</t>
    <phoneticPr fontId="61"/>
  </si>
  <si>
    <t>Operating profits(Thous.USD)</t>
    <phoneticPr fontId="61"/>
  </si>
  <si>
    <t>SGA(Thous.USD)</t>
    <phoneticPr fontId="61"/>
  </si>
  <si>
    <t xml:space="preserve">   Other raw materials(mil. USD)</t>
    <phoneticPr fontId="61"/>
  </si>
  <si>
    <t xml:space="preserve">   Margin</t>
    <phoneticPr fontId="61"/>
  </si>
  <si>
    <t xml:space="preserve">   Unit price(USD/tonne)</t>
    <phoneticPr fontId="61"/>
  </si>
  <si>
    <t xml:space="preserve">   Toyo's palm oil consumption(tonne)</t>
    <phoneticPr fontId="61"/>
  </si>
  <si>
    <t>&lt;Total&gt;</t>
    <phoneticPr fontId="61"/>
  </si>
  <si>
    <t xml:space="preserve">   market scale</t>
    <phoneticPr fontId="61"/>
  </si>
  <si>
    <t xml:space="preserve">   Palm oil consumption(tonne)</t>
    <phoneticPr fontId="61"/>
  </si>
  <si>
    <t>&lt;Mexico market&gt;</t>
    <phoneticPr fontId="61"/>
  </si>
  <si>
    <t xml:space="preserve">   market share</t>
    <phoneticPr fontId="61"/>
  </si>
  <si>
    <t>&lt;US market&gt;</t>
    <phoneticPr fontId="61"/>
  </si>
  <si>
    <t xml:space="preserve">      consumption volume/package(g/package)</t>
    <phoneticPr fontId="61"/>
  </si>
  <si>
    <t xml:space="preserve">   Palm oil consumption(mil. USD)</t>
    <phoneticPr fontId="61"/>
  </si>
  <si>
    <t xml:space="preserve">   Unit price(USD/bushell(27.216kg))</t>
    <phoneticPr fontId="61"/>
  </si>
  <si>
    <t xml:space="preserve">   Toyo's Flour consumption(tonne)</t>
    <phoneticPr fontId="61"/>
  </si>
  <si>
    <t xml:space="preserve">   Flour consumption(tonne)</t>
    <phoneticPr fontId="61"/>
  </si>
  <si>
    <t xml:space="preserve">   market scale(mil.package)</t>
    <phoneticPr fontId="61"/>
  </si>
  <si>
    <t xml:space="preserve">        YoY</t>
    <phoneticPr fontId="61"/>
  </si>
  <si>
    <t xml:space="preserve">   Flour consumption(mil. USD)</t>
    <phoneticPr fontId="61"/>
  </si>
  <si>
    <t>Raw material cost</t>
    <phoneticPr fontId="61"/>
  </si>
  <si>
    <t xml:space="preserve">    Others(promotion, price cut, etc)</t>
    <phoneticPr fontId="61"/>
  </si>
  <si>
    <t xml:space="preserve">    Raw material cost</t>
    <phoneticPr fontId="61"/>
  </si>
  <si>
    <t xml:space="preserve">    Price impact</t>
    <phoneticPr fontId="61"/>
  </si>
  <si>
    <t xml:space="preserve">       Marginal profit ratio</t>
    <phoneticPr fontId="61"/>
  </si>
  <si>
    <t xml:space="preserve">    Volume impact</t>
    <phoneticPr fontId="61"/>
  </si>
  <si>
    <t>Gross Profit</t>
    <phoneticPr fontId="61"/>
  </si>
  <si>
    <t>COGS</t>
    <phoneticPr fontId="61"/>
  </si>
  <si>
    <t>Mexico business</t>
    <phoneticPr fontId="61"/>
  </si>
  <si>
    <t>US Business</t>
    <phoneticPr fontId="61"/>
  </si>
  <si>
    <t xml:space="preserve">  Price(USD/Package)</t>
    <phoneticPr fontId="61"/>
  </si>
  <si>
    <t xml:space="preserve">  Volume(mil. Package)</t>
    <phoneticPr fontId="61"/>
  </si>
  <si>
    <t>Assumption</t>
    <phoneticPr fontId="61"/>
  </si>
  <si>
    <t xml:space="preserve">  Price</t>
    <phoneticPr fontId="61"/>
  </si>
  <si>
    <t xml:space="preserve">  Volume</t>
    <phoneticPr fontId="61"/>
  </si>
  <si>
    <t xml:space="preserve"> </t>
    <phoneticPr fontId="61"/>
  </si>
  <si>
    <t xml:space="preserve">  Volume YoY</t>
    <phoneticPr fontId="61"/>
  </si>
  <si>
    <t>Sales</t>
    <phoneticPr fontId="61"/>
  </si>
  <si>
    <t>A</t>
    <phoneticPr fontId="61"/>
  </si>
  <si>
    <t>FY2016</t>
  </si>
  <si>
    <t>FY2015</t>
  </si>
  <si>
    <t>FY2014</t>
  </si>
  <si>
    <t>FY2013</t>
  </si>
  <si>
    <t>FY2012</t>
    <phoneticPr fontId="61"/>
  </si>
  <si>
    <t>2H/FY12</t>
    <phoneticPr fontId="61"/>
  </si>
  <si>
    <t>1H/FY12</t>
    <phoneticPr fontId="61"/>
  </si>
  <si>
    <t>FY2011</t>
  </si>
  <si>
    <t>2H/FY11</t>
    <phoneticPr fontId="61"/>
  </si>
  <si>
    <t>1H/FY11</t>
    <phoneticPr fontId="61"/>
  </si>
  <si>
    <t>FY2010</t>
  </si>
  <si>
    <t>2H/FY10</t>
    <phoneticPr fontId="61"/>
  </si>
  <si>
    <t>1H/FY10</t>
    <phoneticPr fontId="61"/>
  </si>
  <si>
    <t>FY2009</t>
  </si>
  <si>
    <t>FY2008</t>
  </si>
  <si>
    <t>FY2007</t>
  </si>
  <si>
    <t>FY2006</t>
  </si>
  <si>
    <t>FY2005</t>
  </si>
  <si>
    <t>FY2004</t>
  </si>
  <si>
    <t>FY2003</t>
    <phoneticPr fontId="61"/>
  </si>
  <si>
    <t>FY2002</t>
    <phoneticPr fontId="61"/>
  </si>
  <si>
    <t>(thous. USD)</t>
    <phoneticPr fontId="61"/>
  </si>
  <si>
    <t>　投有評価損</t>
    <rPh sb="1" eb="2">
      <t>トウ</t>
    </rPh>
    <rPh sb="2" eb="3">
      <t>ユウ</t>
    </rPh>
    <rPh sb="3" eb="5">
      <t>ヒョウカ</t>
    </rPh>
    <rPh sb="5" eb="6">
      <t>ソン</t>
    </rPh>
    <phoneticPr fontId="0"/>
  </si>
  <si>
    <t>　投有売却損</t>
    <rPh sb="1" eb="2">
      <t>トウ</t>
    </rPh>
    <rPh sb="2" eb="3">
      <t>ユウ</t>
    </rPh>
    <rPh sb="3" eb="5">
      <t>バイキャク</t>
    </rPh>
    <rPh sb="5" eb="6">
      <t>ゾン</t>
    </rPh>
    <phoneticPr fontId="0"/>
  </si>
  <si>
    <t>　固定資産除却損</t>
    <rPh sb="1" eb="3">
      <t>コテイ</t>
    </rPh>
    <rPh sb="3" eb="5">
      <t>シサン</t>
    </rPh>
    <rPh sb="5" eb="6">
      <t>ジョ</t>
    </rPh>
    <rPh sb="6" eb="7">
      <t>キャク</t>
    </rPh>
    <rPh sb="7" eb="8">
      <t>ソン</t>
    </rPh>
    <phoneticPr fontId="0"/>
  </si>
  <si>
    <t>　固定資産売却損</t>
    <rPh sb="1" eb="3">
      <t>コテイ</t>
    </rPh>
    <rPh sb="3" eb="5">
      <t>シサン</t>
    </rPh>
    <rPh sb="5" eb="7">
      <t>バイキャク</t>
    </rPh>
    <rPh sb="7" eb="8">
      <t>ソン</t>
    </rPh>
    <phoneticPr fontId="0"/>
  </si>
  <si>
    <t>特別損失</t>
    <rPh sb="0" eb="2">
      <t>トクベツ</t>
    </rPh>
    <rPh sb="2" eb="4">
      <t>ソンシツ</t>
    </rPh>
    <phoneticPr fontId="0"/>
  </si>
  <si>
    <t>　投有評価益</t>
    <rPh sb="1" eb="2">
      <t>トウ</t>
    </rPh>
    <rPh sb="2" eb="3">
      <t>ユウ</t>
    </rPh>
    <rPh sb="3" eb="6">
      <t>ヒョウカエキ</t>
    </rPh>
    <phoneticPr fontId="0"/>
  </si>
  <si>
    <t>　投有売却益</t>
    <rPh sb="1" eb="2">
      <t>トウ</t>
    </rPh>
    <rPh sb="2" eb="3">
      <t>ユウ</t>
    </rPh>
    <rPh sb="3" eb="6">
      <t>バイキャクエキ</t>
    </rPh>
    <phoneticPr fontId="0"/>
  </si>
  <si>
    <t>　固定資産売却益(含評価益)</t>
    <rPh sb="1" eb="3">
      <t>コテイ</t>
    </rPh>
    <rPh sb="3" eb="5">
      <t>シサン</t>
    </rPh>
    <rPh sb="9" eb="10">
      <t>フク</t>
    </rPh>
    <rPh sb="10" eb="13">
      <t>ヒョウカエキ</t>
    </rPh>
    <phoneticPr fontId="0"/>
  </si>
  <si>
    <t>特別利益</t>
    <rPh sb="0" eb="2">
      <t>トクベツ</t>
    </rPh>
    <rPh sb="2" eb="4">
      <t>リエキ</t>
    </rPh>
    <phoneticPr fontId="0"/>
  </si>
  <si>
    <t>　固定資産評価益</t>
    <rPh sb="1" eb="3">
      <t>コテイ</t>
    </rPh>
    <rPh sb="3" eb="5">
      <t>シサン</t>
    </rPh>
    <rPh sb="5" eb="7">
      <t>ヒョウカ</t>
    </rPh>
    <phoneticPr fontId="0"/>
  </si>
  <si>
    <t>　固定資産売却益</t>
    <rPh sb="1" eb="3">
      <t>コテイ</t>
    </rPh>
    <rPh sb="3" eb="5">
      <t>シサン</t>
    </rPh>
    <phoneticPr fontId="0"/>
  </si>
  <si>
    <t>営業外費用</t>
    <rPh sb="0" eb="3">
      <t>エイギョウガイ</t>
    </rPh>
    <rPh sb="3" eb="5">
      <t>ヒヨウ</t>
    </rPh>
    <phoneticPr fontId="0"/>
  </si>
  <si>
    <t>　受取配当金</t>
    <rPh sb="1" eb="3">
      <t>ウケトリ</t>
    </rPh>
    <rPh sb="3" eb="6">
      <t>ハイトウキン</t>
    </rPh>
    <phoneticPr fontId="0"/>
  </si>
  <si>
    <t>　有価証券利息</t>
    <rPh sb="1" eb="3">
      <t>ユウカ</t>
    </rPh>
    <rPh sb="3" eb="5">
      <t>ショウケン</t>
    </rPh>
    <rPh sb="5" eb="7">
      <t>リソク</t>
    </rPh>
    <phoneticPr fontId="0"/>
  </si>
  <si>
    <t>　受取利息</t>
    <rPh sb="1" eb="3">
      <t>ウケトリ</t>
    </rPh>
    <rPh sb="3" eb="5">
      <t>リソク</t>
    </rPh>
    <phoneticPr fontId="0"/>
  </si>
  <si>
    <t>営業外収益</t>
    <rPh sb="0" eb="3">
      <t>エイギョウガイ</t>
    </rPh>
    <rPh sb="3" eb="5">
      <t>シュウエキ</t>
    </rPh>
    <phoneticPr fontId="0"/>
  </si>
  <si>
    <t>研究開発費</t>
    <rPh sb="0" eb="2">
      <t>ケンキュウ</t>
    </rPh>
    <rPh sb="2" eb="5">
      <t>カイハツヒ</t>
    </rPh>
    <phoneticPr fontId="0"/>
  </si>
  <si>
    <t>その他Quantumに必要な項目</t>
    <rPh sb="2" eb="3">
      <t>ホカ</t>
    </rPh>
    <rPh sb="11" eb="13">
      <t>ヒツヨウ</t>
    </rPh>
    <rPh sb="14" eb="16">
      <t>コウモク</t>
    </rPh>
    <phoneticPr fontId="0"/>
  </si>
  <si>
    <t>ROIC/WACC</t>
    <phoneticPr fontId="0"/>
  </si>
  <si>
    <t>EV/IC</t>
    <phoneticPr fontId="0"/>
  </si>
  <si>
    <t>WACC</t>
    <phoneticPr fontId="0"/>
  </si>
  <si>
    <t>営業利益</t>
    <rPh sb="0" eb="2">
      <t>エイギョウ</t>
    </rPh>
    <rPh sb="2" eb="4">
      <t>リエキ</t>
    </rPh>
    <phoneticPr fontId="0"/>
  </si>
  <si>
    <t>インプライド</t>
    <phoneticPr fontId="0"/>
  </si>
  <si>
    <t>株式数</t>
    <rPh sb="0" eb="3">
      <t>カブシキスウ</t>
    </rPh>
    <phoneticPr fontId="0"/>
  </si>
  <si>
    <t>金利(支払利息割引料／有利子負債)</t>
    <rPh sb="0" eb="2">
      <t>キンリ</t>
    </rPh>
    <rPh sb="3" eb="7">
      <t>シハライリソク</t>
    </rPh>
    <rPh sb="7" eb="9">
      <t>ワリビキ</t>
    </rPh>
    <rPh sb="9" eb="10">
      <t>リョウ</t>
    </rPh>
    <rPh sb="11" eb="14">
      <t>ユウリシ</t>
    </rPh>
    <rPh sb="14" eb="16">
      <t>フサイ</t>
    </rPh>
    <phoneticPr fontId="0"/>
  </si>
  <si>
    <t>有利子負債（期中平均）</t>
    <rPh sb="0" eb="3">
      <t>ユウリシ</t>
    </rPh>
    <rPh sb="3" eb="5">
      <t>フサイ</t>
    </rPh>
    <rPh sb="6" eb="8">
      <t>キチュウ</t>
    </rPh>
    <rPh sb="8" eb="10">
      <t>ヘイキン</t>
    </rPh>
    <phoneticPr fontId="0"/>
  </si>
  <si>
    <t>支払利息割引料</t>
    <rPh sb="0" eb="4">
      <t>シハライリソク</t>
    </rPh>
    <rPh sb="4" eb="6">
      <t>ワリビキ</t>
    </rPh>
    <rPh sb="6" eb="7">
      <t>リョウ</t>
    </rPh>
    <phoneticPr fontId="0"/>
  </si>
  <si>
    <t>リスクフリーレート</t>
    <phoneticPr fontId="0"/>
  </si>
  <si>
    <t>リスクプレミアム</t>
    <phoneticPr fontId="0"/>
  </si>
  <si>
    <t>時価総額ウエイト</t>
    <rPh sb="0" eb="4">
      <t>ジカソウガク</t>
    </rPh>
    <phoneticPr fontId="0"/>
  </si>
  <si>
    <t>β</t>
    <phoneticPr fontId="0"/>
  </si>
  <si>
    <t>金利</t>
    <rPh sb="0" eb="2">
      <t>キンリ</t>
    </rPh>
    <phoneticPr fontId="0"/>
  </si>
  <si>
    <t>EV</t>
    <phoneticPr fontId="0"/>
  </si>
  <si>
    <t>FGV</t>
    <phoneticPr fontId="0"/>
  </si>
  <si>
    <t>COV</t>
    <phoneticPr fontId="0"/>
  </si>
  <si>
    <t>EVA</t>
    <phoneticPr fontId="0"/>
  </si>
  <si>
    <t>平均株価との乖離　(事業価値)</t>
    <rPh sb="0" eb="2">
      <t>ヘイキン</t>
    </rPh>
    <rPh sb="2" eb="4">
      <t>カブカ</t>
    </rPh>
    <rPh sb="6" eb="8">
      <t>カイリ</t>
    </rPh>
    <rPh sb="10" eb="12">
      <t>ジギョウ</t>
    </rPh>
    <rPh sb="12" eb="14">
      <t>カチ</t>
    </rPh>
    <phoneticPr fontId="0"/>
  </si>
  <si>
    <t>平均株価との乖離</t>
    <rPh sb="0" eb="2">
      <t>ヘイキン</t>
    </rPh>
    <rPh sb="2" eb="4">
      <t>カブカ</t>
    </rPh>
    <rPh sb="6" eb="8">
      <t>カイリ</t>
    </rPh>
    <phoneticPr fontId="0"/>
  </si>
  <si>
    <t>YOY(%)</t>
    <phoneticPr fontId="0"/>
  </si>
  <si>
    <t>妥当株価</t>
    <rPh sb="0" eb="2">
      <t>ダトウ</t>
    </rPh>
    <rPh sb="2" eb="4">
      <t>カブカ</t>
    </rPh>
    <phoneticPr fontId="0"/>
  </si>
  <si>
    <t>妥当株価　(キャッシュ価値）</t>
    <rPh sb="0" eb="2">
      <t>ダトウ</t>
    </rPh>
    <rPh sb="2" eb="4">
      <t>カブカ</t>
    </rPh>
    <rPh sb="11" eb="13">
      <t>カチ</t>
    </rPh>
    <phoneticPr fontId="0"/>
  </si>
  <si>
    <t>妥当株価　(事業価値）</t>
    <rPh sb="0" eb="2">
      <t>ダトウ</t>
    </rPh>
    <rPh sb="2" eb="4">
      <t>カブカ</t>
    </rPh>
    <rPh sb="6" eb="8">
      <t>ジギョウ</t>
    </rPh>
    <rPh sb="8" eb="10">
      <t>カチ</t>
    </rPh>
    <phoneticPr fontId="0"/>
  </si>
  <si>
    <t>PBR(平均)</t>
    <rPh sb="4" eb="6">
      <t>ヘイキン</t>
    </rPh>
    <phoneticPr fontId="0"/>
  </si>
  <si>
    <t>PBR(最低)</t>
    <rPh sb="4" eb="6">
      <t>サイテイ</t>
    </rPh>
    <phoneticPr fontId="0"/>
  </si>
  <si>
    <t>PBR(最高)</t>
    <rPh sb="4" eb="6">
      <t>サイコウ</t>
    </rPh>
    <phoneticPr fontId="0"/>
  </si>
  <si>
    <t>BPS</t>
    <phoneticPr fontId="0"/>
  </si>
  <si>
    <t>PER(平均)</t>
    <rPh sb="4" eb="6">
      <t>ヘイキン</t>
    </rPh>
    <phoneticPr fontId="0"/>
  </si>
  <si>
    <t>PER(最低)</t>
    <rPh sb="4" eb="6">
      <t>サイテイ</t>
    </rPh>
    <phoneticPr fontId="0"/>
  </si>
  <si>
    <t>PER(最高)</t>
    <rPh sb="4" eb="5">
      <t>サイ</t>
    </rPh>
    <rPh sb="5" eb="6">
      <t>コウ</t>
    </rPh>
    <phoneticPr fontId="0"/>
  </si>
  <si>
    <t>EV/EBITDA(平均)</t>
    <rPh sb="10" eb="12">
      <t>ヘイキン</t>
    </rPh>
    <phoneticPr fontId="0"/>
  </si>
  <si>
    <t>EV/EBITDA(最低)</t>
    <rPh sb="10" eb="12">
      <t>サイテイ</t>
    </rPh>
    <phoneticPr fontId="0"/>
  </si>
  <si>
    <t>EV/EBITDA(最高)</t>
    <rPh sb="10" eb="12">
      <t>サイコウ</t>
    </rPh>
    <phoneticPr fontId="0"/>
  </si>
  <si>
    <t>EV(平均)</t>
    <rPh sb="3" eb="5">
      <t>ヘイキン</t>
    </rPh>
    <phoneticPr fontId="0"/>
  </si>
  <si>
    <t>EV(最低)</t>
    <rPh sb="3" eb="5">
      <t>サイテイ</t>
    </rPh>
    <phoneticPr fontId="0"/>
  </si>
  <si>
    <t>EV(最高)</t>
    <rPh sb="3" eb="5">
      <t>サイコウ</t>
    </rPh>
    <phoneticPr fontId="0"/>
  </si>
  <si>
    <t>ネット負債</t>
    <rPh sb="3" eb="5">
      <t>フサイ</t>
    </rPh>
    <phoneticPr fontId="0"/>
  </si>
  <si>
    <t>時価総額(平均)</t>
    <rPh sb="0" eb="4">
      <t>ジカソウガク</t>
    </rPh>
    <rPh sb="5" eb="7">
      <t>ヘイキン</t>
    </rPh>
    <phoneticPr fontId="0"/>
  </si>
  <si>
    <t>時価総額(最低)</t>
    <rPh sb="0" eb="4">
      <t>ジカソウガク</t>
    </rPh>
    <rPh sb="5" eb="7">
      <t>サイテイ</t>
    </rPh>
    <phoneticPr fontId="0"/>
  </si>
  <si>
    <t>時価総額(最高)</t>
    <rPh sb="0" eb="4">
      <t>ジカソウガク</t>
    </rPh>
    <rPh sb="5" eb="6">
      <t>サイコウ</t>
    </rPh>
    <rPh sb="6" eb="7">
      <t>コウ</t>
    </rPh>
    <phoneticPr fontId="0"/>
  </si>
  <si>
    <t>株価(平均)</t>
    <rPh sb="0" eb="2">
      <t>カブカ</t>
    </rPh>
    <rPh sb="3" eb="5">
      <t>ヘイキン</t>
    </rPh>
    <phoneticPr fontId="0"/>
  </si>
  <si>
    <t>株価(最低)</t>
    <rPh sb="0" eb="2">
      <t>カブカ</t>
    </rPh>
    <rPh sb="3" eb="5">
      <t>サイテイ</t>
    </rPh>
    <phoneticPr fontId="0"/>
  </si>
  <si>
    <t>株価(最高)</t>
    <rPh sb="0" eb="2">
      <t>カブカ</t>
    </rPh>
    <rPh sb="3" eb="5">
      <t>サイコウ</t>
    </rPh>
    <phoneticPr fontId="0"/>
  </si>
  <si>
    <t>合計</t>
  </si>
  <si>
    <t>冷蔵事業</t>
  </si>
  <si>
    <t>加工食品事業</t>
  </si>
  <si>
    <t>低温食品事業</t>
  </si>
  <si>
    <t>国内即席麺事業</t>
  </si>
  <si>
    <t>海外即席麺事業</t>
  </si>
  <si>
    <t>水産食品事業</t>
  </si>
  <si>
    <t>部門別営業利益</t>
  </si>
  <si>
    <t>部門別売上</t>
  </si>
  <si>
    <t>推定営業利益</t>
    <rPh sb="0" eb="2">
      <t>スイテイ</t>
    </rPh>
    <phoneticPr fontId="0"/>
  </si>
  <si>
    <t>その他費用</t>
  </si>
  <si>
    <t xml:space="preserve">      その他</t>
  </si>
  <si>
    <t xml:space="preserve">  うち減価償却費</t>
  </si>
  <si>
    <t>倉庫費用</t>
  </si>
  <si>
    <t>冷蔵庫事業採算</t>
  </si>
  <si>
    <t>調整額</t>
  </si>
  <si>
    <t xml:space="preserve">  </t>
  </si>
  <si>
    <t>不動産賃貸</t>
  </si>
  <si>
    <t>冷蔵庫</t>
  </si>
  <si>
    <t>加工食品(全社関連費用）</t>
  </si>
  <si>
    <t>魚介類</t>
  </si>
  <si>
    <t>推定部門別営業利益率</t>
    <rPh sb="9" eb="10">
      <t>リツ</t>
    </rPh>
    <phoneticPr fontId="0"/>
  </si>
  <si>
    <t>NA</t>
    <phoneticPr fontId="0"/>
  </si>
  <si>
    <t>推定部門別営業利益</t>
  </si>
  <si>
    <t>--</t>
    <phoneticPr fontId="0"/>
  </si>
  <si>
    <t>④ 不動産賃貸</t>
  </si>
  <si>
    <t>③ 冷蔵庫</t>
  </si>
  <si>
    <t>NM</t>
  </si>
  <si>
    <t xml:space="preserve">     包装米飯</t>
  </si>
  <si>
    <t xml:space="preserve">  その他</t>
  </si>
  <si>
    <t xml:space="preserve">  チルド食品</t>
  </si>
  <si>
    <t xml:space="preserve">  冷凍食品</t>
  </si>
  <si>
    <t xml:space="preserve">  生麺</t>
  </si>
  <si>
    <t>上に含む</t>
    <rPh sb="0" eb="1">
      <t>ウエ</t>
    </rPh>
    <rPh sb="2" eb="3">
      <t>フク</t>
    </rPh>
    <phoneticPr fontId="0"/>
  </si>
  <si>
    <t xml:space="preserve">     ワンタン</t>
  </si>
  <si>
    <t xml:space="preserve">     カップ麺</t>
  </si>
  <si>
    <t xml:space="preserve">     袋麺</t>
  </si>
  <si>
    <t xml:space="preserve">  即席麺</t>
  </si>
  <si>
    <t>② 加工食品</t>
  </si>
  <si>
    <t>① 魚介類</t>
  </si>
  <si>
    <t>部門別売上高</t>
  </si>
  <si>
    <t>当期利益</t>
  </si>
  <si>
    <t>前年比</t>
  </si>
  <si>
    <t>実効税率</t>
  </si>
  <si>
    <t>販促費</t>
    <rPh sb="0" eb="2">
      <t>ハンソク</t>
    </rPh>
    <rPh sb="2" eb="3">
      <t>ヒ</t>
    </rPh>
    <phoneticPr fontId="0"/>
  </si>
  <si>
    <t>粗利</t>
  </si>
  <si>
    <t>売上高比率</t>
  </si>
  <si>
    <t>BPS(円)</t>
  </si>
  <si>
    <t>一株当たりｷｬｯｼｭﾌﾛｰ(円)</t>
  </si>
  <si>
    <t>配当性向(%)</t>
  </si>
  <si>
    <t>一株当たり配当金(円)</t>
  </si>
  <si>
    <t>－</t>
  </si>
  <si>
    <t>(完全希薄化後)</t>
  </si>
  <si>
    <t>EPS(円)</t>
  </si>
  <si>
    <t>発行済株式数(千株)</t>
  </si>
  <si>
    <t>一株当たり指標</t>
  </si>
  <si>
    <t>EBITDA/売上高 (%)</t>
  </si>
  <si>
    <t>税金等調整前当期利益</t>
  </si>
  <si>
    <t>その他営業外収益</t>
  </si>
  <si>
    <t>金融収支</t>
  </si>
  <si>
    <t>広告宣伝費</t>
  </si>
  <si>
    <t>販売費・一般管理費</t>
  </si>
  <si>
    <t>売上総利益</t>
  </si>
  <si>
    <t>(単位：百万円）</t>
  </si>
  <si>
    <t>単独損益計算書</t>
  </si>
  <si>
    <t>Parent-Basis</t>
  </si>
  <si>
    <t>決算期</t>
  </si>
  <si>
    <t>メキシコ単価（推定）</t>
    <rPh sb="4" eb="6">
      <t>タンカ</t>
    </rPh>
    <rPh sb="7" eb="9">
      <t>スイテイ</t>
    </rPh>
    <phoneticPr fontId="0"/>
  </si>
  <si>
    <t>アメリカ単価（推定）</t>
    <rPh sb="4" eb="6">
      <t>タンカ</t>
    </rPh>
    <rPh sb="7" eb="9">
      <t>スイテイ</t>
    </rPh>
    <phoneticPr fontId="0"/>
  </si>
  <si>
    <t>メキシコ数量</t>
    <rPh sb="4" eb="6">
      <t>スウリョウ</t>
    </rPh>
    <phoneticPr fontId="0"/>
  </si>
  <si>
    <t>アメリカ数量</t>
    <rPh sb="4" eb="6">
      <t>スウリョウ</t>
    </rPh>
    <phoneticPr fontId="0"/>
  </si>
  <si>
    <t>Maruchan Inc.</t>
    <phoneticPr fontId="0"/>
  </si>
  <si>
    <t>営業利益率</t>
    <rPh sb="0" eb="2">
      <t>エイギョウ</t>
    </rPh>
    <rPh sb="2" eb="4">
      <t>リエキ</t>
    </rPh>
    <rPh sb="4" eb="5">
      <t>リツ</t>
    </rPh>
    <phoneticPr fontId="0"/>
  </si>
  <si>
    <t>販促費比率</t>
    <rPh sb="0" eb="2">
      <t>ハンソク</t>
    </rPh>
    <rPh sb="2" eb="3">
      <t>ヒ</t>
    </rPh>
    <rPh sb="3" eb="5">
      <t>ヒリツ</t>
    </rPh>
    <phoneticPr fontId="0"/>
  </si>
  <si>
    <t>原価率</t>
    <rPh sb="0" eb="2">
      <t>ゲンカ</t>
    </rPh>
    <rPh sb="2" eb="3">
      <t>リツ</t>
    </rPh>
    <phoneticPr fontId="0"/>
  </si>
  <si>
    <t>比率</t>
    <rPh sb="0" eb="2">
      <t>ヒリツ</t>
    </rPh>
    <phoneticPr fontId="0"/>
  </si>
  <si>
    <t>ネット売上高</t>
    <rPh sb="3" eb="5">
      <t>ウリアゲ</t>
    </rPh>
    <rPh sb="5" eb="6">
      <t>ダカ</t>
    </rPh>
    <phoneticPr fontId="0"/>
  </si>
  <si>
    <t>前年比</t>
    <rPh sb="0" eb="3">
      <t>ゼンネンヒ</t>
    </rPh>
    <phoneticPr fontId="0"/>
  </si>
  <si>
    <t>当期利益</t>
    <rPh sb="0" eb="2">
      <t>トウキ</t>
    </rPh>
    <rPh sb="2" eb="4">
      <t>リエキ</t>
    </rPh>
    <phoneticPr fontId="0"/>
  </si>
  <si>
    <t>経常利益</t>
    <rPh sb="0" eb="2">
      <t>ケイジョウ</t>
    </rPh>
    <rPh sb="2" eb="4">
      <t>リエキ</t>
    </rPh>
    <phoneticPr fontId="0"/>
  </si>
  <si>
    <t>販売管理費</t>
    <rPh sb="0" eb="2">
      <t>ハンバイ</t>
    </rPh>
    <rPh sb="2" eb="5">
      <t>カンリヒ</t>
    </rPh>
    <phoneticPr fontId="0"/>
  </si>
  <si>
    <t>売上総利益</t>
    <rPh sb="0" eb="2">
      <t>ウリアゲ</t>
    </rPh>
    <rPh sb="2" eb="5">
      <t>ソウリエキ</t>
    </rPh>
    <phoneticPr fontId="0"/>
  </si>
  <si>
    <t>売上原価</t>
    <rPh sb="0" eb="2">
      <t>ウリアゲ</t>
    </rPh>
    <rPh sb="2" eb="4">
      <t>ゲンカ</t>
    </rPh>
    <phoneticPr fontId="0"/>
  </si>
  <si>
    <t>　メキシコ</t>
  </si>
  <si>
    <t>　米国</t>
    <rPh sb="1" eb="3">
      <t>ベイコク</t>
    </rPh>
    <phoneticPr fontId="0"/>
  </si>
  <si>
    <t>マルちゃんInc</t>
  </si>
  <si>
    <t>北米</t>
  </si>
  <si>
    <t xml:space="preserve">  うち単独</t>
    <rPh sb="4" eb="6">
      <t>タンドク</t>
    </rPh>
    <phoneticPr fontId="0"/>
  </si>
  <si>
    <t>日本</t>
  </si>
  <si>
    <t>地域別営業利益率</t>
  </si>
  <si>
    <t>消去</t>
  </si>
  <si>
    <t>-</t>
  </si>
  <si>
    <t xml:space="preserve">  即席麺(04/3までマルチャンINC経常利益）</t>
    <phoneticPr fontId="0"/>
  </si>
  <si>
    <t xml:space="preserve">  子会社</t>
  </si>
  <si>
    <t xml:space="preserve">  単独</t>
  </si>
  <si>
    <t>地域別営業利益</t>
  </si>
  <si>
    <t>為替実績</t>
  </si>
  <si>
    <t xml:space="preserve">  即席麺(マルチャンINC）</t>
  </si>
  <si>
    <t>2011/3予</t>
    <rPh sb="6" eb="7">
      <t>ヨ</t>
    </rPh>
    <phoneticPr fontId="0"/>
  </si>
  <si>
    <t>地域別売上高</t>
  </si>
  <si>
    <t>加工食品</t>
  </si>
  <si>
    <t>部門別営業利益率</t>
  </si>
  <si>
    <t xml:space="preserve"> 海外</t>
    <rPh sb="1" eb="3">
      <t>カイガイ</t>
    </rPh>
    <phoneticPr fontId="0"/>
  </si>
  <si>
    <t xml:space="preserve"> 国内</t>
    <rPh sb="1" eb="3">
      <t>コクナイ</t>
    </rPh>
    <phoneticPr fontId="0"/>
  </si>
  <si>
    <t>連結合計</t>
    <rPh sb="0" eb="2">
      <t>レンケツ</t>
    </rPh>
    <rPh sb="2" eb="4">
      <t>ゴウケイ</t>
    </rPh>
    <phoneticPr fontId="61"/>
  </si>
  <si>
    <t>　調整額</t>
    <rPh sb="1" eb="3">
      <t>チョウセイ</t>
    </rPh>
    <rPh sb="3" eb="4">
      <t>ガク</t>
    </rPh>
    <phoneticPr fontId="61"/>
  </si>
  <si>
    <t>　その他</t>
    <rPh sb="3" eb="4">
      <t>タ</t>
    </rPh>
    <phoneticPr fontId="61"/>
  </si>
  <si>
    <t>その他・調整額</t>
    <rPh sb="2" eb="3">
      <t>タ</t>
    </rPh>
    <rPh sb="4" eb="6">
      <t>チョウセイ</t>
    </rPh>
    <rPh sb="6" eb="7">
      <t>ガク</t>
    </rPh>
    <phoneticPr fontId="61"/>
  </si>
  <si>
    <t>冷蔵事業</t>
    <rPh sb="0" eb="2">
      <t>レイゾウ</t>
    </rPh>
    <rPh sb="2" eb="4">
      <t>ジギョウ</t>
    </rPh>
    <phoneticPr fontId="61"/>
  </si>
  <si>
    <t>加工食品事業</t>
    <rPh sb="0" eb="2">
      <t>カコウ</t>
    </rPh>
    <rPh sb="2" eb="4">
      <t>ショクヒン</t>
    </rPh>
    <rPh sb="4" eb="6">
      <t>ジギョウ</t>
    </rPh>
    <phoneticPr fontId="61"/>
  </si>
  <si>
    <t>低温食品事業</t>
    <rPh sb="0" eb="2">
      <t>テイオン</t>
    </rPh>
    <rPh sb="2" eb="4">
      <t>ショクヒン</t>
    </rPh>
    <rPh sb="4" eb="6">
      <t>ジギョウ</t>
    </rPh>
    <phoneticPr fontId="61"/>
  </si>
  <si>
    <t>　　　その他材料（包装材）</t>
    <rPh sb="5" eb="6">
      <t>タ</t>
    </rPh>
    <rPh sb="6" eb="8">
      <t>ザイリョウ</t>
    </rPh>
    <rPh sb="9" eb="11">
      <t>ホウソウ</t>
    </rPh>
    <rPh sb="11" eb="12">
      <t>ザイ</t>
    </rPh>
    <phoneticPr fontId="61"/>
  </si>
  <si>
    <t>　　　　マージン</t>
    <phoneticPr fontId="61"/>
  </si>
  <si>
    <t xml:space="preserve">        FOREX（円/ドル）</t>
    <rPh sb="14" eb="15">
      <t>エン</t>
    </rPh>
    <phoneticPr fontId="61"/>
  </si>
  <si>
    <t>　　　　パーム油使用量(g)/１食</t>
    <rPh sb="7" eb="8">
      <t>アブラ</t>
    </rPh>
    <rPh sb="8" eb="11">
      <t>シヨウリョウ</t>
    </rPh>
    <rPh sb="16" eb="17">
      <t>ショク</t>
    </rPh>
    <phoneticPr fontId="61"/>
  </si>
  <si>
    <t>　　　パーム油使用金額</t>
    <rPh sb="6" eb="7">
      <t>ユ</t>
    </rPh>
    <rPh sb="7" eb="9">
      <t>シヨウ</t>
    </rPh>
    <rPh sb="9" eb="11">
      <t>キンガク</t>
    </rPh>
    <phoneticPr fontId="61"/>
  </si>
  <si>
    <t>　　　　輸入麦の政府売渡価格（円/トン）</t>
    <rPh sb="4" eb="6">
      <t>ユニュウ</t>
    </rPh>
    <rPh sb="6" eb="7">
      <t>ムギ</t>
    </rPh>
    <rPh sb="8" eb="10">
      <t>セイフ</t>
    </rPh>
    <rPh sb="10" eb="11">
      <t>ウ</t>
    </rPh>
    <rPh sb="11" eb="12">
      <t>ワタ</t>
    </rPh>
    <rPh sb="12" eb="14">
      <t>カカク</t>
    </rPh>
    <rPh sb="15" eb="16">
      <t>エン</t>
    </rPh>
    <phoneticPr fontId="61"/>
  </si>
  <si>
    <t>　　　　小麦粉使用量(g)/１食</t>
    <rPh sb="4" eb="7">
      <t>コムギコ</t>
    </rPh>
    <rPh sb="7" eb="10">
      <t>シヨウリョウ</t>
    </rPh>
    <rPh sb="15" eb="16">
      <t>ショク</t>
    </rPh>
    <phoneticPr fontId="61"/>
  </si>
  <si>
    <t>　　　　販売数量（百万食）</t>
    <rPh sb="4" eb="6">
      <t>ハンバイ</t>
    </rPh>
    <rPh sb="6" eb="8">
      <t>スウリョウ</t>
    </rPh>
    <rPh sb="9" eb="11">
      <t>ヒャクマン</t>
    </rPh>
    <rPh sb="11" eb="12">
      <t>ショク</t>
    </rPh>
    <phoneticPr fontId="61"/>
  </si>
  <si>
    <t>　　　小麦粉使用金額</t>
    <rPh sb="3" eb="6">
      <t>コムギコ</t>
    </rPh>
    <rPh sb="6" eb="8">
      <t>シヨウ</t>
    </rPh>
    <rPh sb="8" eb="10">
      <t>キンガク</t>
    </rPh>
    <phoneticPr fontId="61"/>
  </si>
  <si>
    <t>　　　小麦粉+パーム油+その他材料</t>
    <rPh sb="3" eb="6">
      <t>コムギコ</t>
    </rPh>
    <rPh sb="10" eb="11">
      <t>アブラ</t>
    </rPh>
    <rPh sb="14" eb="15">
      <t>タ</t>
    </rPh>
    <rPh sb="15" eb="17">
      <t>ザイリョウ</t>
    </rPh>
    <phoneticPr fontId="61"/>
  </si>
  <si>
    <t>国内即席麺事業</t>
    <rPh sb="0" eb="2">
      <t>コクナイ</t>
    </rPh>
    <rPh sb="2" eb="4">
      <t>ソクセキ</t>
    </rPh>
    <rPh sb="4" eb="5">
      <t>メン</t>
    </rPh>
    <rPh sb="5" eb="7">
      <t>ジギョウ</t>
    </rPh>
    <phoneticPr fontId="61"/>
  </si>
  <si>
    <t>海外即席麺事業</t>
    <rPh sb="0" eb="2">
      <t>カイガイ</t>
    </rPh>
    <rPh sb="2" eb="4">
      <t>ソクセキ</t>
    </rPh>
    <rPh sb="4" eb="5">
      <t>メン</t>
    </rPh>
    <rPh sb="5" eb="7">
      <t>ジギョウ</t>
    </rPh>
    <phoneticPr fontId="61"/>
  </si>
  <si>
    <t>水産食品事業</t>
    <rPh sb="0" eb="2">
      <t>スイサン</t>
    </rPh>
    <rPh sb="2" eb="4">
      <t>ショクヒン</t>
    </rPh>
    <rPh sb="4" eb="6">
      <t>ジギョウ</t>
    </rPh>
    <phoneticPr fontId="61"/>
  </si>
  <si>
    <t xml:space="preserve">   その他</t>
  </si>
  <si>
    <t xml:space="preserve">   単独</t>
  </si>
  <si>
    <t xml:space="preserve">   マルチャンInc</t>
    <phoneticPr fontId="0"/>
  </si>
  <si>
    <t>→報告セグメントへ</t>
    <rPh sb="1" eb="3">
      <t>ホウコク</t>
    </rPh>
    <phoneticPr fontId="61"/>
  </si>
  <si>
    <t>部門別売上高（旧）</t>
    <rPh sb="7" eb="8">
      <t>キュウ</t>
    </rPh>
    <phoneticPr fontId="61"/>
  </si>
  <si>
    <t>　メキシコ</t>
    <phoneticPr fontId="61"/>
  </si>
  <si>
    <t>　北米</t>
    <rPh sb="1" eb="3">
      <t>ホクベイ</t>
    </rPh>
    <phoneticPr fontId="61"/>
  </si>
  <si>
    <t>海外</t>
    <rPh sb="0" eb="2">
      <t>カイガイ</t>
    </rPh>
    <phoneticPr fontId="61"/>
  </si>
  <si>
    <t>　冷蔵事業</t>
    <rPh sb="1" eb="3">
      <t>レイゾウ</t>
    </rPh>
    <rPh sb="3" eb="5">
      <t>ジギョウ</t>
    </rPh>
    <phoneticPr fontId="61"/>
  </si>
  <si>
    <t>　加工食品</t>
    <rPh sb="1" eb="3">
      <t>カコウ</t>
    </rPh>
    <rPh sb="3" eb="5">
      <t>ショクヒン</t>
    </rPh>
    <phoneticPr fontId="61"/>
  </si>
  <si>
    <t>　水産</t>
    <rPh sb="1" eb="3">
      <t>スイサン</t>
    </rPh>
    <phoneticPr fontId="61"/>
  </si>
  <si>
    <t>　低温事業</t>
    <rPh sb="1" eb="3">
      <t>テイオン</t>
    </rPh>
    <rPh sb="3" eb="5">
      <t>ジギョウ</t>
    </rPh>
    <phoneticPr fontId="61"/>
  </si>
  <si>
    <t>　即席めん</t>
    <rPh sb="1" eb="3">
      <t>ソクセキ</t>
    </rPh>
    <phoneticPr fontId="61"/>
  </si>
  <si>
    <t>国内</t>
    <rPh sb="0" eb="2">
      <t>コクナイ</t>
    </rPh>
    <phoneticPr fontId="61"/>
  </si>
  <si>
    <t>【売上高構成比】</t>
    <rPh sb="1" eb="3">
      <t>ウリアゲ</t>
    </rPh>
    <rPh sb="3" eb="4">
      <t>ダカ</t>
    </rPh>
    <rPh sb="4" eb="7">
      <t>コウセイヒ</t>
    </rPh>
    <phoneticPr fontId="61"/>
  </si>
  <si>
    <t>調整額</t>
    <rPh sb="0" eb="2">
      <t>チョウセイ</t>
    </rPh>
    <rPh sb="2" eb="3">
      <t>ガク</t>
    </rPh>
    <phoneticPr fontId="61"/>
  </si>
  <si>
    <t xml:space="preserve"> YoY</t>
    <phoneticPr fontId="61"/>
  </si>
  <si>
    <t>その他</t>
    <rPh sb="2" eb="3">
      <t>タ</t>
    </rPh>
    <phoneticPr fontId="61"/>
  </si>
  <si>
    <t>　包装米飯</t>
    <rPh sb="1" eb="3">
      <t>ホウソウ</t>
    </rPh>
    <rPh sb="3" eb="5">
      <t>ベイハン</t>
    </rPh>
    <phoneticPr fontId="61"/>
  </si>
  <si>
    <t>　調味料類</t>
    <rPh sb="1" eb="4">
      <t>チョウミリョウ</t>
    </rPh>
    <rPh sb="4" eb="5">
      <t>ルイ</t>
    </rPh>
    <phoneticPr fontId="61"/>
  </si>
  <si>
    <t>　スープ</t>
    <phoneticPr fontId="61"/>
  </si>
  <si>
    <t>　ねり製品</t>
    <rPh sb="3" eb="5">
      <t>セイヒン</t>
    </rPh>
    <phoneticPr fontId="61"/>
  </si>
  <si>
    <t>　チルド食品</t>
    <rPh sb="4" eb="6">
      <t>ショクヒン</t>
    </rPh>
    <phoneticPr fontId="61"/>
  </si>
  <si>
    <t>　冷凍食品</t>
    <rPh sb="1" eb="3">
      <t>レイトウ</t>
    </rPh>
    <rPh sb="3" eb="5">
      <t>ショクヒン</t>
    </rPh>
    <phoneticPr fontId="61"/>
  </si>
  <si>
    <t>　　　東水単価（指数）</t>
    <rPh sb="3" eb="4">
      <t>ヒガシ</t>
    </rPh>
    <rPh sb="4" eb="5">
      <t>ミズ</t>
    </rPh>
    <rPh sb="5" eb="7">
      <t>タンカ</t>
    </rPh>
    <rPh sb="8" eb="10">
      <t>シスウ</t>
    </rPh>
    <phoneticPr fontId="61"/>
  </si>
  <si>
    <t>　　　食数（千食、480g/1ヶ）</t>
    <rPh sb="3" eb="4">
      <t>ショク</t>
    </rPh>
    <rPh sb="4" eb="5">
      <t>スウ</t>
    </rPh>
    <rPh sb="6" eb="8">
      <t>センショク</t>
    </rPh>
    <phoneticPr fontId="61"/>
  </si>
  <si>
    <t>　　東洋水産推定数量（トン）</t>
    <rPh sb="2" eb="4">
      <t>トウヨウ</t>
    </rPh>
    <rPh sb="4" eb="6">
      <t>スイサン</t>
    </rPh>
    <rPh sb="6" eb="8">
      <t>スイテイ</t>
    </rPh>
    <rPh sb="8" eb="10">
      <t>スウリョウ</t>
    </rPh>
    <phoneticPr fontId="61"/>
  </si>
  <si>
    <t>　　シェア</t>
    <phoneticPr fontId="61"/>
  </si>
  <si>
    <t>　　中華生麺生産量（トン）</t>
    <rPh sb="2" eb="4">
      <t>チュウカ</t>
    </rPh>
    <rPh sb="4" eb="5">
      <t>ナマ</t>
    </rPh>
    <rPh sb="5" eb="6">
      <t>メン</t>
    </rPh>
    <rPh sb="6" eb="8">
      <t>セイサン</t>
    </rPh>
    <rPh sb="8" eb="9">
      <t>リョウ</t>
    </rPh>
    <phoneticPr fontId="61"/>
  </si>
  <si>
    <t>　　　単価（円/食）</t>
    <rPh sb="3" eb="5">
      <t>タンカ</t>
    </rPh>
    <rPh sb="6" eb="7">
      <t>エン</t>
    </rPh>
    <rPh sb="8" eb="9">
      <t>ショク</t>
    </rPh>
    <phoneticPr fontId="61"/>
  </si>
  <si>
    <t>　　　販売数量（千食）</t>
    <rPh sb="3" eb="5">
      <t>ハンバイ</t>
    </rPh>
    <rPh sb="5" eb="7">
      <t>スウリョウ</t>
    </rPh>
    <rPh sb="8" eb="10">
      <t>センショク</t>
    </rPh>
    <phoneticPr fontId="61"/>
  </si>
  <si>
    <t>　　オープンプライス商品</t>
    <rPh sb="10" eb="12">
      <t>ショウヒン</t>
    </rPh>
    <phoneticPr fontId="61"/>
  </si>
  <si>
    <t>　　定番品</t>
    <rPh sb="2" eb="4">
      <t>テイバン</t>
    </rPh>
    <rPh sb="4" eb="5">
      <t>ヒン</t>
    </rPh>
    <phoneticPr fontId="61"/>
  </si>
  <si>
    <t>　カップ麺</t>
    <rPh sb="4" eb="5">
      <t>メン</t>
    </rPh>
    <phoneticPr fontId="61"/>
  </si>
  <si>
    <t>　　　単価（円/食(5コ入り）</t>
    <rPh sb="3" eb="5">
      <t>タンカ</t>
    </rPh>
    <rPh sb="6" eb="7">
      <t>エン</t>
    </rPh>
    <rPh sb="8" eb="9">
      <t>ショク</t>
    </rPh>
    <rPh sb="12" eb="13">
      <t>イ</t>
    </rPh>
    <phoneticPr fontId="61"/>
  </si>
  <si>
    <t>　　正麺</t>
    <rPh sb="2" eb="3">
      <t>タダ</t>
    </rPh>
    <rPh sb="3" eb="4">
      <t>メン</t>
    </rPh>
    <phoneticPr fontId="61"/>
  </si>
  <si>
    <t>　袋麺</t>
    <rPh sb="1" eb="2">
      <t>フクロ</t>
    </rPh>
    <rPh sb="2" eb="3">
      <t>メン</t>
    </rPh>
    <phoneticPr fontId="61"/>
  </si>
  <si>
    <t>部門別売上高（報告セグメント）</t>
    <rPh sb="0" eb="2">
      <t>ブモン</t>
    </rPh>
    <rPh sb="2" eb="3">
      <t>ベツ</t>
    </rPh>
    <rPh sb="7" eb="9">
      <t>ホウコク</t>
    </rPh>
    <phoneticPr fontId="61"/>
  </si>
  <si>
    <t>BPS(円)(Basic)</t>
    <phoneticPr fontId="0"/>
  </si>
  <si>
    <t>EPS(円)(完全希薄化後)</t>
    <phoneticPr fontId="0"/>
  </si>
  <si>
    <t>EPS(円)</t>
    <phoneticPr fontId="0"/>
  </si>
  <si>
    <t>期中平均発行済株式数</t>
    <rPh sb="0" eb="2">
      <t>キチュウ</t>
    </rPh>
    <rPh sb="2" eb="4">
      <t>ヘイキン</t>
    </rPh>
    <rPh sb="4" eb="6">
      <t>ハッコウ</t>
    </rPh>
    <rPh sb="6" eb="7">
      <t>ズ</t>
    </rPh>
    <rPh sb="7" eb="10">
      <t>カブシキスウ</t>
    </rPh>
    <phoneticPr fontId="0"/>
  </si>
  <si>
    <t>(完全希薄化後) (千株）</t>
  </si>
  <si>
    <t>自己株式数</t>
    <rPh sb="0" eb="2">
      <t>ジコ</t>
    </rPh>
    <rPh sb="2" eb="5">
      <t>カブシキスウ</t>
    </rPh>
    <phoneticPr fontId="0"/>
  </si>
  <si>
    <t>支払いリース料</t>
  </si>
  <si>
    <t>のれん償却費(～06年3月期まで連結調整勘定償却額)</t>
  </si>
  <si>
    <t>Net profits</t>
  </si>
  <si>
    <t>少数株主損益</t>
  </si>
  <si>
    <t>Taxes</t>
  </si>
  <si>
    <t>Pretax profits</t>
  </si>
  <si>
    <t>Extraordinary losses</t>
  </si>
  <si>
    <t>Extraordinary income</t>
  </si>
  <si>
    <t>Recurring profits</t>
  </si>
  <si>
    <t>Other nonoperating income</t>
  </si>
  <si>
    <t>持分法投資損益</t>
    <rPh sb="0" eb="2">
      <t>モチブン</t>
    </rPh>
    <rPh sb="2" eb="3">
      <t>ホウ</t>
    </rPh>
    <rPh sb="3" eb="5">
      <t>トウシ</t>
    </rPh>
    <rPh sb="5" eb="7">
      <t>ソンエキ</t>
    </rPh>
    <phoneticPr fontId="0"/>
  </si>
  <si>
    <t>　支払利息</t>
    <rPh sb="1" eb="3">
      <t>シハラ</t>
    </rPh>
    <rPh sb="3" eb="5">
      <t>リソク</t>
    </rPh>
    <phoneticPr fontId="0"/>
  </si>
  <si>
    <t>　受取利息･配当金</t>
    <rPh sb="1" eb="3">
      <t>ウケトリ</t>
    </rPh>
    <rPh sb="3" eb="5">
      <t>リソク</t>
    </rPh>
    <rPh sb="6" eb="9">
      <t>ハイトウキン</t>
    </rPh>
    <phoneticPr fontId="0"/>
  </si>
  <si>
    <t>Financial balance</t>
  </si>
  <si>
    <t>Operating profits</t>
  </si>
  <si>
    <t>その他</t>
    <phoneticPr fontId="61"/>
  </si>
  <si>
    <t>研究開発費</t>
  </si>
  <si>
    <t>R&amp;D expense</t>
  </si>
  <si>
    <t>販促費</t>
  </si>
  <si>
    <t>SG&amp;A expense</t>
  </si>
  <si>
    <t>Gross profits</t>
  </si>
  <si>
    <t>Cost of sales</t>
  </si>
  <si>
    <t>連結損益計算書</t>
  </si>
  <si>
    <t>2013/3予</t>
    <rPh sb="6" eb="7">
      <t>ヨ</t>
    </rPh>
    <phoneticPr fontId="0"/>
  </si>
  <si>
    <t>2017/3予</t>
    <phoneticPr fontId="61"/>
  </si>
  <si>
    <t>2016/3予</t>
    <phoneticPr fontId="61"/>
  </si>
  <si>
    <t>2015/3予</t>
    <phoneticPr fontId="61"/>
  </si>
  <si>
    <t>2014/3予</t>
  </si>
  <si>
    <t>会計年度</t>
  </si>
  <si>
    <t>東洋水産(2875)</t>
    <phoneticPr fontId="0"/>
  </si>
  <si>
    <t>EBIT</t>
  </si>
  <si>
    <t>Check</t>
  </si>
  <si>
    <t xml:space="preserve">  Total</t>
  </si>
  <si>
    <t>　全社</t>
  </si>
  <si>
    <t>Operating profit margin</t>
  </si>
  <si>
    <t>事業別営業利益率</t>
  </si>
  <si>
    <t xml:space="preserve">  Elimination</t>
  </si>
  <si>
    <t xml:space="preserve">  Cold-Storage</t>
  </si>
  <si>
    <t>　冷蔵事業</t>
  </si>
  <si>
    <t xml:space="preserve">  Processed Foods</t>
  </si>
  <si>
    <t>　加工食品事業</t>
  </si>
  <si>
    <t xml:space="preserve">  Frozen and Refrigerated Foods</t>
  </si>
  <si>
    <t>　低温食品事業</t>
  </si>
  <si>
    <t xml:space="preserve">  Domestic Instant Noodle</t>
  </si>
  <si>
    <t>　国内即席麺事業</t>
  </si>
  <si>
    <t xml:space="preserve">  Overseas Instant Noodle </t>
  </si>
  <si>
    <t>　海外即席麺事業</t>
  </si>
  <si>
    <t xml:space="preserve">  Seafood</t>
  </si>
  <si>
    <t>　水産食品事業</t>
  </si>
  <si>
    <t>Operating profits by segment</t>
  </si>
  <si>
    <t>事業別営業利益</t>
  </si>
  <si>
    <t xml:space="preserve">  Others</t>
  </si>
  <si>
    <t>　その他</t>
  </si>
  <si>
    <t xml:space="preserve">    Rice</t>
  </si>
  <si>
    <t>　　包装米飯</t>
  </si>
  <si>
    <t xml:space="preserve">    Seasonings</t>
  </si>
  <si>
    <t>　　調味料類</t>
  </si>
  <si>
    <t xml:space="preserve">    Soup</t>
  </si>
  <si>
    <t>　　スープ</t>
  </si>
  <si>
    <t xml:space="preserve">    Fish-based hams and sausages</t>
  </si>
  <si>
    <t>　　ねり製品</t>
  </si>
  <si>
    <t xml:space="preserve">    Chilled Food Products</t>
  </si>
  <si>
    <t>　　チルド食品</t>
  </si>
  <si>
    <t xml:space="preserve">    Frozen Food Products</t>
  </si>
  <si>
    <t>　　冷凍食品</t>
  </si>
  <si>
    <t xml:space="preserve">    Fresh Noodle</t>
  </si>
  <si>
    <t>　　生麺</t>
  </si>
  <si>
    <t xml:space="preserve">    Cup-style Noodle Products</t>
  </si>
  <si>
    <t>　　カップ麺</t>
  </si>
  <si>
    <t xml:space="preserve">    Packaged Noodle Products</t>
  </si>
  <si>
    <t>　　袋麺</t>
  </si>
  <si>
    <t>Sales by segment</t>
  </si>
  <si>
    <t>事業別売上高</t>
  </si>
  <si>
    <t>純利益</t>
  </si>
  <si>
    <t>YoY</t>
  </si>
  <si>
    <t>FY3/14</t>
  </si>
  <si>
    <t>FY3/16</t>
  </si>
  <si>
    <t>FY3/15</t>
  </si>
  <si>
    <t>FY3/13</t>
  </si>
  <si>
    <t>FY3/12</t>
  </si>
  <si>
    <t>FY3/11</t>
  </si>
  <si>
    <t>FY3/10</t>
  </si>
  <si>
    <t>FY3/09</t>
  </si>
  <si>
    <t>2013年度</t>
  </si>
  <si>
    <t>2015年度</t>
  </si>
  <si>
    <t>2014年度</t>
  </si>
  <si>
    <t>2012年度</t>
  </si>
  <si>
    <t>2011年度</t>
  </si>
  <si>
    <t>2010年度</t>
  </si>
  <si>
    <t>2009年度</t>
  </si>
  <si>
    <t>2008年度</t>
  </si>
  <si>
    <t>CoE</t>
  </si>
  <si>
    <t>GSE</t>
  </si>
  <si>
    <t>Toyo Suisan Kaisha</t>
  </si>
  <si>
    <t>会社計画</t>
  </si>
  <si>
    <t>(百万円）</t>
  </si>
  <si>
    <t>Trends in earnings by segment</t>
  </si>
  <si>
    <t>収益推移</t>
  </si>
  <si>
    <t>　前年比</t>
  </si>
  <si>
    <t>Actual</t>
  </si>
  <si>
    <t>現金及び現金同等物の増減額</t>
  </si>
  <si>
    <t>Net change in cash and cash equivalents</t>
  </si>
  <si>
    <t>現金及び現金同等物に係る換算差額</t>
  </si>
  <si>
    <t>Effect of exchange rate changes on cash and cash equivalents by exchange fluctuations</t>
  </si>
  <si>
    <t>財務活動に係る資産・負債の増減</t>
  </si>
  <si>
    <t>Net cash (used in)/from financing activities</t>
  </si>
  <si>
    <t>連結子会社増加に伴う現金及び現金同等物の増加額</t>
  </si>
  <si>
    <t>財務活動によるキャッシュ・フロー</t>
  </si>
  <si>
    <t>Cash Flow from Financing</t>
  </si>
  <si>
    <t>その他の財務活動によるキャッシュフロー</t>
  </si>
  <si>
    <t>Other Financing Cash Flow Items</t>
  </si>
  <si>
    <t>子会社による少数株主への配当金の支払い額</t>
  </si>
  <si>
    <t>Increase/Decrease in Minority Interests (Balance Sheet)</t>
  </si>
  <si>
    <t>Increase/decrease in preferred shares</t>
  </si>
  <si>
    <t>長期借入金の返済による支出</t>
  </si>
  <si>
    <t>Increase/decrease in long-term debt</t>
  </si>
  <si>
    <t>転換社債増減</t>
  </si>
  <si>
    <t>Increase/decrease in convertible bonds</t>
  </si>
  <si>
    <t>社債増減</t>
  </si>
  <si>
    <t>Increase/decrease in bonds</t>
  </si>
  <si>
    <t>Increase/decrease in short-term debt</t>
  </si>
  <si>
    <t>自己株式の取得</t>
  </si>
  <si>
    <t>Share repurchase</t>
  </si>
  <si>
    <t>株式の発行による収入</t>
  </si>
  <si>
    <t>Share issue</t>
  </si>
  <si>
    <t>Dividends paid</t>
  </si>
  <si>
    <t>Financing activities</t>
  </si>
  <si>
    <t>投資活動によるキャッシュフロー</t>
  </si>
  <si>
    <t>Net cash (used in)/from investing activities</t>
  </si>
  <si>
    <t>Other investing cash flow items</t>
  </si>
  <si>
    <t>関連会社への投資及び貸付収支</t>
  </si>
  <si>
    <t>Total acquisitions/divestitures</t>
  </si>
  <si>
    <t>連結範囲の変更を伴う有価証券の売却による収入</t>
  </si>
  <si>
    <t>連結範囲の変更を伴う有価証券の取得による支出</t>
  </si>
  <si>
    <t>有形固定資産の収支</t>
  </si>
  <si>
    <t>Capital Expenditure</t>
  </si>
  <si>
    <t>投資活動によるキャッシュ・フロー</t>
  </si>
  <si>
    <t>Investing activities</t>
  </si>
  <si>
    <t>営業活動に係る資産・負債の増減</t>
  </si>
  <si>
    <t>Net cash generated from/(used in) operating activities</t>
  </si>
  <si>
    <t>運転資金の増減</t>
  </si>
  <si>
    <t>Increase/Decrease in Working Capital</t>
  </si>
  <si>
    <t>仕入債務の増減額</t>
  </si>
  <si>
    <t>Increase/decrease in purchasing liabilities</t>
  </si>
  <si>
    <t>棚卸資産の増減額</t>
  </si>
  <si>
    <t>Increase/decrease in inventory asset</t>
  </si>
  <si>
    <t>売上債権の増減額</t>
  </si>
  <si>
    <t>Increase/decrease in account receivable</t>
  </si>
  <si>
    <t>Net profit/loss on asset sales</t>
  </si>
  <si>
    <t>減価償却費及び連結調整勘定償却額</t>
  </si>
  <si>
    <t>Depreciation and amortisation</t>
  </si>
  <si>
    <t>Amortisation of intangible assets</t>
  </si>
  <si>
    <t>Depreciation of fix assets</t>
  </si>
  <si>
    <t>営業活動によるキャッシュ・フロー</t>
  </si>
  <si>
    <t>Operating activities</t>
  </si>
  <si>
    <t>3Q11</t>
  </si>
  <si>
    <t>1Q11</t>
  </si>
  <si>
    <t>3Q10</t>
  </si>
  <si>
    <t>1Q10</t>
  </si>
  <si>
    <t>3Q09</t>
  </si>
  <si>
    <t>1Q09</t>
  </si>
  <si>
    <t>1H11</t>
  </si>
  <si>
    <t>1H10</t>
  </si>
  <si>
    <t>1H09</t>
  </si>
  <si>
    <t>1H08</t>
  </si>
  <si>
    <t>1H07</t>
  </si>
  <si>
    <t>1H06</t>
  </si>
  <si>
    <t>1H05</t>
  </si>
  <si>
    <t>Total liabilities and shareholders' equity</t>
  </si>
  <si>
    <t>Total Shareholders Funds/Equity</t>
  </si>
  <si>
    <t>その他の包括利益累計額</t>
    <rPh sb="2" eb="3">
      <t>タ</t>
    </rPh>
    <rPh sb="4" eb="6">
      <t>ホウカツ</t>
    </rPh>
    <rPh sb="6" eb="8">
      <t>リエキ</t>
    </rPh>
    <rPh sb="8" eb="11">
      <t>ルイケイガク</t>
    </rPh>
    <phoneticPr fontId="61"/>
  </si>
  <si>
    <t>非支配持分(少数株主持分)</t>
  </si>
  <si>
    <t>Minority interest (Bal Sheet)</t>
  </si>
  <si>
    <t>資本合計</t>
  </si>
  <si>
    <t>Total Common Equity</t>
  </si>
  <si>
    <t>新株予約権</t>
  </si>
  <si>
    <t>Guarantee liabilities/Contingency liabilities</t>
  </si>
  <si>
    <t>評価･換算差額等</t>
  </si>
  <si>
    <t>Treasury stocks</t>
  </si>
  <si>
    <t>資本剰余金</t>
  </si>
  <si>
    <t>Capital surplus</t>
  </si>
  <si>
    <t>資本金</t>
  </si>
  <si>
    <t>Common stock</t>
  </si>
  <si>
    <t>Common Stock (includes par value, capital surplus, and treasury)</t>
  </si>
  <si>
    <t>利益剰余金(連結）</t>
  </si>
  <si>
    <t>純資産</t>
  </si>
  <si>
    <t>Capital and reserves</t>
  </si>
  <si>
    <t xml:space="preserve">Total Liabilities   </t>
  </si>
  <si>
    <t>固定負債計</t>
  </si>
  <si>
    <t>Total Long-term Liabilities</t>
  </si>
  <si>
    <t>その他の負債</t>
  </si>
  <si>
    <t>Other long-term liabilities</t>
  </si>
  <si>
    <t>長期繰延税金負債</t>
  </si>
  <si>
    <t>Deferred Tax Liability - non-current portion</t>
  </si>
  <si>
    <t>長期債務</t>
  </si>
  <si>
    <t xml:space="preserve"> Bonds</t>
  </si>
  <si>
    <t xml:space="preserve"> Long-term debt</t>
  </si>
  <si>
    <t>固定負債</t>
  </si>
  <si>
    <t>Non-current liabilities</t>
  </si>
  <si>
    <t>流動負債計</t>
  </si>
  <si>
    <t>Total current liabilities</t>
  </si>
  <si>
    <t>その他の流動負債</t>
  </si>
  <si>
    <t>短期繰延税金負債</t>
  </si>
  <si>
    <t>Deferred Tax Liability - current portion</t>
  </si>
  <si>
    <t>短期借入金、一年内期限の長期債務</t>
  </si>
  <si>
    <t>Short-term bank and other borrowings</t>
  </si>
  <si>
    <t>支払手形及び買掛金</t>
  </si>
  <si>
    <t>Notes &amp; accounts payable</t>
  </si>
  <si>
    <t>負債&amp;株主資本</t>
  </si>
  <si>
    <t>Liabilities and shareholders' equity</t>
  </si>
  <si>
    <t>資産合計</t>
  </si>
  <si>
    <t>固定資産計</t>
  </si>
  <si>
    <t>Total Fixed Assets</t>
  </si>
  <si>
    <t>投資その他の資産</t>
  </si>
  <si>
    <t>Investment securities and other assets</t>
  </si>
  <si>
    <t>その他の固定資産</t>
  </si>
  <si>
    <t>長期繰延税金資産</t>
  </si>
  <si>
    <t>Deferred Tax Asset - non-current portion</t>
  </si>
  <si>
    <t>投資及び長期債権</t>
  </si>
  <si>
    <t>無形固定資産合計</t>
  </si>
  <si>
    <t>Net intantigibles</t>
  </si>
  <si>
    <t>Less: Accumulated amortization</t>
  </si>
  <si>
    <t>有形固定資産合計</t>
  </si>
  <si>
    <t>Property, plant and equipment</t>
  </si>
  <si>
    <t>有形固定資産減価償却累計額</t>
  </si>
  <si>
    <t>Less: accumulated depreciation</t>
  </si>
  <si>
    <t>Gross value,including construction in progress</t>
  </si>
  <si>
    <t>固定資産</t>
  </si>
  <si>
    <t>Non-current assets</t>
  </si>
  <si>
    <t>流動資産計</t>
  </si>
  <si>
    <t>Total current assets</t>
  </si>
  <si>
    <t>その他の流動資産</t>
  </si>
  <si>
    <t>その他の</t>
  </si>
  <si>
    <t>短期繰延税金資産</t>
  </si>
  <si>
    <t>Deferred Tax Assets - current portion</t>
  </si>
  <si>
    <t>売上債権等(貸倒引当金控除後)</t>
  </si>
  <si>
    <t>Inventories</t>
  </si>
  <si>
    <t>現金及び預金</t>
  </si>
  <si>
    <t xml:space="preserve">Cash and cash equivalents </t>
  </si>
  <si>
    <t>有価証券</t>
  </si>
  <si>
    <t>Marketable securities</t>
  </si>
  <si>
    <t>Cash &amp; deposits</t>
  </si>
  <si>
    <t>期末発行済株数-自己株除く</t>
  </si>
  <si>
    <t>完全希薄化後株式数</t>
  </si>
  <si>
    <t>期中平均株式数（百万株）</t>
  </si>
  <si>
    <t>Share count</t>
  </si>
  <si>
    <t>1株当たり配当金(円)</t>
  </si>
  <si>
    <t>Dividends per Share</t>
  </si>
  <si>
    <t>配当金の支払金額</t>
  </si>
  <si>
    <t>Common dividends paid</t>
  </si>
  <si>
    <t>Dividends</t>
  </si>
  <si>
    <t>EPS(円)(Diluted)</t>
  </si>
  <si>
    <t>EPS (¥)(Diluted)</t>
  </si>
  <si>
    <t>EPS(円)(Basic)</t>
  </si>
  <si>
    <t>EPS (¥)(Basic)</t>
  </si>
  <si>
    <t>Earnings per share (JPY)</t>
  </si>
  <si>
    <t>Net profit (post minority int, pref div, extraordinary items)</t>
  </si>
  <si>
    <t>非継続事業に関わる損益（税効果後）</t>
  </si>
  <si>
    <t>少数株主への配当金の支払額（▲）</t>
  </si>
  <si>
    <t>Preferred dividend</t>
  </si>
  <si>
    <t>Taxation</t>
  </si>
  <si>
    <t>税金等調整前当期純利益</t>
  </si>
  <si>
    <t>Pre-tax profits</t>
  </si>
  <si>
    <t>Extraordinary loss</t>
  </si>
  <si>
    <t>Extraordinary gain</t>
  </si>
  <si>
    <t>その他営業外損益</t>
  </si>
  <si>
    <t>Other non operating income/expense</t>
  </si>
  <si>
    <t>持分法損失</t>
  </si>
  <si>
    <t>固定資産・投資有価証券</t>
  </si>
  <si>
    <t>固定資産・投資有価証券処分損</t>
  </si>
  <si>
    <t>固定資産・投資有価証券処分益</t>
  </si>
  <si>
    <t>利息・配当収支</t>
  </si>
  <si>
    <t>受取利息・配当金合計</t>
  </si>
  <si>
    <t>Interest &amp;Dividend  received</t>
  </si>
  <si>
    <t>Dividend received</t>
  </si>
  <si>
    <t>Interest received</t>
  </si>
  <si>
    <t>連結減価償却費</t>
  </si>
  <si>
    <t>Depreciation and amortization</t>
  </si>
  <si>
    <t>その他損益</t>
  </si>
  <si>
    <t>Other operating income/ expenses</t>
  </si>
  <si>
    <t>SG&amp;A total</t>
  </si>
  <si>
    <t>Depreciation expense</t>
  </si>
  <si>
    <t>連結売上総利益</t>
  </si>
  <si>
    <t xml:space="preserve"> その他</t>
  </si>
  <si>
    <t>Other COGS</t>
  </si>
  <si>
    <t>売上原価・営業原価</t>
  </si>
  <si>
    <t>売上高・営業収益</t>
  </si>
  <si>
    <t>Sales, net revenue</t>
  </si>
  <si>
    <t>2013/3 CoE</t>
  </si>
  <si>
    <t>2011/12CoE</t>
  </si>
  <si>
    <t>2010/12CoE</t>
  </si>
  <si>
    <t>2009/12会</t>
  </si>
  <si>
    <t>2008/12会</t>
  </si>
  <si>
    <t>2007/12会(新)</t>
  </si>
  <si>
    <t>2007/12会</t>
  </si>
  <si>
    <t>2006/12会(新)</t>
  </si>
  <si>
    <t>2006/12会</t>
  </si>
  <si>
    <t>2005/12会</t>
  </si>
  <si>
    <t>2012 CoE</t>
  </si>
  <si>
    <t>2011CoE</t>
  </si>
  <si>
    <t>2010CoE</t>
  </si>
  <si>
    <t>2009CoE</t>
  </si>
  <si>
    <t>2008CoE</t>
  </si>
  <si>
    <t>2007CoE(New)</t>
  </si>
  <si>
    <t>2007CoE</t>
  </si>
  <si>
    <t>2006CoE(New)</t>
  </si>
  <si>
    <t>2006CoE</t>
  </si>
  <si>
    <t>2005CoE</t>
  </si>
  <si>
    <t>4Q13</t>
  </si>
  <si>
    <t>1-3Q13</t>
  </si>
  <si>
    <t>3Q13</t>
  </si>
  <si>
    <t>2Q13</t>
  </si>
  <si>
    <t>1Q12</t>
  </si>
  <si>
    <t>4Q11</t>
  </si>
  <si>
    <t>1-3Q11</t>
  </si>
  <si>
    <t>2Q11</t>
  </si>
  <si>
    <t>4Q10</t>
  </si>
  <si>
    <t>1-3Q10</t>
  </si>
  <si>
    <t>2Q10</t>
  </si>
  <si>
    <t>4Q09</t>
  </si>
  <si>
    <t>1-3Q09</t>
  </si>
  <si>
    <t>2Q09</t>
  </si>
  <si>
    <t>4Q08</t>
  </si>
  <si>
    <t>1-3Q08</t>
  </si>
  <si>
    <t>3Q08</t>
  </si>
  <si>
    <t>2Q08</t>
  </si>
  <si>
    <t>1Q08</t>
  </si>
  <si>
    <t>4Q07</t>
  </si>
  <si>
    <t>3Q07</t>
  </si>
  <si>
    <t>2Q07</t>
  </si>
  <si>
    <t>1Q07</t>
  </si>
  <si>
    <t>2H11</t>
  </si>
  <si>
    <t>2H10</t>
  </si>
  <si>
    <t>2H09</t>
  </si>
  <si>
    <t>2H08</t>
  </si>
  <si>
    <t>2H07</t>
  </si>
  <si>
    <t>2H06</t>
  </si>
  <si>
    <t>2H05</t>
  </si>
  <si>
    <t>2H04</t>
  </si>
  <si>
    <t>1H04</t>
  </si>
  <si>
    <t>　　その他の調整額</t>
  </si>
  <si>
    <t>　　棚卸資産の調整額</t>
  </si>
  <si>
    <t>　　全社費用</t>
  </si>
  <si>
    <t>　調整額</t>
  </si>
  <si>
    <t>その他（その他+調整額）</t>
  </si>
  <si>
    <t>　販管費</t>
  </si>
  <si>
    <t>　製造経費</t>
  </si>
  <si>
    <t>　原材料費</t>
  </si>
  <si>
    <t>　　増減益</t>
    <rPh sb="2" eb="4">
      <t>ゾウゲン</t>
    </rPh>
    <rPh sb="4" eb="5">
      <t>エキ</t>
    </rPh>
    <phoneticPr fontId="61"/>
  </si>
  <si>
    <t>　　利益率</t>
  </si>
  <si>
    <t>　　TVCM</t>
  </si>
  <si>
    <t>　　減価償却費</t>
  </si>
  <si>
    <t>　　人件費、その他</t>
  </si>
  <si>
    <t>　　　　限界利益率</t>
    <rPh sb="4" eb="6">
      <t>ゲンカイ</t>
    </rPh>
    <rPh sb="6" eb="8">
      <t>リエキ</t>
    </rPh>
    <rPh sb="8" eb="9">
      <t>リツ</t>
    </rPh>
    <phoneticPr fontId="61"/>
  </si>
  <si>
    <t>　売上高増減(mn USD)</t>
  </si>
  <si>
    <t>　　増減益(mn USD)</t>
    <rPh sb="2" eb="4">
      <t>ゾウゲン</t>
    </rPh>
    <rPh sb="4" eb="5">
      <t>エキ</t>
    </rPh>
    <phoneticPr fontId="61"/>
  </si>
  <si>
    <t>　検算</t>
  </si>
  <si>
    <t>報告セグメント</t>
  </si>
  <si>
    <t>　利益率</t>
  </si>
  <si>
    <t>　販売管理比率</t>
  </si>
  <si>
    <t>販売管理費</t>
  </si>
  <si>
    <t>売上高check</t>
    <rPh sb="0" eb="2">
      <t>ウリアゲ</t>
    </rPh>
    <rPh sb="2" eb="3">
      <t>ダカ</t>
    </rPh>
    <phoneticPr fontId="61"/>
  </si>
  <si>
    <t>その他調整額</t>
  </si>
  <si>
    <t>　調味料類</t>
  </si>
  <si>
    <t>　ねり製品</t>
  </si>
  <si>
    <t>←チルド食品をまとめたから？</t>
    <rPh sb="4" eb="6">
      <t>ショクヒン</t>
    </rPh>
    <phoneticPr fontId="61"/>
  </si>
  <si>
    <t>　　前期比(%)</t>
  </si>
  <si>
    <t>　袋麺</t>
  </si>
  <si>
    <t>　　　　　メキシコ</t>
    <phoneticPr fontId="61"/>
  </si>
  <si>
    <t>　　　　　米国</t>
    <rPh sb="5" eb="7">
      <t>ベイコク</t>
    </rPh>
    <phoneticPr fontId="61"/>
  </si>
  <si>
    <t>　　販売単価</t>
  </si>
  <si>
    <t>　　販売数量</t>
  </si>
  <si>
    <t>+12%</t>
    <phoneticPr fontId="61"/>
  </si>
  <si>
    <t>　　　メキシコ</t>
    <phoneticPr fontId="61"/>
  </si>
  <si>
    <t>+4%</t>
    <phoneticPr fontId="61"/>
  </si>
  <si>
    <t>　　　米国</t>
    <rPh sb="3" eb="5">
      <t>ベイコク</t>
    </rPh>
    <phoneticPr fontId="61"/>
  </si>
  <si>
    <t>【地域別】</t>
    <rPh sb="1" eb="3">
      <t>チイキ</t>
    </rPh>
    <rPh sb="3" eb="4">
      <t>ベツ</t>
    </rPh>
    <phoneticPr fontId="61"/>
  </si>
  <si>
    <t xml:space="preserve">　円ドル前提 </t>
  </si>
  <si>
    <t>FY</t>
  </si>
  <si>
    <t>2H</t>
  </si>
  <si>
    <t>1H</t>
  </si>
  <si>
    <t>1-3Q</t>
  </si>
  <si>
    <t>4Q</t>
  </si>
  <si>
    <t>3Q</t>
  </si>
  <si>
    <t>2Q</t>
  </si>
  <si>
    <t>1Q</t>
  </si>
  <si>
    <t>FY3/2013 Co pre. E</t>
    <phoneticPr fontId="61"/>
  </si>
  <si>
    <t>FY3/2013 Co New . E</t>
    <phoneticPr fontId="61"/>
  </si>
  <si>
    <t>SG&amp;A</t>
  </si>
  <si>
    <t>Gross margin</t>
  </si>
  <si>
    <t>2875.T</t>
  </si>
  <si>
    <t>　　　　　正麺</t>
    <rPh sb="5" eb="6">
      <t>タダ</t>
    </rPh>
    <rPh sb="6" eb="7">
      <t>メン</t>
    </rPh>
    <phoneticPr fontId="96"/>
  </si>
  <si>
    <t>　　　　　その他</t>
    <rPh sb="7" eb="8">
      <t>タ</t>
    </rPh>
    <phoneticPr fontId="96"/>
  </si>
  <si>
    <t>　　　　数量要因</t>
    <rPh sb="4" eb="6">
      <t>スウリョウ</t>
    </rPh>
    <rPh sb="6" eb="8">
      <t>ヨウイン</t>
    </rPh>
    <phoneticPr fontId="96"/>
  </si>
  <si>
    <t>　　　　単価要因</t>
    <rPh sb="4" eb="6">
      <t>タンカ</t>
    </rPh>
    <rPh sb="6" eb="8">
      <t>ヨウイン</t>
    </rPh>
    <phoneticPr fontId="96"/>
  </si>
  <si>
    <t>% sales</t>
  </si>
  <si>
    <t>autual</t>
    <phoneticPr fontId="96"/>
  </si>
  <si>
    <t>　カップ麺（わんたんも含め）</t>
    <rPh sb="11" eb="12">
      <t>フク</t>
    </rPh>
    <phoneticPr fontId="96"/>
  </si>
  <si>
    <t>Interest expense</t>
    <phoneticPr fontId="6"/>
  </si>
  <si>
    <t>EBITDA/Sales</t>
    <phoneticPr fontId="6"/>
  </si>
  <si>
    <t>Goodwill amortization</t>
    <phoneticPr fontId="6"/>
  </si>
  <si>
    <t>Leasing fee payment</t>
    <phoneticPr fontId="6"/>
  </si>
  <si>
    <t>Capital expenditure</t>
    <phoneticPr fontId="6"/>
  </si>
  <si>
    <t>Per Share data</t>
    <phoneticPr fontId="6"/>
  </si>
  <si>
    <t>Tresury stocks</t>
    <phoneticPr fontId="6"/>
  </si>
  <si>
    <t>Shares outstanding (Diluted)</t>
    <phoneticPr fontId="6"/>
  </si>
  <si>
    <t>EPS(Basic)</t>
    <phoneticPr fontId="6"/>
  </si>
  <si>
    <t>EPS(Diluted)</t>
    <phoneticPr fontId="6"/>
  </si>
  <si>
    <t>DPS</t>
    <phoneticPr fontId="6"/>
  </si>
  <si>
    <t>As % of total sales</t>
    <phoneticPr fontId="6"/>
  </si>
  <si>
    <t>Gross profits</t>
    <phoneticPr fontId="6"/>
  </si>
  <si>
    <t>SG&amp;A</t>
    <phoneticPr fontId="6"/>
  </si>
  <si>
    <t>Operating profits</t>
    <phoneticPr fontId="6"/>
  </si>
  <si>
    <t>Net profits</t>
    <phoneticPr fontId="6"/>
  </si>
  <si>
    <t>Tax rate</t>
    <phoneticPr fontId="6"/>
  </si>
  <si>
    <t>yoy chg.</t>
    <phoneticPr fontId="6"/>
  </si>
  <si>
    <t>Sales</t>
    <phoneticPr fontId="6"/>
  </si>
  <si>
    <t>Bag noodle</t>
  </si>
  <si>
    <t>Standard products</t>
  </si>
  <si>
    <t>sales volume</t>
  </si>
  <si>
    <t>unit price (yen/unit)</t>
  </si>
  <si>
    <t>Open priced products</t>
  </si>
  <si>
    <t>Cup noodles</t>
  </si>
  <si>
    <t>Seimen</t>
  </si>
  <si>
    <t>Chuka Seimen sales volume</t>
  </si>
  <si>
    <t>Market share</t>
  </si>
  <si>
    <t>Estimated volume by Toyo Suisan</t>
  </si>
  <si>
    <t>Frozen food</t>
  </si>
  <si>
    <t>Chilled food</t>
  </si>
  <si>
    <t>Neri products</t>
  </si>
  <si>
    <t>Soup</t>
  </si>
  <si>
    <t>Seasonings</t>
  </si>
  <si>
    <t>Packaged rice</t>
  </si>
  <si>
    <t>Elimination</t>
  </si>
  <si>
    <t>Sales breakdown</t>
  </si>
  <si>
    <t>Domestic</t>
  </si>
  <si>
    <t>Instant noodle</t>
  </si>
  <si>
    <t>Frozen and Refrigerated Foods</t>
  </si>
  <si>
    <t>Seafood</t>
  </si>
  <si>
    <t>Processed foods</t>
  </si>
  <si>
    <t>Cold-storage</t>
  </si>
  <si>
    <t>Overseas</t>
  </si>
  <si>
    <t>North America</t>
  </si>
  <si>
    <t>Mexico</t>
  </si>
  <si>
    <t>Sales breakdown(Prev.)</t>
    <phoneticPr fontId="6"/>
  </si>
  <si>
    <t>Parent</t>
    <phoneticPr fontId="6"/>
  </si>
  <si>
    <t>Maruchan Inc.</t>
    <phoneticPr fontId="6"/>
  </si>
  <si>
    <t>Other</t>
    <phoneticPr fontId="6"/>
  </si>
  <si>
    <t>Freezer</t>
    <phoneticPr fontId="6"/>
  </si>
  <si>
    <t>Total</t>
    <phoneticPr fontId="6"/>
  </si>
  <si>
    <t>Overseas instant noodle</t>
  </si>
  <si>
    <t>Domestic instant noodle</t>
  </si>
  <si>
    <t>Increase/decrease</t>
  </si>
  <si>
    <t>Sales increase</t>
  </si>
  <si>
    <t>Marginal profit</t>
  </si>
  <si>
    <t>Raw materials</t>
  </si>
  <si>
    <t>FOREX</t>
  </si>
  <si>
    <t>Manufacturing cost</t>
  </si>
  <si>
    <t>Parent</t>
  </si>
  <si>
    <t>Subsidiaries</t>
  </si>
  <si>
    <t>By area</t>
  </si>
  <si>
    <t>Japan</t>
  </si>
  <si>
    <t xml:space="preserve"> Parent</t>
  </si>
  <si>
    <t>By segments</t>
  </si>
  <si>
    <t>FX assumptions</t>
  </si>
  <si>
    <t>USD base</t>
  </si>
  <si>
    <t>by area</t>
  </si>
  <si>
    <t>Sales volume</t>
  </si>
  <si>
    <t>Sales price</t>
  </si>
  <si>
    <t>Bag noodles</t>
  </si>
  <si>
    <t xml:space="preserve">     Seimen</t>
  </si>
  <si>
    <t xml:space="preserve">     Others</t>
  </si>
  <si>
    <t>Namamen</t>
  </si>
  <si>
    <t>Frozen foods</t>
  </si>
  <si>
    <t>Chilled foods</t>
  </si>
  <si>
    <t>Rice</t>
  </si>
  <si>
    <t>check</t>
  </si>
  <si>
    <t>Operating profit</t>
  </si>
  <si>
    <t>by segments</t>
  </si>
  <si>
    <t>OPM</t>
  </si>
  <si>
    <t xml:space="preserve">  volume impact</t>
  </si>
  <si>
    <t xml:space="preserve">  price impact</t>
  </si>
  <si>
    <t>Raw material costs</t>
  </si>
  <si>
    <t>Manufacturing costs</t>
  </si>
  <si>
    <t>Labor costs</t>
  </si>
  <si>
    <t>Power cost</t>
  </si>
  <si>
    <t>Promotion costs</t>
  </si>
  <si>
    <t>TVCM</t>
  </si>
  <si>
    <t>food stamp</t>
    <phoneticPr fontId="96"/>
  </si>
  <si>
    <t>mil. users</t>
    <phoneticPr fontId="96"/>
  </si>
  <si>
    <t>till Nov. 2013</t>
    <phoneticPr fontId="96"/>
  </si>
  <si>
    <t>USD per month</t>
    <phoneticPr fontId="96"/>
  </si>
  <si>
    <t>from Nov. 2013</t>
    <phoneticPr fontId="96"/>
  </si>
  <si>
    <t>bil. USD</t>
    <phoneticPr fontId="96"/>
  </si>
  <si>
    <t>Processed Foods</t>
  </si>
  <si>
    <t>Cold-Storage</t>
  </si>
  <si>
    <t xml:space="preserve">Overseas Instant Noodle </t>
  </si>
  <si>
    <t>2016年度</t>
  </si>
  <si>
    <t>FY3/17</t>
  </si>
  <si>
    <t>AWE</t>
  </si>
  <si>
    <t>　　既存工場</t>
    <rPh sb="2" eb="4">
      <t>キゾン</t>
    </rPh>
    <rPh sb="4" eb="6">
      <t>コウジョウ</t>
    </rPh>
    <phoneticPr fontId="96"/>
  </si>
  <si>
    <t>　　テキサス工場</t>
    <rPh sb="6" eb="8">
      <t>コウジョウ</t>
    </rPh>
    <phoneticPr fontId="96"/>
  </si>
  <si>
    <t>Effective Tax rate</t>
  </si>
  <si>
    <t>yield rate</t>
  </si>
  <si>
    <t>depreciation ratio</t>
  </si>
  <si>
    <t>Domestic Instant Noodle</t>
  </si>
  <si>
    <t>Old</t>
  </si>
  <si>
    <t>New</t>
  </si>
  <si>
    <t>3Q</t>
    <phoneticPr fontId="96"/>
  </si>
  <si>
    <t>4Q</t>
    <phoneticPr fontId="96"/>
  </si>
  <si>
    <t>as of 2014/10/31</t>
    <phoneticPr fontId="96"/>
  </si>
  <si>
    <t>actual</t>
  </si>
  <si>
    <t>As of Jan 30</t>
  </si>
  <si>
    <t>　　　値上げ効果</t>
    <rPh sb="3" eb="5">
      <t>ネア</t>
    </rPh>
    <rPh sb="6" eb="8">
      <t>コウカ</t>
    </rPh>
    <phoneticPr fontId="96"/>
  </si>
  <si>
    <t>　　　原材料費用</t>
    <rPh sb="3" eb="6">
      <t>ゲンザイリョウ</t>
    </rPh>
    <rPh sb="6" eb="8">
      <t>ヒヨウ</t>
    </rPh>
    <phoneticPr fontId="96"/>
  </si>
  <si>
    <t>FY2017</t>
    <phoneticPr fontId="96"/>
  </si>
  <si>
    <t>2018/3予</t>
    <phoneticPr fontId="61"/>
  </si>
  <si>
    <t>4Q</t>
    <phoneticPr fontId="96"/>
  </si>
  <si>
    <t>FY</t>
    <phoneticPr fontId="96"/>
  </si>
  <si>
    <t>FY3/2008</t>
    <phoneticPr fontId="96"/>
  </si>
  <si>
    <t>FY3/2007</t>
    <phoneticPr fontId="96"/>
  </si>
  <si>
    <t>1-3Q</t>
    <phoneticPr fontId="96"/>
  </si>
  <si>
    <t>FY3/2016 CoE</t>
  </si>
  <si>
    <t xml:space="preserve">1Q </t>
  </si>
  <si>
    <t>2017年度</t>
  </si>
  <si>
    <t>1Q</t>
    <phoneticPr fontId="96"/>
  </si>
  <si>
    <t>2Q</t>
    <phoneticPr fontId="96"/>
  </si>
  <si>
    <t>1Q</t>
    <phoneticPr fontId="96"/>
  </si>
  <si>
    <t>2Q</t>
    <phoneticPr fontId="96"/>
  </si>
  <si>
    <t>1H</t>
    <phoneticPr fontId="96"/>
  </si>
  <si>
    <t>2H</t>
    <phoneticPr fontId="96"/>
  </si>
  <si>
    <t>やや足りない</t>
    <rPh sb="2" eb="3">
      <t>タ</t>
    </rPh>
    <phoneticPr fontId="96"/>
  </si>
  <si>
    <t>　　正麺カップ</t>
    <rPh sb="2" eb="3">
      <t>タダ</t>
    </rPh>
    <rPh sb="3" eb="4">
      <t>メン</t>
    </rPh>
    <phoneticPr fontId="61"/>
  </si>
  <si>
    <t>Payout ratio</t>
  </si>
  <si>
    <t>EBITDA margin</t>
    <phoneticPr fontId="0" type="noConversion"/>
  </si>
  <si>
    <t>Net debt after investment securities adjustment</t>
  </si>
  <si>
    <t>Toyo Suisan (2875)</t>
    <phoneticPr fontId="6"/>
  </si>
  <si>
    <t>Fiscal year</t>
    <phoneticPr fontId="6"/>
  </si>
  <si>
    <t>Consolidated PL</t>
    <phoneticPr fontId="6"/>
  </si>
  <si>
    <t>(¥ mn)</t>
    <phoneticPr fontId="6"/>
  </si>
  <si>
    <t>Advertising expense</t>
    <phoneticPr fontId="6"/>
  </si>
  <si>
    <t>Sales promotion cost</t>
    <phoneticPr fontId="6"/>
  </si>
  <si>
    <t>Others</t>
    <phoneticPr fontId="64"/>
  </si>
  <si>
    <t>Interest income</t>
    <phoneticPr fontId="6"/>
  </si>
  <si>
    <t>Depreciation</t>
    <phoneticPr fontId="6"/>
  </si>
  <si>
    <t>Shares outstanding (Basic)</t>
    <phoneticPr fontId="6"/>
  </si>
  <si>
    <t>Pay out ratio</t>
    <phoneticPr fontId="6"/>
  </si>
  <si>
    <t>CF/stock</t>
  </si>
  <si>
    <t>BPS</t>
    <phoneticPr fontId="6"/>
  </si>
  <si>
    <t>BPS basic</t>
  </si>
  <si>
    <t>Recurring profits</t>
    <phoneticPr fontId="6"/>
  </si>
  <si>
    <t># of products ('000)</t>
  </si>
  <si>
    <t>Unit price</t>
  </si>
  <si>
    <t>Fish and seafood</t>
    <phoneticPr fontId="6"/>
  </si>
  <si>
    <t>Processed food</t>
    <phoneticPr fontId="6"/>
  </si>
  <si>
    <t>OP breakdown(New.)</t>
    <phoneticPr fontId="6"/>
  </si>
  <si>
    <t>Input costs (A+B+C)</t>
  </si>
  <si>
    <t>A: Flour usage costs</t>
  </si>
  <si>
    <t>Sales volume (mn meals)</t>
  </si>
  <si>
    <t>Flour usage volume (g/meal)</t>
  </si>
  <si>
    <t>Govt. sales price of imported wheat (¥/t)</t>
  </si>
  <si>
    <t>Margin</t>
  </si>
  <si>
    <t>B: Palm oil usage costs</t>
  </si>
  <si>
    <t>Palm oil usage volume (g/meal)</t>
  </si>
  <si>
    <t>Palm oil price (US$/t)</t>
  </si>
  <si>
    <t>C: Other input costs (packaging materials, etc.)</t>
  </si>
  <si>
    <t>Operating profits breakdown(Prev.)</t>
    <phoneticPr fontId="6"/>
  </si>
  <si>
    <t xml:space="preserve">  Domestic</t>
    <phoneticPr fontId="6"/>
  </si>
  <si>
    <t xml:space="preserve">  Overseas</t>
    <phoneticPr fontId="6"/>
  </si>
  <si>
    <t xml:space="preserve">Other </t>
    <phoneticPr fontId="6"/>
  </si>
  <si>
    <t>Adjustment</t>
    <phoneticPr fontId="6"/>
  </si>
  <si>
    <t>Sales by region</t>
    <phoneticPr fontId="6"/>
  </si>
  <si>
    <t>Japan</t>
    <phoneticPr fontId="6"/>
  </si>
  <si>
    <t>North America</t>
    <phoneticPr fontId="6"/>
  </si>
  <si>
    <t xml:space="preserve">  Maruchan Inc.</t>
    <phoneticPr fontId="6"/>
  </si>
  <si>
    <t>Forex</t>
    <phoneticPr fontId="6"/>
  </si>
  <si>
    <t>Japna</t>
    <phoneticPr fontId="6"/>
  </si>
  <si>
    <t>Net sales</t>
    <phoneticPr fontId="6"/>
  </si>
  <si>
    <t xml:space="preserve"> USA</t>
    <phoneticPr fontId="6"/>
  </si>
  <si>
    <t xml:space="preserve"> Mexico</t>
    <phoneticPr fontId="6"/>
  </si>
  <si>
    <t>Cost of sales</t>
    <phoneticPr fontId="6"/>
  </si>
  <si>
    <t>SG&amp;A expense</t>
    <phoneticPr fontId="6"/>
  </si>
  <si>
    <t>Nonoperating income</t>
    <phoneticPr fontId="6"/>
  </si>
  <si>
    <t>% of sales</t>
    <phoneticPr fontId="6"/>
  </si>
  <si>
    <t>Volume in USA</t>
    <phoneticPr fontId="6"/>
  </si>
  <si>
    <t>Volume in Mexico</t>
    <phoneticPr fontId="6"/>
  </si>
  <si>
    <t>Pricing in USA</t>
    <phoneticPr fontId="6"/>
  </si>
  <si>
    <t>Pricing in Mexico</t>
    <phoneticPr fontId="6"/>
  </si>
  <si>
    <t xml:space="preserve">  Instant noodle</t>
    <phoneticPr fontId="6"/>
  </si>
  <si>
    <t xml:space="preserve">    Noodle in a bag</t>
    <phoneticPr fontId="6"/>
  </si>
  <si>
    <t xml:space="preserve"> </t>
    <phoneticPr fontId="6"/>
  </si>
  <si>
    <t xml:space="preserve">    Noodle in a cup</t>
    <phoneticPr fontId="6"/>
  </si>
  <si>
    <t xml:space="preserve">    Wantan</t>
    <phoneticPr fontId="6"/>
  </si>
  <si>
    <t xml:space="preserve">  Fresh noodle</t>
    <phoneticPr fontId="6"/>
  </si>
  <si>
    <t xml:space="preserve">  Frozen Food</t>
    <phoneticPr fontId="6"/>
  </si>
  <si>
    <t xml:space="preserve">  Chilled food</t>
    <phoneticPr fontId="6"/>
  </si>
  <si>
    <t xml:space="preserve">  Other</t>
    <phoneticPr fontId="6"/>
  </si>
  <si>
    <t xml:space="preserve">    instant rice</t>
    <phoneticPr fontId="6"/>
  </si>
  <si>
    <t>Feezer</t>
    <phoneticPr fontId="6"/>
  </si>
  <si>
    <t>Real estate rental</t>
    <phoneticPr fontId="6"/>
  </si>
  <si>
    <t>Factory operating rate decrease</t>
  </si>
  <si>
    <t>Existing</t>
  </si>
  <si>
    <t>Texas</t>
  </si>
  <si>
    <t>Property tax</t>
  </si>
  <si>
    <t>Price-up</t>
  </si>
  <si>
    <t>Mix</t>
  </si>
  <si>
    <t>Material cost</t>
  </si>
  <si>
    <t>Corporate expense</t>
  </si>
  <si>
    <t>Inventory adjustment</t>
  </si>
  <si>
    <t>2018E</t>
    <phoneticPr fontId="61"/>
  </si>
  <si>
    <t>FY3/2019</t>
    <phoneticPr fontId="96"/>
  </si>
  <si>
    <t>FY3/2020</t>
    <phoneticPr fontId="96"/>
  </si>
  <si>
    <t>FY3/2021</t>
    <phoneticPr fontId="96"/>
  </si>
  <si>
    <t>FY3/2015 CoE latest</t>
  </si>
  <si>
    <t>FY3/2015 CoE Old</t>
  </si>
  <si>
    <t xml:space="preserve">  Palm Oil</t>
  </si>
  <si>
    <t xml:space="preserve">  Wheat</t>
  </si>
  <si>
    <t>　　　　小麦粉</t>
  </si>
  <si>
    <t>　　　　パーム油</t>
  </si>
  <si>
    <t xml:space="preserve">      　固定資産税</t>
    <phoneticPr fontId="96"/>
  </si>
  <si>
    <t>3Q</t>
    <phoneticPr fontId="96"/>
  </si>
  <si>
    <t>4Q</t>
    <phoneticPr fontId="96"/>
  </si>
  <si>
    <t>1-3Q</t>
    <phoneticPr fontId="96"/>
  </si>
  <si>
    <t>　　　　単価効果（正めん効果も混み）</t>
    <rPh sb="4" eb="6">
      <t>タンカ</t>
    </rPh>
    <rPh sb="6" eb="8">
      <t>コウカ</t>
    </rPh>
    <rPh sb="9" eb="10">
      <t>タダ</t>
    </rPh>
    <rPh sb="12" eb="14">
      <t>コウカ</t>
    </rPh>
    <rPh sb="15" eb="16">
      <t>コ</t>
    </rPh>
    <phoneticPr fontId="96"/>
  </si>
  <si>
    <t>FY3/2015</t>
  </si>
  <si>
    <t>FY3/2017</t>
  </si>
  <si>
    <t xml:space="preserve">   　　その他（運賃）</t>
  </si>
  <si>
    <t>2018年度</t>
  </si>
  <si>
    <t>FY3/18</t>
  </si>
  <si>
    <t>FY3/19</t>
  </si>
  <si>
    <t>FY3/2019</t>
  </si>
  <si>
    <t>2桁以上</t>
    <rPh sb="1" eb="2">
      <t>ケタ</t>
    </rPh>
    <rPh sb="2" eb="4">
      <t>イジョウ</t>
    </rPh>
    <phoneticPr fontId="96"/>
  </si>
  <si>
    <t>　　動力費、その他</t>
    <rPh sb="8" eb="9">
      <t>タ</t>
    </rPh>
    <phoneticPr fontId="96"/>
  </si>
  <si>
    <t>　　動力費</t>
  </si>
  <si>
    <t>Flat</t>
  </si>
  <si>
    <t>+2%</t>
  </si>
  <si>
    <t>-7%</t>
  </si>
  <si>
    <t>FY3/2018</t>
  </si>
  <si>
    <t>FY3/2022</t>
  </si>
  <si>
    <t>16-21 cagr</t>
  </si>
  <si>
    <t>2019年度</t>
  </si>
  <si>
    <t>2020年度</t>
  </si>
  <si>
    <t>2021年度</t>
  </si>
  <si>
    <t>FY3/20</t>
  </si>
  <si>
    <t>FY3/21</t>
  </si>
  <si>
    <t>FY3/22</t>
  </si>
  <si>
    <t>±4％</t>
  </si>
  <si>
    <t>Maruchan Seimen</t>
  </si>
  <si>
    <t>既存縦型カップ</t>
  </si>
  <si>
    <t>Vertical cup total</t>
  </si>
  <si>
    <t>縦型カップトータル</t>
  </si>
  <si>
    <t>QTTA</t>
  </si>
  <si>
    <t>FY3/2018 CoE</t>
  </si>
  <si>
    <t>OP</t>
  </si>
  <si>
    <t>Margin %</t>
  </si>
  <si>
    <t>部門別営業利益（報告セグメント）</t>
  </si>
  <si>
    <t>FY2019</t>
  </si>
  <si>
    <t>FY3/2023</t>
    <phoneticPr fontId="96"/>
  </si>
  <si>
    <t>M&amp;A probability (1 = high, 3 = low)</t>
  </si>
  <si>
    <t>.</t>
    <phoneticPr fontId="96"/>
  </si>
  <si>
    <t>FY3/2018</t>
    <phoneticPr fontId="96"/>
  </si>
  <si>
    <t>　　　運賃</t>
    <rPh sb="3" eb="5">
      <t>ウンチン</t>
    </rPh>
    <phoneticPr fontId="96"/>
  </si>
  <si>
    <t>　　　宣伝費</t>
    <rPh sb="3" eb="6">
      <t>センデンヒ</t>
    </rPh>
    <phoneticPr fontId="96"/>
  </si>
  <si>
    <t>　　　その他</t>
    <rPh sb="5" eb="6">
      <t>タ</t>
    </rPh>
    <phoneticPr fontId="96"/>
  </si>
  <si>
    <t>　　　　　包材/ダンボール</t>
    <rPh sb="5" eb="6">
      <t>ツツミ</t>
    </rPh>
    <rPh sb="6" eb="7">
      <t>ザイ</t>
    </rPh>
    <phoneticPr fontId="96"/>
  </si>
  <si>
    <t>　　　　増収効果</t>
    <rPh sb="4" eb="6">
      <t>ゾウシュウ</t>
    </rPh>
    <rPh sb="6" eb="8">
      <t>コウカ</t>
    </rPh>
    <phoneticPr fontId="96"/>
  </si>
  <si>
    <t>　　　　値上げ効果</t>
    <rPh sb="4" eb="6">
      <t>ネア</t>
    </rPh>
    <rPh sb="7" eb="9">
      <t>コウカ</t>
    </rPh>
    <phoneticPr fontId="96"/>
  </si>
  <si>
    <t>　　　　減価償却費</t>
    <rPh sb="4" eb="6">
      <t>ゲンカ</t>
    </rPh>
    <rPh sb="6" eb="8">
      <t>ショウキャク</t>
    </rPh>
    <rPh sb="8" eb="9">
      <t>ヒ</t>
    </rPh>
    <phoneticPr fontId="96"/>
  </si>
  <si>
    <t>　　　　その他（固定資産税の増加等）</t>
    <rPh sb="6" eb="7">
      <t>タ</t>
    </rPh>
    <rPh sb="8" eb="10">
      <t>コテイ</t>
    </rPh>
    <rPh sb="10" eb="12">
      <t>シサン</t>
    </rPh>
    <rPh sb="12" eb="13">
      <t>ゼイ</t>
    </rPh>
    <rPh sb="14" eb="16">
      <t>ゾウカ</t>
    </rPh>
    <rPh sb="16" eb="17">
      <t>トウ</t>
    </rPh>
    <phoneticPr fontId="96"/>
  </si>
  <si>
    <t>　　　　原材料費</t>
    <rPh sb="4" eb="7">
      <t>ゲンザイリョウ</t>
    </rPh>
    <rPh sb="7" eb="8">
      <t>ヒ</t>
    </rPh>
    <phoneticPr fontId="96"/>
  </si>
  <si>
    <t>1Q</t>
    <phoneticPr fontId="96"/>
  </si>
  <si>
    <t>2Q</t>
    <phoneticPr fontId="96"/>
  </si>
  <si>
    <t>　　　　人件費</t>
    <rPh sb="4" eb="7">
      <t>ジンケンヒ</t>
    </rPh>
    <phoneticPr fontId="96"/>
  </si>
  <si>
    <t>2022年度</t>
    <rPh sb="4" eb="6">
      <t>ネンド</t>
    </rPh>
    <phoneticPr fontId="96"/>
  </si>
  <si>
    <t>Previous estimate</t>
    <phoneticPr fontId="96"/>
  </si>
  <si>
    <t>FY3/23</t>
    <phoneticPr fontId="96"/>
  </si>
  <si>
    <t>微増</t>
    <rPh sb="0" eb="2">
      <t>ビゾウ</t>
    </rPh>
    <phoneticPr fontId="96"/>
  </si>
  <si>
    <t>正麺は3％以上の減収</t>
    <rPh sb="0" eb="1">
      <t>セイ</t>
    </rPh>
    <rPh sb="1" eb="2">
      <t>メン</t>
    </rPh>
    <rPh sb="5" eb="7">
      <t>イジョウ</t>
    </rPh>
    <rPh sb="8" eb="10">
      <t>ゲンシュウ</t>
    </rPh>
    <phoneticPr fontId="96"/>
  </si>
  <si>
    <t>Distribution</t>
  </si>
  <si>
    <t>Advertising</t>
  </si>
  <si>
    <t xml:space="preserve">Wheat </t>
  </si>
  <si>
    <t>Package</t>
  </si>
  <si>
    <t>Increase</t>
  </si>
  <si>
    <t>2023E</t>
    <phoneticPr fontId="96"/>
  </si>
  <si>
    <t>FY3/2024</t>
    <phoneticPr fontId="96"/>
  </si>
  <si>
    <t>FY2023E</t>
    <phoneticPr fontId="96"/>
  </si>
  <si>
    <t>2023E</t>
    <phoneticPr fontId="96"/>
  </si>
  <si>
    <t>FY3/2024E</t>
    <phoneticPr fontId="96"/>
  </si>
  <si>
    <t>NEW</t>
  </si>
  <si>
    <t>3Q</t>
    <phoneticPr fontId="96"/>
  </si>
  <si>
    <t>4Q</t>
    <phoneticPr fontId="96"/>
  </si>
  <si>
    <t>基本的に減価償却費の増加が減益要因。あとは、販促費の増加。</t>
    <rPh sb="0" eb="3">
      <t>キホンテキ</t>
    </rPh>
    <rPh sb="4" eb="6">
      <t>ゲンカ</t>
    </rPh>
    <rPh sb="6" eb="8">
      <t>ショウキャク</t>
    </rPh>
    <rPh sb="8" eb="9">
      <t>ヒ</t>
    </rPh>
    <rPh sb="10" eb="12">
      <t>ゾウカ</t>
    </rPh>
    <rPh sb="13" eb="15">
      <t>ゲンエキ</t>
    </rPh>
    <rPh sb="15" eb="17">
      <t>ヨウイン</t>
    </rPh>
    <rPh sb="22" eb="24">
      <t>ハンソク</t>
    </rPh>
    <rPh sb="24" eb="25">
      <t>ヒ</t>
    </rPh>
    <rPh sb="26" eb="28">
      <t>ゾウカ</t>
    </rPh>
    <phoneticPr fontId="96"/>
  </si>
  <si>
    <t>FY3/2020 CoE</t>
  </si>
  <si>
    <t>Paste</t>
  </si>
  <si>
    <t>FY3/2020</t>
  </si>
  <si>
    <t>DPS (円);安定配当が基本⇒30％へ</t>
  </si>
  <si>
    <t>ネットデット(投資有価証券調整後)</t>
  </si>
  <si>
    <t>FY3/24</t>
    <phoneticPr fontId="96"/>
  </si>
  <si>
    <t>FY2018</t>
    <phoneticPr fontId="96"/>
  </si>
  <si>
    <t>　　　　ミックス効果/数量効果</t>
    <rPh sb="8" eb="10">
      <t>コウカ</t>
    </rPh>
    <rPh sb="11" eb="13">
      <t>スウリョウ</t>
    </rPh>
    <rPh sb="13" eb="15">
      <t>コウカ</t>
    </rPh>
    <phoneticPr fontId="96"/>
  </si>
  <si>
    <t xml:space="preserve">      　その他（補修）</t>
    <rPh sb="9" eb="10">
      <t>タ</t>
    </rPh>
    <rPh sb="11" eb="13">
      <t>ホシュウ</t>
    </rPh>
    <phoneticPr fontId="96"/>
  </si>
  <si>
    <t>　　　運賃</t>
    <rPh sb="3" eb="5">
      <t>ウンチン</t>
    </rPh>
    <phoneticPr fontId="96"/>
  </si>
  <si>
    <t>　　　販促費</t>
    <rPh sb="3" eb="5">
      <t>ハンソク</t>
    </rPh>
    <rPh sb="5" eb="6">
      <t>ヒ</t>
    </rPh>
    <phoneticPr fontId="96"/>
  </si>
  <si>
    <t>+9%</t>
    <phoneticPr fontId="96"/>
  </si>
  <si>
    <t>+8%</t>
    <phoneticPr fontId="96"/>
  </si>
  <si>
    <t>+5%</t>
  </si>
  <si>
    <t>Distribution expense</t>
  </si>
  <si>
    <t>Marketing expense</t>
  </si>
  <si>
    <t>(mn JPY)</t>
  </si>
  <si>
    <t>横ばい</t>
    <rPh sb="0" eb="1">
      <t>ヨコ</t>
    </rPh>
    <phoneticPr fontId="96"/>
  </si>
  <si>
    <t>FY2024E</t>
  </si>
  <si>
    <t>2024E</t>
  </si>
  <si>
    <t>FY3/2025</t>
  </si>
  <si>
    <t>FY3/2025E</t>
  </si>
  <si>
    <t>　　　　　小麦,パーム油</t>
  </si>
  <si>
    <t>+4%</t>
  </si>
  <si>
    <t>　　　　物流費</t>
  </si>
  <si>
    <t>FY3/25</t>
  </si>
  <si>
    <t>微増</t>
  </si>
  <si>
    <t>横ばい</t>
  </si>
  <si>
    <t>-4～5％</t>
  </si>
  <si>
    <t>’+5％</t>
  </si>
  <si>
    <t>’+2％</t>
  </si>
  <si>
    <t>’+DD%</t>
  </si>
  <si>
    <t>pasted</t>
  </si>
  <si>
    <t>FY3/2021 CoE</t>
  </si>
  <si>
    <t>mid-term</t>
  </si>
  <si>
    <t>FY3/2022 CoE</t>
  </si>
  <si>
    <t>FY3/2021</t>
  </si>
  <si>
    <t>Income/loss from equity metHLd investment</t>
  </si>
  <si>
    <t>-3%</t>
  </si>
  <si>
    <t>+10%</t>
  </si>
  <si>
    <t>+28%</t>
  </si>
  <si>
    <t>価格効果+数量増</t>
  </si>
  <si>
    <t>　　　　包材、その他（SKU絞り込み）</t>
  </si>
  <si>
    <t>FY2025E</t>
  </si>
  <si>
    <t>FY3/2026E</t>
  </si>
  <si>
    <t>2025E</t>
  </si>
  <si>
    <t>FY3/2026</t>
  </si>
  <si>
    <t>FY3/26</t>
  </si>
  <si>
    <t>+19%</t>
  </si>
  <si>
    <t>+6%</t>
  </si>
  <si>
    <t>FY3/2023</t>
  </si>
  <si>
    <t>Current Publication Date:</t>
  </si>
  <si>
    <t>Currency:</t>
  </si>
  <si>
    <t>Current shares outstanding (mn):</t>
  </si>
  <si>
    <t>Market Cap (JPY mn):</t>
  </si>
  <si>
    <t>Target Price/ Target price period/ Upside/downside to target price</t>
  </si>
  <si>
    <t>Price hike effect</t>
  </si>
  <si>
    <t>-22%</t>
  </si>
  <si>
    <t>+15%</t>
  </si>
  <si>
    <t>+8%</t>
  </si>
  <si>
    <t>2022年度</t>
  </si>
  <si>
    <t>2023年度</t>
  </si>
  <si>
    <t>2024年度</t>
  </si>
  <si>
    <t>2025年度</t>
  </si>
  <si>
    <t>OLD</t>
  </si>
  <si>
    <t>value pasted</t>
  </si>
  <si>
    <t>2021Co'E</t>
  </si>
  <si>
    <t>FY3/2022Co'E</t>
  </si>
  <si>
    <t>2021Co'sE</t>
  </si>
  <si>
    <t>restated</t>
  </si>
  <si>
    <t>新基準</t>
  </si>
  <si>
    <t>New base</t>
  </si>
  <si>
    <t>FY2020</t>
  </si>
  <si>
    <t xml:space="preserve">      Fy21～の収益認識基準の影響</t>
  </si>
  <si>
    <t>+3%</t>
  </si>
  <si>
    <t>+14%</t>
  </si>
  <si>
    <t>　　数量</t>
  </si>
  <si>
    <t>　　　　　　　小麦</t>
  </si>
  <si>
    <t>　　　　　　　パーム油</t>
  </si>
  <si>
    <t>　　　　販促費(FY21～）</t>
  </si>
  <si>
    <t>　　販促費(FY21～は売上へ)</t>
  </si>
  <si>
    <t>FY2026E</t>
  </si>
  <si>
    <t>2026E</t>
  </si>
  <si>
    <t>FY3/2027</t>
  </si>
  <si>
    <t>FY3/2027E</t>
  </si>
  <si>
    <t>’+10％</t>
  </si>
  <si>
    <t>-2～3％</t>
  </si>
  <si>
    <t>FY3/2024</t>
  </si>
  <si>
    <t xml:space="preserve">      値上げ効果（単価のみ）</t>
  </si>
  <si>
    <t>FY3/27</t>
  </si>
  <si>
    <t>ok</t>
  </si>
  <si>
    <t>引き上げ</t>
  </si>
  <si>
    <t>引き上げ（減益要因になる）</t>
  </si>
  <si>
    <t>+9%</t>
  </si>
  <si>
    <t>-1%</t>
  </si>
  <si>
    <t>-6%</t>
  </si>
  <si>
    <t>+1%</t>
  </si>
  <si>
    <t>flat</t>
  </si>
  <si>
    <t>FY3/2023 CoE</t>
  </si>
  <si>
    <t>FY3/23</t>
  </si>
  <si>
    <t>2022Co'E</t>
  </si>
  <si>
    <t>　　　　数量効果</t>
  </si>
  <si>
    <t>　　単価</t>
  </si>
  <si>
    <t>MTP</t>
  </si>
  <si>
    <t>FY3/2023Co'E</t>
  </si>
  <si>
    <t>2022Co'sE</t>
  </si>
  <si>
    <t>　　小麦</t>
  </si>
  <si>
    <t>　　その他（包材など）</t>
  </si>
  <si>
    <t>+2-3%</t>
  </si>
  <si>
    <t>　　売上高増減(vol.)</t>
  </si>
  <si>
    <t xml:space="preserve">    Volume(YoY)</t>
  </si>
  <si>
    <t xml:space="preserve">    Pricing(YoY)</t>
  </si>
  <si>
    <t>FY3/2028</t>
  </si>
  <si>
    <t>2027E</t>
  </si>
  <si>
    <t>FY2021</t>
  </si>
  <si>
    <t>FY2027E</t>
  </si>
  <si>
    <t>FY3/2028E</t>
  </si>
  <si>
    <t>Cos prev E</t>
  </si>
  <si>
    <t>FY3/24E</t>
  </si>
  <si>
    <t>Cos New E after 1H</t>
  </si>
  <si>
    <t>0％</t>
  </si>
  <si>
    <t>+20%</t>
  </si>
  <si>
    <t>-2%</t>
  </si>
  <si>
    <t>GSE旧</t>
  </si>
  <si>
    <t>3Q従来</t>
  </si>
  <si>
    <t>↑+5%前提</t>
  </si>
  <si>
    <t xml:space="preserve">        QTTA</t>
  </si>
  <si>
    <t>伸びた分はQTTA</t>
  </si>
  <si>
    <t xml:space="preserve">        その他</t>
  </si>
  <si>
    <t>±0％</t>
  </si>
  <si>
    <t>-2％</t>
  </si>
  <si>
    <t>-3～4%</t>
  </si>
  <si>
    <t>+2桁％前半</t>
  </si>
  <si>
    <t>+7%</t>
  </si>
  <si>
    <t>+5～6%</t>
  </si>
  <si>
    <t>58～60億円ぐらい</t>
  </si>
  <si>
    <t>　現地通貨ベース(mn USD)</t>
  </si>
  <si>
    <t xml:space="preserve">               工場稼働率低下要因</t>
  </si>
  <si>
    <t>　  売上高増減</t>
  </si>
  <si>
    <t>営業利益check</t>
  </si>
  <si>
    <t>2026年度</t>
  </si>
  <si>
    <t xml:space="preserve">  Price YoY</t>
  </si>
  <si>
    <t xml:space="preserve">  【change of martinal profit(mil.USD)】</t>
  </si>
  <si>
    <t>Past 3 year CAGR</t>
  </si>
  <si>
    <t>3 year CAGR</t>
  </si>
  <si>
    <t>2023CE</t>
  </si>
  <si>
    <t>FY3/2024 CE</t>
  </si>
  <si>
    <t>CE</t>
  </si>
  <si>
    <t>+HSD</t>
  </si>
  <si>
    <t>+MSD</t>
  </si>
  <si>
    <t>-5%</t>
  </si>
  <si>
    <t>　生麺：80%程</t>
  </si>
  <si>
    <t>　冷凍食品(ほとんどBtoB)：10%強</t>
  </si>
  <si>
    <t>　チルド食品：5-10%</t>
  </si>
  <si>
    <t>　包装米飯：50%強</t>
  </si>
  <si>
    <t>　スープ(FD)：30%強程</t>
  </si>
  <si>
    <t xml:space="preserve">     YoY</t>
  </si>
  <si>
    <t xml:space="preserve">        YoY</t>
  </si>
  <si>
    <t>期末発行済株式数</t>
  </si>
  <si>
    <t>期末自己株式数</t>
  </si>
  <si>
    <t>期末株式数(自社株除き)</t>
  </si>
  <si>
    <t>期中平均株式数</t>
  </si>
  <si>
    <t>2027年度</t>
  </si>
  <si>
    <t>FY3/28</t>
  </si>
  <si>
    <t>FY3/24</t>
  </si>
  <si>
    <t>2019/3予</t>
  </si>
  <si>
    <t>2024/3予</t>
  </si>
  <si>
    <t>2025/3予</t>
  </si>
  <si>
    <t>2026/3予</t>
  </si>
  <si>
    <t>2027/3予</t>
  </si>
  <si>
    <t>2028/3予</t>
  </si>
  <si>
    <t>FY3/2024CE</t>
  </si>
  <si>
    <t xml:space="preserve">       YoY</t>
  </si>
  <si>
    <t xml:space="preserve">      YoY</t>
  </si>
  <si>
    <t>2011/3予</t>
  </si>
  <si>
    <t>2020/3</t>
  </si>
  <si>
    <t>2021/3</t>
  </si>
  <si>
    <t>2022/3</t>
  </si>
  <si>
    <t>2023/3</t>
  </si>
  <si>
    <t xml:space="preserve">                 YoY</t>
  </si>
  <si>
    <t xml:space="preserve">                YoY</t>
  </si>
  <si>
    <t xml:space="preserve">          </t>
  </si>
  <si>
    <t xml:space="preserve">              YoY</t>
  </si>
  <si>
    <t xml:space="preserve">    Existing Vertical cup</t>
  </si>
  <si>
    <t xml:space="preserve">     QTTA</t>
  </si>
  <si>
    <t>Seimen : 80%</t>
  </si>
  <si>
    <t>　生麺 : 80%</t>
  </si>
  <si>
    <t>FY2022</t>
  </si>
  <si>
    <t xml:space="preserve"> YoY</t>
  </si>
  <si>
    <t xml:space="preserve">   GPM</t>
  </si>
  <si>
    <t xml:space="preserve">    YoY</t>
  </si>
  <si>
    <t>　OPM</t>
  </si>
  <si>
    <t>利益増減</t>
  </si>
  <si>
    <t xml:space="preserve">   Volume Effect - revenue</t>
  </si>
  <si>
    <t xml:space="preserve">   Volume Effect  - Profit</t>
  </si>
  <si>
    <t xml:space="preserve">   Price Effect</t>
  </si>
  <si>
    <t xml:space="preserve">  原材料費　</t>
  </si>
  <si>
    <t>　製造経費（人件費、減価償却費など）</t>
  </si>
  <si>
    <t>　値上げ効果</t>
  </si>
  <si>
    <t>　　パーム油コスト</t>
  </si>
  <si>
    <t>　　小麦粉コスト</t>
  </si>
  <si>
    <t>　　その他材料コスト</t>
  </si>
  <si>
    <t>　限界利益率</t>
  </si>
  <si>
    <t>　 売上高増減</t>
  </si>
  <si>
    <t xml:space="preserve"> Revenue effect</t>
  </si>
  <si>
    <t xml:space="preserve"> Raw material</t>
  </si>
  <si>
    <t xml:space="preserve"> Production cost</t>
  </si>
  <si>
    <t xml:space="preserve"> SGA</t>
  </si>
  <si>
    <t>　　　　パーム市況（ドル/トン）</t>
  </si>
  <si>
    <t>Palm oil spot price (US$/t)</t>
  </si>
  <si>
    <t xml:space="preserve">       yoy %</t>
  </si>
  <si>
    <t>3yr CAGR</t>
  </si>
  <si>
    <t>5yr CAGR</t>
  </si>
  <si>
    <t xml:space="preserve">   3yr CAGR</t>
  </si>
  <si>
    <t xml:space="preserve">   5yr CAGR</t>
  </si>
  <si>
    <t>EBIT Margin</t>
  </si>
  <si>
    <t xml:space="preserve">          YoY</t>
  </si>
  <si>
    <t>OP by segment</t>
  </si>
  <si>
    <t>Buy</t>
  </si>
  <si>
    <t>Volume</t>
  </si>
  <si>
    <t>FY3/2024E</t>
  </si>
  <si>
    <t>(Ymn)</t>
  </si>
  <si>
    <t>実額ではなく原材料費率。23/3期は期中で在庫が増えている。去年の在庫率が低く出ている。引くものが多くない。今期は在庫数量の影響が出てない。差額はQ1に一番大きく出る。▲17は計画に近い。</t>
  </si>
  <si>
    <t>マイナス</t>
  </si>
  <si>
    <t>ミックスの悪化も原価率も悪化要因。PBとかOPが増えている</t>
  </si>
  <si>
    <t>ちょっと原価率をあげることになりそう</t>
  </si>
  <si>
    <t>去年の原価率が期末在庫(22/3と22/6の差)が多く、原価率が低くなっている。22/3は1-3で需要が出て想定より在庫が低くなった。</t>
  </si>
  <si>
    <t>増益方向でもおかしくない</t>
  </si>
  <si>
    <t>在庫量の話だった。</t>
  </si>
  <si>
    <t>前年も数量3%減で▲1億、差の▲5億に関してはミックス悪化が含まれていそう</t>
  </si>
  <si>
    <t>数量-5%、値上げで売上は増加</t>
  </si>
  <si>
    <t>数量は▲10%とか</t>
  </si>
  <si>
    <t>数量で10%、値上げもしている</t>
  </si>
  <si>
    <t>前年の被災反動で数量も+5%以上、メーカー出荷価格+15%</t>
  </si>
  <si>
    <t>タマゴスープメインだがタマゴ不足、初めて値上げして数量▲10%、値上げ取り切れてない</t>
  </si>
  <si>
    <t>Q1</t>
  </si>
  <si>
    <t>Q2</t>
  </si>
  <si>
    <t>Q3</t>
  </si>
  <si>
    <t>Q4</t>
  </si>
  <si>
    <t>Japan Noodle</t>
  </si>
  <si>
    <t>America Noodle</t>
  </si>
  <si>
    <t xml:space="preserve">    Volume</t>
  </si>
  <si>
    <t xml:space="preserve">    Price / Mix</t>
  </si>
  <si>
    <t xml:space="preserve">    Variable Costs</t>
  </si>
  <si>
    <t xml:space="preserve">    Others</t>
  </si>
  <si>
    <t xml:space="preserve">    FX</t>
  </si>
  <si>
    <t xml:space="preserve">   Volume</t>
  </si>
  <si>
    <t xml:space="preserve">   Price / Mix</t>
  </si>
  <si>
    <t xml:space="preserve">   Variable cost</t>
  </si>
  <si>
    <t xml:space="preserve">   Others</t>
  </si>
  <si>
    <t>FY22 EBIT</t>
  </si>
  <si>
    <t>FY23E EBIT</t>
  </si>
  <si>
    <t>Domestic instant noodles</t>
  </si>
  <si>
    <t>Overseas instant noodles</t>
  </si>
  <si>
    <t xml:space="preserve">   FX</t>
  </si>
  <si>
    <t>FY25E EBIT</t>
  </si>
  <si>
    <t>Mid-term plan</t>
  </si>
  <si>
    <t>FY3/25E</t>
  </si>
  <si>
    <t>FY3/26E</t>
  </si>
  <si>
    <t>FY3/27E</t>
  </si>
  <si>
    <t>FY3/28E</t>
  </si>
  <si>
    <t>Impacts from new accounting standard from FY21</t>
  </si>
  <si>
    <t>Shares outstanding (excl. treasury stock) (mn)</t>
  </si>
  <si>
    <t>Avg shares outstanding (mn)</t>
  </si>
  <si>
    <t>Japan Consumer</t>
  </si>
  <si>
    <t>CRE</t>
  </si>
  <si>
    <t>2023CRE</t>
  </si>
  <si>
    <t>比率が少し増えている</t>
  </si>
  <si>
    <t>少し減っている</t>
  </si>
  <si>
    <t>5-6%</t>
  </si>
  <si>
    <t>15-20%</t>
  </si>
  <si>
    <t>Bag type</t>
  </si>
  <si>
    <t>Cup type</t>
  </si>
  <si>
    <t>Pricing</t>
  </si>
  <si>
    <t xml:space="preserve">  Rebates</t>
  </si>
  <si>
    <t xml:space="preserve"> Wheat</t>
  </si>
  <si>
    <t xml:space="preserve"> Others(packaging)</t>
  </si>
  <si>
    <t>Price (as of Jan 31, 2024) :</t>
  </si>
  <si>
    <t>12m Target Price: ¥9900, up/downside: 28%</t>
  </si>
  <si>
    <t>Japanese Yen</t>
  </si>
  <si>
    <t>92/3</t>
  </si>
  <si>
    <t>93/3</t>
  </si>
  <si>
    <t>94/3</t>
  </si>
  <si>
    <t>95/3</t>
  </si>
  <si>
    <t>96/3</t>
  </si>
  <si>
    <t>97/3</t>
  </si>
  <si>
    <t>98/3</t>
  </si>
  <si>
    <t>99/3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</si>
</sst>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1"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&quot;¥&quot;#,##0.00;[Red]&quot;¥&quot;\-#,##0.00"/>
    <numFmt numFmtId="171" formatCode="_ &quot;¥&quot;* #,##0.00_ ;_ &quot;¥&quot;* \-#,##0.00_ ;_ &quot;¥&quot;* &quot;-&quot;??_ ;_ @_ "/>
    <numFmt numFmtId="172" formatCode="_(* #,##0_);* \(#,##0\);_(* &quot;-&quot;_)"/>
    <numFmt numFmtId="173" formatCode="_(#,##0.0%_);\(#,##0.0%\);_(&quot;-&quot;?_)"/>
    <numFmt numFmtId="174" formatCode="_(* #,##0.0_);* \(#,##0.0\);_(* &quot;-&quot;_)"/>
    <numFmt numFmtId="175" formatCode="&quot;$&quot;#,##0.0;\(&quot;$&quot;#,##0.0\)"/>
    <numFmt numFmtId="176" formatCode="&quot;$&quot;#,##0.0\ \ ;&quot;$&quot;\(#,##0.0\)\ ;&quot;$&quot;&quot; - &quot;\ \ \ \ ;@_)"/>
    <numFmt numFmtId="177" formatCode="&quot;C&quot;\ &quot;´&quot;&quot;´&quot;&quot;´&quot;&quot;´&quot;\ &quot;≫&quot;&quot;≫&quot;&quot;≫&quot;&quot;≫&quot;"/>
    <numFmt numFmtId="178" formatCode="#,##0.0"/>
    <numFmt numFmtId="179" formatCode="&quot;Ç&quot;\ &quot;´&quot;&quot;´&quot;&quot;´&quot;&quot;´&quot;\ &quot;»&quot;&quot;»&quot;&quot;»&quot;&quot;»&quot;"/>
    <numFmt numFmtId="180" formatCode="0.0%"/>
    <numFmt numFmtId="181" formatCode="#,##0;\(#,##0\)"/>
    <numFmt numFmtId="182" formatCode="0\A"/>
    <numFmt numFmtId="183" formatCode="&quot;$&quot;\ #,##0.000\ \ \ \ ;&quot;$&quot;\ \(#,##0.000\)\ \ \ ;&quot;$&quot;\ &quot;-&quot;\ \ \ \ ;@_)"/>
    <numFmt numFmtId="184" formatCode="#,##0.0_);[Red]\(#,##0.0\)"/>
    <numFmt numFmtId="185" formatCode="&quot;$&quot;#,##0.0000__\ ;\(&quot;$&quot;#,##0.0000\)\ \ "/>
    <numFmt numFmtId="186" formatCode="&quot;$&quot;#,##0.0\ \ \ ;\(&quot;$&quot;#,##0.0\)\ \ \ \ "/>
    <numFmt numFmtId="187" formatCode="#,##0.000_);[Red]\(#,##0.000\)"/>
    <numFmt numFmtId="188" formatCode="&quot;$&quot;#,##0.0_);[Red]\(&quot;$&quot;#,##0.0\)"/>
    <numFmt numFmtId="189" formatCode="yyyy"/>
    <numFmt numFmtId="190" formatCode="#,##0.0_);\(#,##0.0\)"/>
    <numFmt numFmtId="191" formatCode="#,##0.0\ \ \ ;\ \(#,##0.0\)\ \ \ ;&quot;-     &quot;"/>
    <numFmt numFmtId="192" formatCode="\$0.00;\(\$0.00\)"/>
    <numFmt numFmtId="193" formatCode="_(&quot;$&quot;\ #,##0.00\ \ \ ;_(* \(&quot;$&quot;\ #,##0.00\)\ \ \ ;_(* &quot;$0.00   &quot;_)"/>
    <numFmt numFmtId="194" formatCode="#,##0.0\ \ ;\(#,##0.0\)\ ;&quot;-  &quot;"/>
    <numFmt numFmtId="195" formatCode="#,##0.0\ \ \ \ ;\(#,##0.0\)\ \ \ ;&quot;-    &quot;"/>
    <numFmt numFmtId="196" formatCode="&quot;$&quot;#,##0.000\ ___);\(&quot;$&quot;#,##0.000\)\ \ _)"/>
    <numFmt numFmtId="197" formatCode="[$€]#,##0.00;[Red][$€]\-#,##0.00"/>
    <numFmt numFmtId="198" formatCode="0.0&quot;  &quot;"/>
    <numFmt numFmtId="199" formatCode="_-* #,##0_-;\(#,##0\);_-* &quot;–&quot;_-;_-@_-"/>
    <numFmt numFmtId="200" formatCode="&quot;$&quot;#,##0\ \ \ ;\(&quot;$&quot;#,##0\)\ \ "/>
    <numFmt numFmtId="201" formatCode="&quot;$&quot;#,##0.000000_);\(&quot;$&quot;#,##0.000000\)"/>
    <numFmt numFmtId="202" formatCode="General_)"/>
    <numFmt numFmtId="203" formatCode="&quot;$&quot;#,##0.00000_);[Red]\(&quot;$&quot;#,##0.00000\)"/>
    <numFmt numFmtId="204" formatCode="#,##0.000\ ;\(#,##0.000\)"/>
    <numFmt numFmtId="205" formatCode="&quot;$&quot;#,##0.00\ \ \ ;\(&quot;$&quot;#,##0.00\)\ "/>
    <numFmt numFmtId="206" formatCode="#,##0\ ___);\(#,##0\)\ \ _)"/>
    <numFmt numFmtId="207" formatCode="#,##0.000000_);\(#,##0.000000\)"/>
    <numFmt numFmtId="208" formatCode="&quot;$&quot;#,##0.0;[Red]\(&quot;$&quot;#,##0.0\)"/>
    <numFmt numFmtId="209" formatCode="0.0\ %;\ \(0.0\)%;\ 0\ %"/>
    <numFmt numFmtId="210" formatCode="&quot;$&quot;#,##0.0000_);\(&quot;$&quot;#,##0.0000\)"/>
    <numFmt numFmtId="211" formatCode="_(* #,##0\ %;_(* \(#,##0\)%;_(* &quot;0.0% &quot;_)"/>
    <numFmt numFmtId="212" formatCode="_(* #,##0.0\ %;_(* \(#,##0.0\)%;_(* &quot;0.0% &quot;_)"/>
    <numFmt numFmtId="213" formatCode="#,##0.000;\(#,##0.000\)"/>
    <numFmt numFmtId="214" formatCode="0.0_)%;\(0.0\)%"/>
    <numFmt numFmtId="215" formatCode="#,##0.0000"/>
    <numFmt numFmtId="216" formatCode="0.0"/>
    <numFmt numFmtId="217" formatCode="#,##0;\(#,##0\);&quot;–&quot;;@"/>
    <numFmt numFmtId="218" formatCode="#,##0.0;\(#,##0.0\)"/>
    <numFmt numFmtId="219" formatCode="0\ \ \ "/>
    <numFmt numFmtId="220" formatCode="0\ \ \ \ ;\(0\)\ \ \ ;&quot;-    &quot;"/>
    <numFmt numFmtId="221" formatCode="_(#,##0%_);\(#,##0%\);_(&quot;-&quot;?_)"/>
    <numFmt numFmtId="222" formatCode="_(* #,##0.0_);_(* \(#,##0.0\);_(* &quot;-&quot;??_);_(@_)"/>
    <numFmt numFmtId="223" formatCode="#,##0.0;[Red]\-#,##0.0"/>
    <numFmt numFmtId="224" formatCode="0_);\(0\)"/>
    <numFmt numFmtId="225" formatCode="[$-409]d\-mmm\-yyyy;@"/>
    <numFmt numFmtId="226" formatCode="_(* #,##0_);_(* \(#,##0\);_(* &quot;-&quot;??_);_(@_)"/>
    <numFmt numFmtId="227" formatCode="_(* #,##0.00_);* \(#,##0.00\);_(* &quot;-&quot;_)"/>
    <numFmt numFmtId="228" formatCode="______@"/>
    <numFmt numFmtId="229" formatCode="_(#,##0%_);_(\(#,##0%\);_(&quot;-&quot;?_)"/>
    <numFmt numFmtId="230" formatCode="0.00_);\(0.00\)"/>
    <numFmt numFmtId="231" formatCode="&quot;FY&quot;m/yyyy&quot;E&quot;"/>
    <numFmt numFmtId="232" formatCode="&quot;FY&quot;m/yyyy"/>
    <numFmt numFmtId="233" formatCode="yyyy/m"/>
    <numFmt numFmtId="234" formatCode="m/yyyy"/>
    <numFmt numFmtId="235" formatCode="0_);[Red]\(0\)"/>
    <numFmt numFmtId="236" formatCode="_(* #,##0_);_(* \(#,##0\);_(* &quot;-&quot;_)"/>
    <numFmt numFmtId="237" formatCode="&quot;FY&quot;m/yyyy&quot; CoE&quot;"/>
    <numFmt numFmtId="238" formatCode="0.0_)\%;\(0.0\)\%;0.0_)\%;@_)_%"/>
    <numFmt numFmtId="239" formatCode="#,##0.0_)_%;\(#,##0.0\)_%;0.0_)_%;@_)_%"/>
    <numFmt numFmtId="240" formatCode="#,##0.0_);\(#,##0.0\);#,##0.0_);@_)"/>
    <numFmt numFmtId="241" formatCode="&quot;$&quot;_(#,##0.00_);&quot;$&quot;\(#,##0.00\)"/>
    <numFmt numFmtId="242" formatCode="&quot;$&quot;_(#,##0.00_);&quot;$&quot;\(#,##0.00\);&quot;$&quot;_(0.00_);@_)"/>
    <numFmt numFmtId="243" formatCode="#,##0.00_);\(#,##0.00\);0.00_);@_)"/>
    <numFmt numFmtId="244" formatCode="\€_(#,##0.00_);\€\(#,##0.00\);\€_(0.00_);@_)"/>
    <numFmt numFmtId="245" formatCode="#,##0.0_)\x;\(#,##0.0\)\x"/>
    <numFmt numFmtId="246" formatCode="#,##0_)\x;\(#,##0\)\x;0_)\x;@_)_x"/>
    <numFmt numFmtId="247" formatCode="#,##0.0_)\x;\(#,##0.0\)\x;0.0_)\x;@_)_x"/>
    <numFmt numFmtId="248" formatCode="#,##0.0_)_x;\(#,##0.0\)_x"/>
    <numFmt numFmtId="249" formatCode="#,##0_)_x;\(#,##0\)_x;0_)_x;@_)_x"/>
    <numFmt numFmtId="250" formatCode="#,##0.0_)_x;\(#,##0.0\)_x;0.0_)_x;@_)_x"/>
    <numFmt numFmtId="251" formatCode="0.0_)\%;\(0.0\)\%"/>
    <numFmt numFmtId="252" formatCode="#,##0.0_)_%;\(#,##0.0\)_%"/>
    <numFmt numFmtId="253" formatCode="0.00_)"/>
    <numFmt numFmtId="254" formatCode="0\p"/>
    <numFmt numFmtId="255" formatCode="#,##0.00;;;[White]General"/>
    <numFmt numFmtId="256" formatCode="&quot;$&quot;0.0"/>
    <numFmt numFmtId="257" formatCode="_(&quot;CHF&quot;* #,##0.0_);_(&quot;CHF&quot;* \(#,##0.0\);_(&quot;CHF&quot;* &quot;-&quot;??_);_(@_)"/>
    <numFmt numFmtId="258" formatCode="&quot;$&quot;#,##0.00"/>
    <numFmt numFmtId="259" formatCode="_(* #,##0.0_);_(* \(#,##0.0\);_(* &quot;-&quot;?_);_(@_)"/>
    <numFmt numFmtId="260" formatCode="0.0_);[Red]\(0.0\)"/>
    <numFmt numFmtId="261" formatCode="_(#,##0.0%_);_(\(#,##0.0%\);_(&quot;-&quot;?_)"/>
    <numFmt numFmtId="262" formatCode="mmmm\ dd\.\ yyyy"/>
    <numFmt numFmtId="263" formatCode="[$¥-411]#,##0"/>
    <numFmt numFmtId="264" formatCode="_(* #,##0.000_);_(* \(#,##0.000\);_(* &quot;-&quot;??_);_(@_)"/>
  </numFmts>
  <fonts count="161">
    <font>
      <sz val="11"/>
      <color theme="1"/>
      <name val="Univers LT Std 55"/>
      <family val="2"/>
      <scheme val="minor"/>
    </font>
    <font>
      <sz val="1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sz val="8"/>
      <name val="Tms Rmn"/>
      <family val="1"/>
    </font>
    <font>
      <sz val="8"/>
      <name val="GS TheSans"/>
      <family val="2"/>
    </font>
    <font>
      <b/>
      <sz val="8"/>
      <name val="GS TheSans"/>
      <family val="2"/>
    </font>
    <font>
      <sz val="10"/>
      <name val="ＭＳ 明朝"/>
      <family val="1"/>
      <charset val="128"/>
    </font>
    <font>
      <sz val="10"/>
      <name val="Times New Roman"/>
      <family val="1"/>
    </font>
    <font>
      <sz val="10"/>
      <name val="細明朝体"/>
      <family val="3"/>
      <charset val="128"/>
    </font>
    <font>
      <sz val="8"/>
      <name val="ＭＳ 明朝"/>
      <family val="1"/>
      <charset val="128"/>
    </font>
    <font>
      <sz val="9"/>
      <color indexed="8"/>
      <name val="Times New Roman"/>
      <family val="1"/>
    </font>
    <font>
      <b/>
      <sz val="10"/>
      <color indexed="8"/>
      <name val="Times New Roman"/>
      <family val="1"/>
    </font>
    <font>
      <sz val="8"/>
      <name val="Times New Roman"/>
      <family val="1"/>
    </font>
    <font>
      <sz val="12"/>
      <name val="Arial"/>
      <family val="2"/>
    </font>
    <font>
      <sz val="9"/>
      <color indexed="9"/>
      <name val="Times New Roman"/>
      <family val="1"/>
    </font>
    <font>
      <sz val="8"/>
      <color indexed="12"/>
      <name val="Tms Rmn"/>
      <family val="1"/>
    </font>
    <font>
      <b/>
      <sz val="8"/>
      <name val="Times New Roman"/>
      <family val="1"/>
    </font>
    <font>
      <sz val="10"/>
      <color indexed="18"/>
      <name val="Times New Roman"/>
      <family val="1"/>
    </font>
    <font>
      <sz val="9"/>
      <name val="Helv"/>
      <family val="2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24"/>
      <name val="Times New Roman"/>
      <family val="1"/>
    </font>
    <font>
      <sz val="10"/>
      <name val="Courier"/>
      <family val="3"/>
    </font>
    <font>
      <sz val="9"/>
      <name val="Times New Roman"/>
      <family val="1"/>
    </font>
    <font>
      <b/>
      <sz val="8.5"/>
      <color indexed="17"/>
      <name val="Arial"/>
      <family val="2"/>
    </font>
    <font>
      <sz val="7"/>
      <name val="Arial"/>
      <family val="2"/>
    </font>
    <font>
      <b/>
      <sz val="7"/>
      <color indexed="17"/>
      <name val="Arial"/>
      <family val="2"/>
    </font>
    <font>
      <sz val="11"/>
      <name val="arial"/>
      <family val="2"/>
    </font>
    <font>
      <sz val="8.5"/>
      <color indexed="8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b/>
      <sz val="14"/>
      <name val="arial"/>
      <family val="2"/>
    </font>
    <font>
      <sz val="11"/>
      <name val="Times New Roman"/>
      <family val="1"/>
    </font>
    <font>
      <i/>
      <sz val="10"/>
      <name val="Helv"/>
      <family val="2"/>
    </font>
    <font>
      <b/>
      <sz val="14"/>
      <name val="Times New Roman"/>
      <family val="1"/>
    </font>
    <font>
      <sz val="12"/>
      <name val="Helvetica"/>
      <family val="2"/>
    </font>
    <font>
      <sz val="8"/>
      <name val="Helv"/>
      <family val="2"/>
    </font>
    <font>
      <b/>
      <sz val="8"/>
      <name val="HelveticaNeue Condensed"/>
      <family val="2"/>
    </font>
    <font>
      <sz val="8"/>
      <name val="HelveticaNeue LightCond"/>
      <family val="2"/>
    </font>
    <font>
      <b/>
      <sz val="7"/>
      <name val="HelveticaNeue Condensed"/>
      <family val="2"/>
    </font>
    <font>
      <b/>
      <sz val="9"/>
      <name val="Times New Roman"/>
      <family val="1"/>
    </font>
    <font>
      <b/>
      <sz val="11"/>
      <name val="Times New Roman"/>
      <family val="1"/>
    </font>
    <font>
      <b/>
      <sz val="8.5"/>
      <color indexed="8"/>
      <name val="Arial"/>
      <family val="2"/>
    </font>
    <font>
      <b/>
      <sz val="10"/>
      <color indexed="16"/>
      <name val="Times New Roman"/>
      <family val="1"/>
    </font>
    <font>
      <b/>
      <sz val="8"/>
      <color indexed="18"/>
      <name val="Times New Roman"/>
      <family val="1"/>
    </font>
    <font>
      <u/>
      <sz val="8"/>
      <name val="Tms Rmn"/>
      <family val="1"/>
    </font>
    <font>
      <b/>
      <sz val="10"/>
      <name val="Times New Roman"/>
      <family val="1"/>
    </font>
    <font>
      <sz val="10"/>
      <name val="ＭＳ ゴシック"/>
      <family val="3"/>
      <charset val="128"/>
    </font>
    <font>
      <sz val="10"/>
      <name val="中ゴシック体"/>
      <family val="3"/>
      <charset val="128"/>
    </font>
    <font>
      <b/>
      <sz val="11"/>
      <name val="Arial"/>
      <family val="2"/>
    </font>
    <font>
      <b/>
      <sz val="10"/>
      <color indexed="9"/>
      <name val="Arial"/>
      <family val="2"/>
    </font>
    <font>
      <sz val="12"/>
      <name val="Osaka"/>
      <family val="3"/>
      <charset val="128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81"/>
      <name val="ＭＳ Ｐゴシック"/>
      <family val="3"/>
      <charset val="128"/>
    </font>
    <font>
      <i/>
      <sz val="10"/>
      <name val="ＭＳ 明朝"/>
      <family val="1"/>
      <charset val="128"/>
    </font>
    <font>
      <b/>
      <sz val="9"/>
      <color indexed="81"/>
      <name val="ＭＳ Ｐゴシック"/>
      <family val="2"/>
      <charset val="128"/>
    </font>
    <font>
      <sz val="8"/>
      <color indexed="81"/>
      <name val="ＭＳ Ｐゴシック"/>
      <family val="2"/>
      <charset val="128"/>
    </font>
    <font>
      <u/>
      <sz val="10"/>
      <color rgb="FF000000"/>
      <name val="Arial"/>
      <family val="2"/>
    </font>
    <font>
      <u/>
      <sz val="9"/>
      <color rgb="FF0000FF"/>
      <name val="Arial"/>
      <family val="2"/>
    </font>
    <font>
      <u/>
      <sz val="9"/>
      <color indexed="12"/>
      <name val="Arial"/>
      <family val="2"/>
    </font>
    <font>
      <b/>
      <sz val="10"/>
      <color indexed="18"/>
      <name val="Arial"/>
      <family val="2"/>
    </font>
    <font>
      <b/>
      <sz val="8"/>
      <name val="Arial"/>
      <family val="2"/>
    </font>
    <font>
      <sz val="10"/>
      <name val="GS TheSans"/>
      <family val="2"/>
    </font>
    <font>
      <sz val="8"/>
      <name val="Tahoma"/>
      <family val="2"/>
    </font>
    <font>
      <b/>
      <sz val="10"/>
      <name val="MS Sans Serif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u val="singleAccounting"/>
      <sz val="10"/>
      <color indexed="18"/>
      <name val="Arial"/>
      <family val="2"/>
    </font>
    <font>
      <sz val="8"/>
      <name val="Times"/>
      <family val="1"/>
    </font>
    <font>
      <sz val="8"/>
      <name val="Helvetica"/>
      <family val="2"/>
    </font>
    <font>
      <b/>
      <sz val="12"/>
      <name val="Tms Rmn"/>
    </font>
    <font>
      <b/>
      <i/>
      <sz val="8"/>
      <name val="Arial"/>
      <family val="2"/>
    </font>
    <font>
      <b/>
      <sz val="10"/>
      <name val="Bookman"/>
      <family val="1"/>
    </font>
    <font>
      <b/>
      <sz val="14"/>
      <name val="Book Antiqua"/>
      <family val="1"/>
    </font>
    <font>
      <sz val="11"/>
      <color indexed="12"/>
      <name val="Book Antiqua"/>
      <family val="1"/>
    </font>
    <font>
      <b/>
      <u/>
      <sz val="7"/>
      <name val="Helvetica"/>
      <family val="2"/>
    </font>
    <font>
      <sz val="10"/>
      <name val="Book Antiqua"/>
      <family val="1"/>
    </font>
    <font>
      <b/>
      <sz val="8"/>
      <name val="Book Antiqua"/>
      <family val="1"/>
    </font>
    <font>
      <b/>
      <sz val="10"/>
      <name val="Palatino"/>
      <family val="1"/>
    </font>
    <font>
      <sz val="8"/>
      <name val="Book Antiqua"/>
      <family val="1"/>
    </font>
    <font>
      <i/>
      <sz val="7"/>
      <name val="Book Antiqua"/>
      <family val="1"/>
    </font>
    <font>
      <sz val="8"/>
      <color indexed="9"/>
      <name val="Arial"/>
      <family val="2"/>
    </font>
    <font>
      <sz val="10"/>
      <color indexed="72"/>
      <name val="System"/>
      <family val="2"/>
    </font>
    <font>
      <b/>
      <sz val="14"/>
      <name val="Bookman"/>
      <family val="1"/>
    </font>
    <font>
      <b/>
      <sz val="12"/>
      <color indexed="16"/>
      <name val="Arial"/>
      <family val="2"/>
    </font>
    <font>
      <sz val="7"/>
      <name val="Times New Roman"/>
      <family val="1"/>
    </font>
    <font>
      <b/>
      <u/>
      <sz val="14"/>
      <name val="Book Antiqua"/>
      <family val="1"/>
    </font>
    <font>
      <b/>
      <sz val="7"/>
      <name val="Arial"/>
      <family val="2"/>
    </font>
    <font>
      <sz val="6"/>
      <name val="Univers LT Std 55"/>
      <family val="3"/>
      <charset val="128"/>
      <scheme val="minor"/>
    </font>
    <font>
      <sz val="11"/>
      <color theme="1"/>
      <name val="Univers LT Std 55"/>
      <family val="2"/>
      <scheme val="minor"/>
    </font>
    <font>
      <sz val="10"/>
      <color indexed="81"/>
      <name val="Tahoma"/>
      <family val="2"/>
    </font>
    <font>
      <sz val="10"/>
      <color indexed="81"/>
      <name val="ＭＳ Ｐゴシック"/>
      <family val="3"/>
      <charset val="12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0.5"/>
      <color theme="1"/>
      <name val="Calibri"/>
      <family val="2"/>
    </font>
    <font>
      <b/>
      <sz val="10.5"/>
      <name val="Calibri"/>
      <family val="2"/>
    </font>
    <font>
      <b/>
      <sz val="10.5"/>
      <color theme="1"/>
      <name val="Calibri"/>
      <family val="2"/>
    </font>
    <font>
      <b/>
      <sz val="11.5"/>
      <color theme="0"/>
      <name val="Calibri"/>
      <family val="2"/>
    </font>
    <font>
      <b/>
      <i/>
      <sz val="11.5"/>
      <color theme="0"/>
      <name val="Calibri"/>
      <family val="2"/>
    </font>
    <font>
      <b/>
      <sz val="11"/>
      <color theme="1"/>
      <name val="Calibri"/>
      <family val="2"/>
    </font>
    <font>
      <sz val="9"/>
      <color rgb="FF000000"/>
      <name val="Arial"/>
      <family val="2"/>
    </font>
    <font>
      <u/>
      <sz val="9"/>
      <name val="Arial"/>
      <family val="2"/>
    </font>
    <font>
      <u/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name val="Helvetica"/>
      <family val="2"/>
    </font>
    <font>
      <sz val="9"/>
      <color rgb="FF1D02BE"/>
      <name val="Helvetica"/>
      <family val="2"/>
    </font>
    <font>
      <b/>
      <sz val="9"/>
      <name val="Helvetica"/>
      <family val="2"/>
    </font>
    <font>
      <b/>
      <sz val="9"/>
      <color rgb="FF0000FF"/>
      <name val="Arial"/>
      <family val="2"/>
    </font>
    <font>
      <b/>
      <sz val="9"/>
      <color rgb="FF1D02BE"/>
      <name val="Arial"/>
      <family val="2"/>
    </font>
    <font>
      <sz val="9"/>
      <color rgb="FFFF0000"/>
      <name val="Arial"/>
      <family val="2"/>
    </font>
    <font>
      <i/>
      <sz val="9"/>
      <name val="Arial"/>
      <family val="2"/>
    </font>
    <font>
      <i/>
      <sz val="9"/>
      <color rgb="FF0000FF"/>
      <name val="Arial"/>
      <family val="2"/>
    </font>
    <font>
      <sz val="9"/>
      <color rgb="FF0000FF"/>
      <name val="Arial"/>
      <family val="2"/>
    </font>
    <font>
      <sz val="9"/>
      <color rgb="FF1D02BE"/>
      <name val="Arial"/>
      <family val="2"/>
    </font>
    <font>
      <b/>
      <i/>
      <sz val="9"/>
      <name val="Arial"/>
      <family val="2"/>
    </font>
    <font>
      <sz val="9"/>
      <color rgb="FFFF9900"/>
      <name val="Arial"/>
      <family val="2"/>
    </font>
    <font>
      <b/>
      <sz val="9"/>
      <color theme="1"/>
      <name val="Arial"/>
      <family val="2"/>
    </font>
    <font>
      <i/>
      <sz val="9"/>
      <color indexed="10"/>
      <name val="Arial"/>
      <family val="2"/>
    </font>
    <font>
      <sz val="9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12"/>
      <name val="Arial"/>
      <family val="2"/>
    </font>
    <font>
      <b/>
      <sz val="9"/>
      <color rgb="FF008000"/>
      <name val="Arial"/>
      <family val="2"/>
    </font>
    <font>
      <b/>
      <sz val="9"/>
      <color indexed="17"/>
      <name val="Arial"/>
      <family val="2"/>
    </font>
    <font>
      <sz val="9"/>
      <color rgb="FF008000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sz val="9"/>
      <color indexed="52"/>
      <name val="Arial"/>
      <family val="2"/>
    </font>
    <font>
      <sz val="9"/>
      <color indexed="17"/>
      <name val="Arial"/>
      <family val="2"/>
    </font>
    <font>
      <b/>
      <sz val="9"/>
      <color indexed="10"/>
      <name val="Arial"/>
      <family val="2"/>
    </font>
    <font>
      <b/>
      <sz val="9"/>
      <color rgb="FF0005C0"/>
      <name val="Arial"/>
      <family val="2"/>
    </font>
    <font>
      <i/>
      <sz val="9"/>
      <color theme="1"/>
      <name val="Arial"/>
      <family val="2"/>
    </font>
    <font>
      <sz val="9"/>
      <color rgb="FF0005C0"/>
      <name val="Arial"/>
      <family val="2"/>
    </font>
    <font>
      <i/>
      <sz val="9"/>
      <color rgb="FF1D02BE"/>
      <name val="Arial"/>
      <family val="2"/>
    </font>
    <font>
      <b/>
      <i/>
      <sz val="9"/>
      <color theme="1"/>
      <name val="Arial"/>
      <family val="2"/>
    </font>
    <font>
      <i/>
      <sz val="9"/>
      <color rgb="FF0005C0"/>
      <name val="Arial"/>
      <family val="2"/>
    </font>
    <font>
      <sz val="9"/>
      <color indexed="18"/>
      <name val="Arial"/>
      <family val="2"/>
    </font>
    <font>
      <i/>
      <sz val="9"/>
      <color rgb="FF0070C0"/>
      <name val="Arial"/>
      <family val="2"/>
    </font>
    <font>
      <b/>
      <i/>
      <sz val="9"/>
      <color rgb="FF0070C0"/>
      <name val="Arial"/>
      <family val="2"/>
    </font>
    <font>
      <b/>
      <sz val="9"/>
      <color rgb="FFFFFF00"/>
      <name val="Arial"/>
      <family val="2"/>
    </font>
    <font>
      <i/>
      <sz val="9"/>
      <color indexed="12"/>
      <name val="Arial"/>
      <family val="2"/>
    </font>
    <font>
      <b/>
      <i/>
      <sz val="9"/>
      <color rgb="FFFFFF00"/>
      <name val="Arial"/>
      <family val="2"/>
    </font>
    <font>
      <i/>
      <sz val="9"/>
      <color indexed="18"/>
      <name val="Arial"/>
      <family val="2"/>
    </font>
    <font>
      <b/>
      <sz val="9"/>
      <color rgb="FF0070C0"/>
      <name val="Arial"/>
      <family val="2"/>
    </font>
    <font>
      <b/>
      <sz val="9"/>
      <color theme="8" tint="-0.89999084444715716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5"/>
        <bgColor indexed="64"/>
      </patternFill>
    </fill>
    <fill>
      <patternFill patternType="gray0625">
        <fgColor indexed="10"/>
        <bgColor indexed="9"/>
      </patternFill>
    </fill>
    <fill>
      <patternFill patternType="lightGray">
        <fgColor indexed="14"/>
        <bgColor indexed="9"/>
      </patternFill>
    </fill>
    <fill>
      <patternFill patternType="solid">
        <fgColor indexed="9"/>
        <bgColor indexed="64"/>
      </patternFill>
    </fill>
    <fill>
      <patternFill patternType="lightGray">
        <fgColor indexed="12"/>
        <bgColor indexed="9"/>
      </patternFill>
    </fill>
    <fill>
      <patternFill patternType="solid">
        <fgColor indexed="11"/>
        <bgColor indexed="9"/>
      </patternFill>
    </fill>
    <fill>
      <patternFill patternType="solid">
        <fgColor indexed="10"/>
      </patternFill>
    </fill>
    <fill>
      <patternFill patternType="lightGray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9EADCC"/>
        <bgColor indexed="64"/>
      </patternFill>
    </fill>
    <fill>
      <patternFill patternType="solid">
        <fgColor rgb="FFDFE4EE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9EAD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3"/>
      </patternFill>
    </fill>
    <fill>
      <patternFill patternType="solid">
        <fgColor indexed="18"/>
        <bgColor indexed="64"/>
      </patternFill>
    </fill>
    <fill>
      <patternFill patternType="lightGray">
        <fgColor indexed="15"/>
      </patternFill>
    </fill>
    <fill>
      <patternFill patternType="solid">
        <fgColor indexed="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7499923703726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-0.74999237037263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1F0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ECFF"/>
        <bgColor rgb="FF000000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1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18"/>
      </bottom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ck">
        <color indexed="9"/>
      </left>
      <right style="thick">
        <color indexed="9"/>
      </right>
      <top/>
      <bottom style="double">
        <color indexed="64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/>
      <bottom style="double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thin">
        <color indexed="64"/>
      </right>
      <top/>
      <bottom style="dashed">
        <color auto="1"/>
      </bottom>
      <diagonal/>
    </border>
    <border>
      <left style="thin">
        <color indexed="64"/>
      </left>
      <right style="thin">
        <color indexed="64"/>
      </right>
      <top/>
      <bottom style="dashed">
        <color auto="1"/>
      </bottom>
      <diagonal/>
    </border>
  </borders>
  <cellStyleXfs count="727">
    <xf numFmtId="0" fontId="0" fillId="0" borderId="0"/>
    <xf numFmtId="0" fontId="1" fillId="0" borderId="0"/>
    <xf numFmtId="16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5" fontId="9" fillId="0" borderId="0">
      <alignment horizontal="right"/>
    </xf>
    <xf numFmtId="0" fontId="10" fillId="0" borderId="10">
      <alignment vertical="top"/>
    </xf>
    <xf numFmtId="176" fontId="11" fillId="3" borderId="10">
      <alignment vertical="top"/>
    </xf>
    <xf numFmtId="177" fontId="1" fillId="0" borderId="0"/>
    <xf numFmtId="3" fontId="12" fillId="0" borderId="0">
      <alignment horizontal="right" vertical="center"/>
    </xf>
    <xf numFmtId="178" fontId="12" fillId="0" borderId="0">
      <alignment horizontal="right" vertical="center"/>
    </xf>
    <xf numFmtId="3" fontId="12" fillId="0" borderId="0">
      <alignment horizontal="right" vertical="center"/>
    </xf>
    <xf numFmtId="0" fontId="2" fillId="0" borderId="0" applyFont="0" applyFill="0" applyBorder="0" applyAlignment="0" applyProtection="0"/>
    <xf numFmtId="179" fontId="1" fillId="0" borderId="0"/>
    <xf numFmtId="0" fontId="1" fillId="0" borderId="0"/>
    <xf numFmtId="0" fontId="1" fillId="0" borderId="0"/>
    <xf numFmtId="0" fontId="1" fillId="0" borderId="0"/>
    <xf numFmtId="168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2" fillId="0" borderId="0"/>
    <xf numFmtId="0" fontId="2" fillId="0" borderId="0"/>
    <xf numFmtId="0" fontId="13" fillId="0" borderId="0"/>
    <xf numFmtId="9" fontId="12" fillId="0" borderId="0">
      <alignment horizontal="right" vertical="center"/>
    </xf>
    <xf numFmtId="178" fontId="14" fillId="0" borderId="0">
      <alignment horizontal="right"/>
    </xf>
    <xf numFmtId="180" fontId="12" fillId="0" borderId="0">
      <alignment horizontal="right" vertical="center"/>
    </xf>
    <xf numFmtId="4" fontId="12" fillId="0" borderId="0">
      <alignment horizontal="right" vertical="center"/>
    </xf>
    <xf numFmtId="10" fontId="12" fillId="0" borderId="0">
      <alignment horizontal="right" vertical="center"/>
    </xf>
    <xf numFmtId="4" fontId="12" fillId="0" borderId="0">
      <alignment horizontal="right" vertical="center"/>
    </xf>
    <xf numFmtId="3" fontId="15" fillId="0" borderId="0">
      <alignment horizontal="right"/>
    </xf>
    <xf numFmtId="181" fontId="16" fillId="4" borderId="0" applyNumberFormat="0" applyFont="0" applyBorder="0" applyAlignment="0">
      <alignment horizontal="right"/>
    </xf>
    <xf numFmtId="182" fontId="17" fillId="4" borderId="3" applyFont="0">
      <alignment horizontal="right"/>
    </xf>
    <xf numFmtId="0" fontId="4" fillId="0" borderId="0" applyNumberFormat="0" applyFill="0" applyBorder="0" applyAlignment="0" applyProtection="0"/>
    <xf numFmtId="183" fontId="10" fillId="0" borderId="10">
      <alignment vertical="top"/>
    </xf>
    <xf numFmtId="184" fontId="18" fillId="0" borderId="0" applyFont="0" applyFill="0" applyBorder="0" applyAlignment="0" applyProtection="0"/>
    <xf numFmtId="3" fontId="19" fillId="0" borderId="0" applyFont="0" applyBorder="0" applyAlignment="0" applyProtection="0"/>
    <xf numFmtId="0" fontId="20" fillId="0" borderId="0" applyNumberFormat="0" applyFill="0" applyBorder="0" applyAlignment="0"/>
    <xf numFmtId="0" fontId="21" fillId="0" borderId="0" applyNumberFormat="0" applyFill="0" applyBorder="0" applyAlignment="0" applyProtection="0"/>
    <xf numFmtId="185" fontId="2" fillId="0" borderId="0"/>
    <xf numFmtId="2" fontId="4" fillId="5" borderId="0" applyNumberFormat="0" applyFont="0" applyBorder="0" applyAlignment="0" applyProtection="0"/>
    <xf numFmtId="184" fontId="22" fillId="0" borderId="0" applyFont="0" applyFill="0" applyBorder="0" applyAlignment="0" applyProtection="0"/>
    <xf numFmtId="1" fontId="23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186" fontId="24" fillId="0" borderId="0"/>
    <xf numFmtId="38" fontId="12" fillId="0" borderId="0" applyFont="0" applyFill="0" applyBorder="0" applyAlignment="0" applyProtection="0"/>
    <xf numFmtId="38" fontId="25" fillId="0" borderId="0" applyFont="0" applyFill="0" applyBorder="0" applyAlignment="0" applyProtection="0">
      <alignment vertical="center"/>
    </xf>
    <xf numFmtId="38" fontId="26" fillId="0" borderId="0" applyFont="0" applyFill="0" applyBorder="0" applyAlignment="0" applyProtection="0"/>
    <xf numFmtId="178" fontId="18" fillId="0" borderId="0"/>
    <xf numFmtId="4" fontId="18" fillId="0" borderId="0"/>
    <xf numFmtId="187" fontId="18" fillId="0" borderId="0"/>
    <xf numFmtId="0" fontId="27" fillId="0" borderId="0" applyNumberFormat="0" applyFill="0" applyBorder="0">
      <alignment horizontal="right"/>
    </xf>
    <xf numFmtId="164" fontId="28" fillId="0" borderId="0"/>
    <xf numFmtId="170" fontId="25" fillId="0" borderId="0" applyFont="0" applyFill="0" applyBorder="0" applyAlignment="0" applyProtection="0">
      <alignment vertical="center"/>
    </xf>
    <xf numFmtId="188" fontId="18" fillId="0" borderId="0"/>
    <xf numFmtId="14" fontId="22" fillId="0" borderId="0" applyFont="0" applyFill="0" applyBorder="0" applyAlignment="0" applyProtection="0">
      <alignment horizontal="center"/>
    </xf>
    <xf numFmtId="189" fontId="22" fillId="0" borderId="0" applyFont="0" applyFill="0" applyBorder="0" applyAlignment="0" applyProtection="0">
      <alignment horizontal="center"/>
    </xf>
    <xf numFmtId="190" fontId="24" fillId="0" borderId="0">
      <alignment horizontal="right"/>
    </xf>
    <xf numFmtId="191" fontId="10" fillId="0" borderId="0" applyFill="0" applyBorder="0"/>
    <xf numFmtId="192" fontId="29" fillId="0" borderId="0" applyFont="0" applyFill="0" applyBorder="0" applyAlignment="0" applyProtection="0">
      <alignment horizontal="right"/>
    </xf>
    <xf numFmtId="193" fontId="10" fillId="0" borderId="0" applyFill="0" applyBorder="0"/>
    <xf numFmtId="164" fontId="18" fillId="0" borderId="0" applyFont="0" applyFill="0" applyBorder="0" applyAlignment="0" applyProtection="0"/>
    <xf numFmtId="194" fontId="11" fillId="3" borderId="10">
      <alignment horizontal="right" vertical="top"/>
    </xf>
    <xf numFmtId="195" fontId="10" fillId="0" borderId="10" applyAlignment="0">
      <alignment horizontal="right" vertical="top"/>
    </xf>
    <xf numFmtId="196" fontId="2" fillId="6" borderId="0"/>
    <xf numFmtId="197" fontId="12" fillId="0" borderId="0" applyFont="0" applyFill="0" applyBorder="0" applyAlignment="0" applyProtection="0"/>
    <xf numFmtId="198" fontId="4" fillId="7" borderId="11" applyNumberFormat="0" applyFont="0" applyBorder="0" applyAlignment="0" applyProtection="0">
      <alignment horizontal="right"/>
    </xf>
    <xf numFmtId="1" fontId="4" fillId="0" borderId="0" applyNumberFormat="0" applyBorder="0" applyAlignment="0" applyProtection="0"/>
    <xf numFmtId="199" fontId="30" fillId="0" borderId="0">
      <alignment vertical="center"/>
    </xf>
    <xf numFmtId="200" fontId="24" fillId="0" borderId="0" applyFill="0" applyBorder="0" applyAlignment="0" applyProtection="0"/>
    <xf numFmtId="201" fontId="10" fillId="0" borderId="0">
      <alignment horizontal="left"/>
    </xf>
    <xf numFmtId="49" fontId="31" fillId="0" borderId="0">
      <alignment horizontal="right"/>
    </xf>
    <xf numFmtId="49" fontId="31" fillId="0" borderId="0">
      <alignment horizontal="right"/>
    </xf>
    <xf numFmtId="49" fontId="31" fillId="0" borderId="0">
      <alignment horizontal="right"/>
    </xf>
    <xf numFmtId="49" fontId="32" fillId="0" borderId="0">
      <alignment horizontal="righ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2" fontId="33" fillId="0" borderId="0">
      <alignment horizontal="left"/>
    </xf>
    <xf numFmtId="203" fontId="10" fillId="0" borderId="0">
      <alignment horizontal="left"/>
    </xf>
    <xf numFmtId="203" fontId="10" fillId="0" borderId="0">
      <alignment horizontal="left"/>
    </xf>
    <xf numFmtId="203" fontId="10" fillId="0" borderId="0">
      <alignment horizontal="left"/>
    </xf>
    <xf numFmtId="203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3" fontId="10" fillId="0" borderId="0">
      <alignment horizontal="left"/>
    </xf>
    <xf numFmtId="203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1" fontId="10" fillId="0" borderId="0">
      <alignment horizontal="left"/>
    </xf>
    <xf numFmtId="203" fontId="10" fillId="0" borderId="0">
      <alignment horizontal="left"/>
    </xf>
    <xf numFmtId="203" fontId="10" fillId="0" borderId="0">
      <alignment horizontal="left"/>
    </xf>
    <xf numFmtId="202" fontId="33" fillId="0" borderId="0">
      <alignment horizontal="left"/>
    </xf>
    <xf numFmtId="199" fontId="34" fillId="0" borderId="0">
      <alignment vertical="center"/>
    </xf>
    <xf numFmtId="201" fontId="10" fillId="0" borderId="0">
      <alignment horizontal="left"/>
      <protection locked="0"/>
    </xf>
    <xf numFmtId="0" fontId="8" fillId="0" borderId="0"/>
    <xf numFmtId="0" fontId="35" fillId="0" borderId="0" applyNumberFormat="0" applyFill="0" applyBorder="0" applyAlignment="0" applyProtection="0">
      <alignment vertical="top"/>
      <protection locked="0"/>
    </xf>
    <xf numFmtId="184" fontId="18" fillId="0" borderId="0" applyFont="0" applyFill="0" applyBorder="0" applyAlignment="0" applyProtection="0"/>
    <xf numFmtId="0" fontId="36" fillId="8" borderId="0" applyNumberFormat="0" applyFont="0" applyBorder="0" applyAlignment="0" applyProtection="0"/>
    <xf numFmtId="0" fontId="37" fillId="0" borderId="0"/>
    <xf numFmtId="200" fontId="24" fillId="0" borderId="0" applyFill="0" applyBorder="0" applyAlignment="0" applyProtection="0"/>
    <xf numFmtId="204" fontId="24" fillId="0" borderId="0" applyFont="0" applyFill="0" applyBorder="0" applyAlignment="0" applyProtection="0"/>
    <xf numFmtId="205" fontId="24" fillId="0" borderId="0"/>
    <xf numFmtId="0" fontId="25" fillId="0" borderId="0">
      <alignment vertical="center"/>
    </xf>
    <xf numFmtId="0" fontId="26" fillId="0" borderId="0"/>
    <xf numFmtId="2" fontId="36" fillId="0" borderId="0" applyBorder="0" applyProtection="0"/>
    <xf numFmtId="206" fontId="2" fillId="0" borderId="11"/>
    <xf numFmtId="0" fontId="38" fillId="0" borderId="0"/>
    <xf numFmtId="0" fontId="2" fillId="0" borderId="0"/>
    <xf numFmtId="0" fontId="39" fillId="0" borderId="12"/>
    <xf numFmtId="207" fontId="2" fillId="0" borderId="0"/>
    <xf numFmtId="169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40" fillId="0" borderId="0" applyNumberFormat="0" applyFill="0" applyBorder="0">
      <alignment horizontal="left"/>
    </xf>
    <xf numFmtId="208" fontId="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209" fontId="10" fillId="0" borderId="10" applyFill="0">
      <alignment vertical="top"/>
    </xf>
    <xf numFmtId="210" fontId="2" fillId="0" borderId="11"/>
    <xf numFmtId="180" fontId="18" fillId="0" borderId="0"/>
    <xf numFmtId="211" fontId="10" fillId="0" borderId="0" applyFill="0" applyBorder="0"/>
    <xf numFmtId="212" fontId="10" fillId="0" borderId="0" applyFill="0" applyBorder="0"/>
    <xf numFmtId="211" fontId="10" fillId="0" borderId="0"/>
    <xf numFmtId="213" fontId="24" fillId="0" borderId="0" applyFont="0" applyFill="0" applyBorder="0" applyAlignment="0" applyProtection="0"/>
    <xf numFmtId="214" fontId="2" fillId="0" borderId="0"/>
    <xf numFmtId="184" fontId="18" fillId="0" borderId="0" applyFont="0" applyFill="0" applyBorder="0" applyAlignment="0" applyProtection="0">
      <protection locked="0"/>
    </xf>
    <xf numFmtId="215" fontId="2" fillId="0" borderId="0"/>
    <xf numFmtId="184" fontId="18" fillId="0" borderId="0" applyFill="0" applyBorder="0" applyAlignment="0" applyProtection="0"/>
    <xf numFmtId="38" fontId="18" fillId="0" borderId="0" applyFont="0" applyFill="0" applyBorder="0" applyAlignment="0" applyProtection="0"/>
    <xf numFmtId="0" fontId="41" fillId="0" borderId="0"/>
    <xf numFmtId="49" fontId="7" fillId="0" borderId="0">
      <alignment horizontal="right"/>
    </xf>
    <xf numFmtId="216" fontId="36" fillId="9" borderId="13" applyNumberFormat="0" applyFont="0" applyBorder="0" applyAlignment="0" applyProtection="0">
      <alignment horizontal="center"/>
    </xf>
    <xf numFmtId="37" fontId="42" fillId="1" borderId="0">
      <alignment horizontal="right"/>
    </xf>
    <xf numFmtId="1" fontId="41" fillId="10" borderId="0" applyNumberFormat="0" applyFont="0" applyBorder="0" applyAlignment="0">
      <alignment horizontal="left"/>
    </xf>
    <xf numFmtId="184" fontId="18" fillId="0" borderId="0" applyFont="0" applyFill="0" applyBorder="0" applyAlignment="0" applyProtection="0"/>
    <xf numFmtId="3" fontId="4" fillId="0" borderId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217" fontId="43" fillId="0" borderId="0" applyNumberFormat="0" applyFill="0" applyBorder="0" applyAlignment="0" applyProtection="0">
      <alignment horizontal="right" vertical="center" wrapText="1"/>
    </xf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>
      <protection locked="0"/>
    </xf>
    <xf numFmtId="0" fontId="46" fillId="0" borderId="11" applyNumberFormat="0" applyFill="0" applyProtection="0">
      <alignment horizontal="right"/>
    </xf>
    <xf numFmtId="0" fontId="46" fillId="0" borderId="14" applyNumberFormat="0" applyProtection="0">
      <alignment horizontal="right"/>
    </xf>
    <xf numFmtId="0" fontId="47" fillId="0" borderId="6" applyNumberFormat="0" applyFill="0" applyProtection="0"/>
    <xf numFmtId="3" fontId="5" fillId="0" borderId="0" applyNumberFormat="0"/>
    <xf numFmtId="0" fontId="48" fillId="0" borderId="0">
      <alignment vertical="center"/>
    </xf>
    <xf numFmtId="0" fontId="30" fillId="0" borderId="0">
      <alignment vertical="center"/>
    </xf>
    <xf numFmtId="0" fontId="48" fillId="0" borderId="0">
      <alignment vertical="center"/>
    </xf>
    <xf numFmtId="0" fontId="34" fillId="0" borderId="0">
      <alignment vertical="center"/>
    </xf>
    <xf numFmtId="184" fontId="49" fillId="0" borderId="15"/>
    <xf numFmtId="184" fontId="50" fillId="0" borderId="0" applyNumberFormat="0" applyFill="0" applyBorder="0" applyAlignment="0" applyProtection="0"/>
    <xf numFmtId="0" fontId="5" fillId="0" borderId="3">
      <alignment horizontal="right" wrapText="1"/>
    </xf>
    <xf numFmtId="218" fontId="51" fillId="0" borderId="0">
      <alignment horizontal="right"/>
    </xf>
    <xf numFmtId="219" fontId="42" fillId="0" borderId="11"/>
    <xf numFmtId="220" fontId="10" fillId="0" borderId="10">
      <alignment vertical="top"/>
    </xf>
    <xf numFmtId="1" fontId="18" fillId="0" borderId="0" applyFont="0" applyFill="0" applyBorder="0" applyAlignment="0" applyProtection="0"/>
    <xf numFmtId="1" fontId="52" fillId="0" borderId="3" applyFill="0" applyProtection="0">
      <alignment horizontal="right"/>
    </xf>
    <xf numFmtId="0" fontId="53" fillId="0" borderId="0" applyProtection="0">
      <alignment vertical="center"/>
    </xf>
    <xf numFmtId="3" fontId="7" fillId="0" borderId="0"/>
    <xf numFmtId="0" fontId="54" fillId="0" borderId="0"/>
    <xf numFmtId="40" fontId="2" fillId="0" borderId="0" applyFont="0" applyFill="0" applyBorder="0" applyAlignment="0" applyProtection="0"/>
    <xf numFmtId="0" fontId="25" fillId="0" borderId="0"/>
    <xf numFmtId="0" fontId="2" fillId="0" borderId="0"/>
    <xf numFmtId="38" fontId="57" fillId="0" borderId="0" applyFont="0" applyFill="0" applyBorder="0" applyAlignment="0" applyProtection="0"/>
    <xf numFmtId="0" fontId="12" fillId="0" borderId="0"/>
    <xf numFmtId="238" fontId="69" fillId="0" borderId="0" applyFont="0" applyFill="0" applyBorder="0" applyAlignment="0" applyProtection="0"/>
    <xf numFmtId="239" fontId="69" fillId="0" borderId="0" applyFont="0" applyFill="0" applyBorder="0" applyAlignment="0" applyProtection="0"/>
    <xf numFmtId="240" fontId="69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69" fillId="0" borderId="0" applyFont="0" applyFill="0" applyBorder="0" applyAlignment="0" applyProtection="0"/>
    <xf numFmtId="240" fontId="69" fillId="0" borderId="0" applyFont="0" applyFill="0" applyBorder="0" applyAlignment="0" applyProtection="0"/>
    <xf numFmtId="240" fontId="69" fillId="0" borderId="0" applyFont="0" applyFill="0" applyBorder="0" applyAlignment="0" applyProtection="0"/>
    <xf numFmtId="240" fontId="70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71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69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240" fontId="69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69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240" fontId="69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0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70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71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69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69" fillId="0" borderId="0" applyFont="0" applyFill="0" applyBorder="0" applyAlignment="0" applyProtection="0"/>
    <xf numFmtId="242" fontId="69" fillId="0" borderId="0" applyFont="0" applyFill="0" applyBorder="0" applyAlignment="0" applyProtection="0"/>
    <xf numFmtId="242" fontId="69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69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69" fillId="0" borderId="0" applyFont="0" applyFill="0" applyBorder="0" applyAlignment="0" applyProtection="0"/>
    <xf numFmtId="24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70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71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69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69" fillId="0" borderId="0" applyFont="0" applyFill="0" applyBorder="0" applyAlignment="0" applyProtection="0"/>
    <xf numFmtId="243" fontId="69" fillId="0" borderId="0" applyFont="0" applyFill="0" applyBorder="0" applyAlignment="0" applyProtection="0"/>
    <xf numFmtId="243" fontId="69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69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69" fillId="0" borderId="0" applyFont="0" applyFill="0" applyBorder="0" applyAlignment="0" applyProtection="0"/>
    <xf numFmtId="39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4" fontId="69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69" fillId="26" borderId="0" applyNumberFormat="0" applyFont="0" applyAlignment="0" applyProtection="0"/>
    <xf numFmtId="245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70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6" fontId="71" fillId="0" borderId="0" applyFont="0" applyFill="0" applyBorder="0" applyAlignment="0" applyProtection="0"/>
    <xf numFmtId="247" fontId="2" fillId="0" borderId="0" applyFont="0" applyFill="0" applyBorder="0" applyAlignment="0" applyProtection="0"/>
    <xf numFmtId="247" fontId="2" fillId="0" borderId="0" applyFont="0" applyFill="0" applyBorder="0" applyAlignment="0" applyProtection="0"/>
    <xf numFmtId="247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69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6" fontId="69" fillId="0" borderId="0" applyFont="0" applyFill="0" applyBorder="0" applyAlignment="0" applyProtection="0"/>
    <xf numFmtId="246" fontId="69" fillId="0" borderId="0" applyFont="0" applyFill="0" applyBorder="0" applyAlignment="0" applyProtection="0"/>
    <xf numFmtId="246" fontId="69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69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69" fillId="0" borderId="0" applyFont="0" applyFill="0" applyBorder="0" applyAlignment="0" applyProtection="0"/>
    <xf numFmtId="245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6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9" fontId="2" fillId="0" borderId="0" applyFont="0" applyFill="0" applyBorder="0" applyProtection="0">
      <alignment horizontal="right"/>
    </xf>
    <xf numFmtId="249" fontId="2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9" fontId="70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9" fontId="2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9" fontId="2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9" fontId="2" fillId="0" borderId="0" applyFont="0" applyFill="0" applyBorder="0" applyProtection="0">
      <alignment horizontal="right"/>
    </xf>
    <xf numFmtId="249" fontId="71" fillId="0" borderId="0" applyFont="0" applyFill="0" applyBorder="0" applyProtection="0">
      <alignment horizontal="right"/>
    </xf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49" fontId="69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9" fontId="2" fillId="0" borderId="0" applyFont="0" applyFill="0" applyBorder="0" applyProtection="0">
      <alignment horizontal="right"/>
    </xf>
    <xf numFmtId="249" fontId="2" fillId="0" borderId="0" applyFont="0" applyFill="0" applyBorder="0" applyProtection="0">
      <alignment horizontal="right"/>
    </xf>
    <xf numFmtId="249" fontId="69" fillId="0" borderId="0" applyFont="0" applyFill="0" applyBorder="0" applyProtection="0">
      <alignment horizontal="right"/>
    </xf>
    <xf numFmtId="249" fontId="69" fillId="0" borderId="0" applyFont="0" applyFill="0" applyBorder="0" applyProtection="0">
      <alignment horizontal="right"/>
    </xf>
    <xf numFmtId="249" fontId="69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9" fontId="69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9" fontId="69" fillId="0" borderId="0" applyFont="0" applyFill="0" applyBorder="0" applyProtection="0">
      <alignment horizontal="right"/>
    </xf>
    <xf numFmtId="248" fontId="2" fillId="0" borderId="0" applyFont="0" applyFill="0" applyBorder="0" applyAlignment="0" applyProtection="0"/>
    <xf numFmtId="249" fontId="2" fillId="0" borderId="0" applyFont="0" applyFill="0" applyBorder="0" applyProtection="0">
      <alignment horizontal="right"/>
    </xf>
    <xf numFmtId="249" fontId="2" fillId="0" borderId="0" applyFont="0" applyFill="0" applyBorder="0" applyProtection="0">
      <alignment horizontal="right"/>
    </xf>
    <xf numFmtId="249" fontId="2" fillId="0" borderId="0" applyFont="0" applyFill="0" applyBorder="0" applyProtection="0">
      <alignment horizontal="right"/>
    </xf>
    <xf numFmtId="251" fontId="2" fillId="0" borderId="0" applyFont="0" applyFill="0" applyBorder="0" applyAlignment="0" applyProtection="0"/>
    <xf numFmtId="238" fontId="2" fillId="0" borderId="0" applyFont="0" applyFill="0" applyBorder="0" applyProtection="0">
      <alignment horizontal="right"/>
    </xf>
    <xf numFmtId="238" fontId="2" fillId="0" borderId="0" applyFont="0" applyFill="0" applyBorder="0" applyAlignment="0" applyProtection="0"/>
    <xf numFmtId="238" fontId="2" fillId="0" borderId="0" applyFont="0" applyFill="0" applyBorder="0" applyAlignment="0" applyProtection="0"/>
    <xf numFmtId="238" fontId="2" fillId="0" borderId="0" applyFont="0" applyFill="0" applyBorder="0" applyAlignment="0" applyProtection="0"/>
    <xf numFmtId="252" fontId="2" fillId="0" borderId="0" applyFont="0" applyFill="0" applyBorder="0" applyAlignment="0" applyProtection="0"/>
    <xf numFmtId="239" fontId="2" fillId="0" borderId="0" applyFont="0" applyFill="0" applyBorder="0" applyProtection="0">
      <alignment horizontal="right"/>
    </xf>
    <xf numFmtId="239" fontId="2" fillId="0" borderId="0" applyFont="0" applyFill="0" applyBorder="0" applyProtection="0">
      <alignment horizontal="right"/>
    </xf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Alignment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3" fillId="0" borderId="0" applyNumberFormat="0" applyFill="0" applyBorder="0" applyProtection="0">
      <alignment vertical="top"/>
    </xf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7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67" fillId="0" borderId="28" applyNumberFormat="0" applyFill="0" applyProtection="0">
      <alignment horizontal="center"/>
    </xf>
    <xf numFmtId="0" fontId="67" fillId="0" borderId="0" applyNumberFormat="0" applyFill="0" applyBorder="0" applyProtection="0">
      <alignment horizontal="left"/>
    </xf>
    <xf numFmtId="0" fontId="75" fillId="0" borderId="0" applyNumberFormat="0" applyFill="0" applyBorder="0" applyProtection="0">
      <alignment horizontal="centerContinuous"/>
    </xf>
    <xf numFmtId="0" fontId="75" fillId="0" borderId="0" applyNumberFormat="0" applyFill="0" applyBorder="0" applyProtection="0">
      <alignment horizontal="centerContinuous"/>
    </xf>
    <xf numFmtId="0" fontId="75" fillId="0" borderId="0" applyNumberFormat="0" applyFill="0" applyProtection="0">
      <alignment horizontal="centerContinuous"/>
    </xf>
    <xf numFmtId="0" fontId="75" fillId="0" borderId="0" applyNumberFormat="0" applyFill="0" applyBorder="0" applyProtection="0">
      <alignment horizontal="centerContinuous"/>
    </xf>
    <xf numFmtId="0" fontId="75" fillId="0" borderId="0" applyNumberFormat="0" applyFill="0" applyBorder="0" applyProtection="0">
      <alignment horizontal="centerContinuous"/>
    </xf>
    <xf numFmtId="0" fontId="76" fillId="0" borderId="0"/>
    <xf numFmtId="2" fontId="77" fillId="0" borderId="0" applyNumberFormat="0" applyBorder="0" applyAlignment="0"/>
    <xf numFmtId="178" fontId="78" fillId="0" borderId="0"/>
    <xf numFmtId="0" fontId="56" fillId="27" borderId="29">
      <alignment horizontal="center"/>
    </xf>
    <xf numFmtId="253" fontId="4" fillId="28" borderId="0" applyNumberFormat="0" applyFont="0" applyBorder="0" applyAlignment="0">
      <protection locked="0"/>
    </xf>
    <xf numFmtId="0" fontId="4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253" fontId="80" fillId="0" borderId="0" applyNumberFormat="0" applyFill="0" applyBorder="0" applyProtection="0">
      <alignment horizontal="right"/>
    </xf>
    <xf numFmtId="254" fontId="2" fillId="0" borderId="0">
      <protection locked="0"/>
    </xf>
    <xf numFmtId="38" fontId="81" fillId="0" borderId="0" applyNumberFormat="0" applyFill="0" applyBorder="0">
      <alignment vertical="center"/>
    </xf>
    <xf numFmtId="165" fontId="82" fillId="0" borderId="30">
      <protection locked="0"/>
    </xf>
    <xf numFmtId="254" fontId="2" fillId="0" borderId="0">
      <protection locked="0"/>
    </xf>
    <xf numFmtId="14" fontId="83" fillId="0" borderId="0">
      <alignment horizontal="right"/>
    </xf>
    <xf numFmtId="0" fontId="7" fillId="0" borderId="0"/>
    <xf numFmtId="0" fontId="77" fillId="0" borderId="0" applyNumberFormat="0" applyAlignment="0"/>
    <xf numFmtId="180" fontId="84" fillId="0" borderId="0" applyNumberFormat="0" applyFont="0" applyAlignment="0">
      <alignment vertical="center"/>
    </xf>
    <xf numFmtId="254" fontId="2" fillId="0" borderId="0">
      <protection locked="0"/>
    </xf>
    <xf numFmtId="0" fontId="31" fillId="0" borderId="0" applyNumberFormat="0" applyFill="0" applyBorder="0" applyAlignment="0" applyProtection="0"/>
    <xf numFmtId="180" fontId="85" fillId="0" borderId="0" applyNumberFormat="0" applyFill="0" applyBorder="0">
      <alignment horizontal="left" vertical="center"/>
    </xf>
    <xf numFmtId="255" fontId="2" fillId="0" borderId="0" applyNumberFormat="0" applyFill="0" applyBorder="0" applyAlignment="0" applyProtection="0"/>
    <xf numFmtId="0" fontId="86" fillId="0" borderId="0"/>
    <xf numFmtId="38" fontId="87" fillId="0" borderId="0" applyNumberFormat="0" applyFill="0" applyBorder="0">
      <alignment horizontal="left" vertical="center"/>
    </xf>
    <xf numFmtId="180" fontId="88" fillId="0" borderId="0" applyFill="0" applyBorder="0">
      <alignment vertical="center"/>
    </xf>
    <xf numFmtId="0" fontId="89" fillId="29" borderId="0"/>
    <xf numFmtId="0" fontId="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255" fontId="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90" fillId="0" borderId="0">
      <alignment horizontal="left" vertical="top"/>
      <protection locked="0"/>
    </xf>
    <xf numFmtId="187" fontId="2" fillId="0" borderId="0" applyFill="0">
      <alignment horizontal="center" vertical="center"/>
    </xf>
    <xf numFmtId="256" fontId="2" fillId="0" borderId="0"/>
    <xf numFmtId="0" fontId="42" fillId="0" borderId="0" applyNumberFormat="0" applyAlignment="0"/>
    <xf numFmtId="178" fontId="2" fillId="0" borderId="0" applyFill="0" applyBorder="0" applyAlignment="0" applyProtection="0"/>
    <xf numFmtId="190" fontId="13" fillId="0" borderId="0">
      <alignment vertical="top"/>
    </xf>
    <xf numFmtId="2" fontId="91" fillId="0" borderId="0"/>
    <xf numFmtId="1" fontId="2" fillId="0" borderId="0"/>
    <xf numFmtId="164" fontId="87" fillId="0" borderId="31" applyFill="0">
      <alignment vertical="center"/>
    </xf>
    <xf numFmtId="257" fontId="4" fillId="0" borderId="0"/>
    <xf numFmtId="39" fontId="3" fillId="0" borderId="3" applyNumberFormat="0" applyBorder="0">
      <alignment horizontal="right"/>
    </xf>
    <xf numFmtId="0" fontId="92" fillId="0" borderId="0" applyNumberFormat="0">
      <alignment horizontal="left"/>
    </xf>
    <xf numFmtId="0" fontId="93" fillId="0" borderId="0" applyFill="0" applyBorder="0" applyProtection="0">
      <alignment horizontal="left" vertical="top"/>
    </xf>
    <xf numFmtId="14" fontId="2" fillId="0" borderId="0" applyFill="0" applyBorder="0">
      <alignment vertical="center"/>
    </xf>
    <xf numFmtId="0" fontId="8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38" fontId="94" fillId="0" borderId="0" applyNumberFormat="0" applyFill="0" applyBorder="0">
      <alignment horizontal="left" vertical="center"/>
    </xf>
    <xf numFmtId="0" fontId="9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216" fontId="77" fillId="0" borderId="0" applyNumberFormat="0" applyBorder="0" applyAlignment="0"/>
    <xf numFmtId="258" fontId="2" fillId="0" borderId="0" applyFill="0" applyBorder="0">
      <alignment vertical="center"/>
    </xf>
    <xf numFmtId="38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169" fontId="97" fillId="0" borderId="0" applyFont="0" applyFill="0" applyBorder="0" applyAlignment="0" applyProtection="0"/>
    <xf numFmtId="0" fontId="2" fillId="0" borderId="0"/>
    <xf numFmtId="0" fontId="97" fillId="0" borderId="0"/>
    <xf numFmtId="9" fontId="2" fillId="0" borderId="0" applyFont="0" applyFill="0" applyBorder="0" applyAlignment="0" applyProtection="0"/>
    <xf numFmtId="0" fontId="97" fillId="0" borderId="0"/>
    <xf numFmtId="0" fontId="97" fillId="0" borderId="0"/>
    <xf numFmtId="0" fontId="105" fillId="0" borderId="0"/>
    <xf numFmtId="0" fontId="2" fillId="0" borderId="0"/>
    <xf numFmtId="0" fontId="2" fillId="0" borderId="0"/>
    <xf numFmtId="0" fontId="2" fillId="0" borderId="0"/>
  </cellStyleXfs>
  <cellXfs count="2382">
    <xf numFmtId="0" fontId="0" fillId="0" borderId="0" xfId="0"/>
    <xf numFmtId="0" fontId="7" fillId="0" borderId="0" xfId="1" applyFont="1"/>
    <xf numFmtId="0" fontId="8" fillId="2" borderId="0" xfId="132" applyFont="1" applyFill="1"/>
    <xf numFmtId="3" fontId="7" fillId="0" borderId="10" xfId="1" applyNumberFormat="1" applyFont="1" applyBorder="1"/>
    <xf numFmtId="223" fontId="7" fillId="0" borderId="3" xfId="440" applyNumberFormat="1" applyFont="1" applyFill="1" applyBorder="1" applyAlignment="1">
      <alignment horizontal="right" vertical="center"/>
    </xf>
    <xf numFmtId="172" fontId="8" fillId="22" borderId="0" xfId="132" applyNumberFormat="1" applyFont="1" applyFill="1"/>
    <xf numFmtId="0" fontId="55" fillId="2" borderId="0" xfId="132" applyFont="1" applyFill="1"/>
    <xf numFmtId="223" fontId="7" fillId="0" borderId="2" xfId="440" applyNumberFormat="1" applyFont="1" applyFill="1" applyBorder="1" applyAlignment="1">
      <alignment horizontal="right" vertical="center"/>
    </xf>
    <xf numFmtId="3" fontId="7" fillId="0" borderId="33" xfId="1" applyNumberFormat="1" applyFont="1" applyBorder="1"/>
    <xf numFmtId="0" fontId="105" fillId="0" borderId="0" xfId="723" applyAlignment="1">
      <alignment vertical="center"/>
    </xf>
    <xf numFmtId="0" fontId="105" fillId="0" borderId="0" xfId="723" applyAlignment="1">
      <alignment horizontal="left" vertical="center" indent="3"/>
    </xf>
    <xf numFmtId="0" fontId="106" fillId="0" borderId="0" xfId="724" quotePrefix="1" applyFont="1" applyAlignment="1">
      <alignment vertical="center"/>
    </xf>
    <xf numFmtId="225" fontId="105" fillId="0" borderId="0" xfId="723" applyNumberFormat="1" applyAlignment="1">
      <alignment horizontal="left" vertical="center"/>
    </xf>
    <xf numFmtId="0" fontId="107" fillId="0" borderId="0" xfId="723" applyFont="1" applyAlignment="1">
      <alignment horizontal="left" vertical="center" indent="2"/>
    </xf>
    <xf numFmtId="0" fontId="108" fillId="40" borderId="0" xfId="724" quotePrefix="1" applyFont="1" applyFill="1" applyAlignment="1">
      <alignment vertical="center"/>
    </xf>
    <xf numFmtId="0" fontId="109" fillId="40" borderId="0" xfId="724" quotePrefix="1" applyFont="1" applyFill="1" applyAlignment="1">
      <alignment vertical="center"/>
    </xf>
    <xf numFmtId="0" fontId="110" fillId="0" borderId="0" xfId="723" applyFont="1" applyAlignment="1">
      <alignment vertical="center"/>
    </xf>
    <xf numFmtId="3" fontId="7" fillId="0" borderId="20" xfId="1" applyNumberFormat="1" applyFont="1" applyBorder="1" applyAlignment="1">
      <alignment horizontal="right" vertical="center"/>
    </xf>
    <xf numFmtId="3" fontId="7" fillId="0" borderId="34" xfId="1" applyNumberFormat="1" applyFont="1" applyBorder="1" applyAlignment="1">
      <alignment horizontal="right" vertical="center"/>
    </xf>
    <xf numFmtId="38" fontId="7" fillId="0" borderId="20" xfId="440" applyFont="1" applyFill="1" applyBorder="1" applyAlignment="1">
      <alignment horizontal="right" vertical="center"/>
    </xf>
    <xf numFmtId="38" fontId="7" fillId="0" borderId="34" xfId="440" applyFont="1" applyFill="1" applyBorder="1" applyAlignment="1">
      <alignment horizontal="right" vertical="center"/>
    </xf>
    <xf numFmtId="172" fontId="65" fillId="0" borderId="0" xfId="120" applyNumberFormat="1" applyFont="1" applyFill="1" applyBorder="1" applyAlignment="1" applyProtection="1"/>
    <xf numFmtId="172" fontId="112" fillId="0" borderId="0" xfId="120" applyNumberFormat="1" applyFont="1" applyFill="1" applyBorder="1" applyAlignment="1" applyProtection="1"/>
    <xf numFmtId="172" fontId="7" fillId="0" borderId="0" xfId="1" applyNumberFormat="1" applyFont="1"/>
    <xf numFmtId="180" fontId="7" fillId="0" borderId="0" xfId="1" applyNumberFormat="1" applyFont="1"/>
    <xf numFmtId="0" fontId="5" fillId="2" borderId="0" xfId="132" applyFont="1" applyFill="1"/>
    <xf numFmtId="172" fontId="7" fillId="22" borderId="0" xfId="132" applyNumberFormat="1" applyFont="1" applyFill="1" applyAlignment="1">
      <alignment horizontal="right"/>
    </xf>
    <xf numFmtId="180" fontId="5" fillId="22" borderId="0" xfId="716" applyNumberFormat="1" applyFont="1" applyFill="1" applyBorder="1" applyAlignment="1">
      <alignment horizontal="center"/>
    </xf>
    <xf numFmtId="38" fontId="7" fillId="22" borderId="0" xfId="715" applyFont="1" applyFill="1" applyBorder="1" applyAlignment="1">
      <alignment horizontal="right"/>
    </xf>
    <xf numFmtId="172" fontId="7" fillId="0" borderId="0" xfId="132" applyNumberFormat="1" applyFont="1" applyAlignment="1">
      <alignment horizontal="right"/>
    </xf>
    <xf numFmtId="9" fontId="7" fillId="22" borderId="0" xfId="132" applyNumberFormat="1" applyFont="1" applyFill="1" applyAlignment="1">
      <alignment horizontal="right"/>
    </xf>
    <xf numFmtId="38" fontId="7" fillId="0" borderId="0" xfId="715" applyFont="1" applyFill="1" applyBorder="1" applyAlignment="1"/>
    <xf numFmtId="0" fontId="5" fillId="22" borderId="0" xfId="1" applyFont="1" applyFill="1" applyAlignment="1">
      <alignment horizontal="left"/>
    </xf>
    <xf numFmtId="0" fontId="5" fillId="22" borderId="0" xfId="1" applyFont="1" applyFill="1" applyAlignment="1">
      <alignment horizontal="center"/>
    </xf>
    <xf numFmtId="10" fontId="5" fillId="22" borderId="0" xfId="716" applyNumberFormat="1" applyFont="1" applyFill="1" applyBorder="1" applyAlignment="1">
      <alignment horizontal="center"/>
    </xf>
    <xf numFmtId="0" fontId="5" fillId="0" borderId="0" xfId="1" applyFont="1" applyAlignment="1">
      <alignment horizontal="center"/>
    </xf>
    <xf numFmtId="0" fontId="7" fillId="0" borderId="0" xfId="441" applyFont="1"/>
    <xf numFmtId="0" fontId="111" fillId="0" borderId="0" xfId="441" applyFont="1"/>
    <xf numFmtId="0" fontId="113" fillId="0" borderId="0" xfId="441" applyFont="1"/>
    <xf numFmtId="0" fontId="111" fillId="0" borderId="0" xfId="441" applyFont="1" applyAlignment="1">
      <alignment horizontal="right"/>
    </xf>
    <xf numFmtId="0" fontId="7" fillId="0" borderId="0" xfId="441" applyFont="1" applyAlignment="1">
      <alignment horizontal="right" vertical="center"/>
    </xf>
    <xf numFmtId="0" fontId="111" fillId="0" borderId="0" xfId="441" applyFont="1" applyAlignment="1">
      <alignment horizontal="center"/>
    </xf>
    <xf numFmtId="0" fontId="111" fillId="21" borderId="0" xfId="441" applyFont="1" applyFill="1" applyAlignment="1">
      <alignment horizontal="center"/>
    </xf>
    <xf numFmtId="0" fontId="7" fillId="0" borderId="0" xfId="441" quotePrefix="1" applyFont="1"/>
    <xf numFmtId="0" fontId="5" fillId="38" borderId="0" xfId="441" applyFont="1" applyFill="1" applyAlignment="1">
      <alignment horizontal="right" vertical="center"/>
    </xf>
    <xf numFmtId="0" fontId="7" fillId="0" borderId="0" xfId="441" applyFont="1" applyAlignment="1">
      <alignment vertical="center"/>
    </xf>
    <xf numFmtId="0" fontId="7" fillId="0" borderId="20" xfId="441" applyFont="1" applyBorder="1"/>
    <xf numFmtId="3" fontId="111" fillId="0" borderId="20" xfId="48" applyNumberFormat="1" applyFont="1" applyFill="1" applyBorder="1" applyAlignment="1">
      <alignment horizontal="right"/>
    </xf>
    <xf numFmtId="180" fontId="5" fillId="0" borderId="0" xfId="716" applyNumberFormat="1" applyFont="1" applyFill="1" applyBorder="1" applyAlignment="1"/>
    <xf numFmtId="3" fontId="111" fillId="0" borderId="0" xfId="48" applyNumberFormat="1" applyFont="1" applyFill="1" applyBorder="1" applyAlignment="1">
      <alignment horizontal="right"/>
    </xf>
    <xf numFmtId="180" fontId="111" fillId="0" borderId="20" xfId="716" applyNumberFormat="1" applyFont="1" applyFill="1" applyBorder="1" applyAlignment="1">
      <alignment horizontal="right"/>
    </xf>
    <xf numFmtId="3" fontId="111" fillId="0" borderId="0" xfId="48" applyNumberFormat="1" applyFont="1" applyBorder="1" applyAlignment="1">
      <alignment horizontal="right"/>
    </xf>
    <xf numFmtId="9" fontId="111" fillId="0" borderId="0" xfId="3" applyFont="1" applyBorder="1" applyAlignment="1">
      <alignment horizontal="right"/>
    </xf>
    <xf numFmtId="180" fontId="111" fillId="0" borderId="0" xfId="3" applyNumberFormat="1" applyFont="1" applyBorder="1" applyAlignment="1">
      <alignment horizontal="right"/>
    </xf>
    <xf numFmtId="167" fontId="7" fillId="0" borderId="0" xfId="48" applyNumberFormat="1" applyFont="1" applyFill="1" applyBorder="1"/>
    <xf numFmtId="180" fontId="111" fillId="0" borderId="0" xfId="48" applyNumberFormat="1" applyFont="1" applyFill="1" applyBorder="1" applyAlignment="1">
      <alignment horizontal="right"/>
    </xf>
    <xf numFmtId="180" fontId="111" fillId="0" borderId="0" xfId="716" applyNumberFormat="1" applyFont="1" applyBorder="1" applyAlignment="1">
      <alignment horizontal="right"/>
    </xf>
    <xf numFmtId="3" fontId="111" fillId="0" borderId="20" xfId="48" applyNumberFormat="1" applyFont="1" applyBorder="1" applyAlignment="1">
      <alignment horizontal="right"/>
    </xf>
    <xf numFmtId="180" fontId="111" fillId="0" borderId="20" xfId="716" applyNumberFormat="1" applyFont="1" applyBorder="1" applyAlignment="1">
      <alignment horizontal="right"/>
    </xf>
    <xf numFmtId="3" fontId="111" fillId="0" borderId="23" xfId="48" applyNumberFormat="1" applyFont="1" applyBorder="1" applyAlignment="1">
      <alignment horizontal="right"/>
    </xf>
    <xf numFmtId="9" fontId="111" fillId="0" borderId="23" xfId="3" applyFont="1" applyBorder="1" applyAlignment="1">
      <alignment horizontal="right"/>
    </xf>
    <xf numFmtId="180" fontId="7" fillId="0" borderId="0" xfId="716" applyNumberFormat="1" applyFont="1" applyFill="1" applyBorder="1" applyAlignment="1"/>
    <xf numFmtId="180" fontId="111" fillId="0" borderId="23" xfId="48" applyNumberFormat="1" applyFont="1" applyBorder="1" applyAlignment="1">
      <alignment horizontal="right"/>
    </xf>
    <xf numFmtId="180" fontId="111" fillId="0" borderId="23" xfId="3" applyNumberFormat="1" applyFont="1" applyBorder="1" applyAlignment="1">
      <alignment horizontal="right"/>
    </xf>
    <xf numFmtId="180" fontId="111" fillId="0" borderId="23" xfId="716" applyNumberFormat="1" applyFont="1" applyBorder="1" applyAlignment="1">
      <alignment horizontal="right"/>
    </xf>
    <xf numFmtId="0" fontId="7" fillId="0" borderId="23" xfId="441" applyFont="1" applyBorder="1"/>
    <xf numFmtId="0" fontId="7" fillId="0" borderId="10" xfId="441" applyFont="1" applyBorder="1"/>
    <xf numFmtId="3" fontId="111" fillId="0" borderId="10" xfId="48" applyNumberFormat="1" applyFont="1" applyBorder="1" applyAlignment="1">
      <alignment horizontal="right"/>
    </xf>
    <xf numFmtId="180" fontId="111" fillId="0" borderId="10" xfId="716" applyNumberFormat="1" applyFont="1" applyBorder="1" applyAlignment="1">
      <alignment horizontal="right"/>
    </xf>
    <xf numFmtId="3" fontId="111" fillId="0" borderId="10" xfId="441" applyNumberFormat="1" applyFont="1" applyBorder="1" applyAlignment="1">
      <alignment horizontal="center"/>
    </xf>
    <xf numFmtId="167" fontId="5" fillId="0" borderId="0" xfId="48" applyNumberFormat="1" applyFont="1" applyFill="1" applyBorder="1"/>
    <xf numFmtId="3" fontId="111" fillId="0" borderId="0" xfId="441" applyNumberFormat="1" applyFont="1" applyAlignment="1">
      <alignment horizontal="center"/>
    </xf>
    <xf numFmtId="180" fontId="111" fillId="0" borderId="10" xfId="716" applyNumberFormat="1" applyFont="1" applyBorder="1" applyAlignment="1">
      <alignment horizontal="center"/>
    </xf>
    <xf numFmtId="38" fontId="111" fillId="0" borderId="0" xfId="48" quotePrefix="1" applyFont="1" applyFill="1" applyBorder="1" applyAlignment="1">
      <alignment horizontal="center"/>
    </xf>
    <xf numFmtId="3" fontId="111" fillId="0" borderId="0" xfId="441" applyNumberFormat="1" applyFont="1" applyAlignment="1">
      <alignment horizontal="right"/>
    </xf>
    <xf numFmtId="9" fontId="5" fillId="0" borderId="0" xfId="716" quotePrefix="1" applyFont="1" applyFill="1" applyBorder="1" applyAlignment="1">
      <alignment horizontal="left"/>
    </xf>
    <xf numFmtId="0" fontId="5" fillId="0" borderId="0" xfId="441" applyFont="1" applyAlignment="1">
      <alignment horizontal="left"/>
    </xf>
    <xf numFmtId="0" fontId="7" fillId="0" borderId="0" xfId="441" applyFont="1" applyAlignment="1">
      <alignment horizontal="left"/>
    </xf>
    <xf numFmtId="180" fontId="111" fillId="0" borderId="0" xfId="716" applyNumberFormat="1" applyFont="1" applyFill="1" applyBorder="1" applyAlignment="1">
      <alignment horizontal="right"/>
    </xf>
    <xf numFmtId="38" fontId="7" fillId="0" borderId="0" xfId="441" applyNumberFormat="1" applyFont="1"/>
    <xf numFmtId="9" fontId="7" fillId="0" borderId="0" xfId="716" applyFont="1" applyFill="1" applyBorder="1" applyAlignment="1"/>
    <xf numFmtId="3" fontId="111" fillId="12" borderId="0" xfId="441" applyNumberFormat="1" applyFont="1" applyFill="1" applyAlignment="1">
      <alignment horizontal="right"/>
    </xf>
    <xf numFmtId="38" fontId="7" fillId="0" borderId="23" xfId="441" applyNumberFormat="1" applyFont="1" applyBorder="1"/>
    <xf numFmtId="3" fontId="111" fillId="0" borderId="23" xfId="441" applyNumberFormat="1" applyFont="1" applyBorder="1" applyAlignment="1">
      <alignment horizontal="right"/>
    </xf>
    <xf numFmtId="180" fontId="111" fillId="0" borderId="23" xfId="716" applyNumberFormat="1" applyFont="1" applyFill="1" applyBorder="1" applyAlignment="1">
      <alignment horizontal="right"/>
    </xf>
    <xf numFmtId="3" fontId="111" fillId="0" borderId="0" xfId="48" quotePrefix="1" applyNumberFormat="1" applyFont="1" applyFill="1" applyBorder="1" applyAlignment="1">
      <alignment horizontal="right"/>
    </xf>
    <xf numFmtId="167" fontId="5" fillId="0" borderId="0" xfId="48" quotePrefix="1" applyNumberFormat="1" applyFont="1" applyFill="1" applyBorder="1" applyAlignment="1">
      <alignment horizontal="right"/>
    </xf>
    <xf numFmtId="0" fontId="5" fillId="0" borderId="0" xfId="441" applyFont="1"/>
    <xf numFmtId="180" fontId="111" fillId="0" borderId="0" xfId="716" quotePrefix="1" applyNumberFormat="1" applyFont="1" applyFill="1" applyBorder="1" applyAlignment="1">
      <alignment horizontal="right"/>
    </xf>
    <xf numFmtId="180" fontId="111" fillId="0" borderId="0" xfId="3" applyNumberFormat="1" applyFont="1" applyFill="1" applyBorder="1" applyAlignment="1">
      <alignment horizontal="right"/>
    </xf>
    <xf numFmtId="180" fontId="111" fillId="0" borderId="23" xfId="3" applyNumberFormat="1" applyFont="1" applyFill="1" applyBorder="1" applyAlignment="1">
      <alignment horizontal="right"/>
    </xf>
    <xf numFmtId="223" fontId="7" fillId="0" borderId="0" xfId="48" applyNumberFormat="1" applyFont="1" applyBorder="1"/>
    <xf numFmtId="9" fontId="111" fillId="0" borderId="0" xfId="441" applyNumberFormat="1" applyFont="1"/>
    <xf numFmtId="223" fontId="5" fillId="0" borderId="0" xfId="48" applyNumberFormat="1" applyFont="1" applyFill="1" applyBorder="1" applyAlignment="1">
      <alignment horizontal="right"/>
    </xf>
    <xf numFmtId="9" fontId="111" fillId="0" borderId="0" xfId="716" applyFont="1" applyBorder="1" applyAlignment="1"/>
    <xf numFmtId="180" fontId="111" fillId="0" borderId="0" xfId="716" applyNumberFormat="1" applyFont="1" applyBorder="1" applyAlignment="1"/>
    <xf numFmtId="0" fontId="115" fillId="0" borderId="0" xfId="441" applyFont="1"/>
    <xf numFmtId="235" fontId="115" fillId="0" borderId="0" xfId="441" applyNumberFormat="1" applyFont="1"/>
    <xf numFmtId="0" fontId="116" fillId="0" borderId="0" xfId="441" applyFont="1"/>
    <xf numFmtId="0" fontId="114" fillId="0" borderId="0" xfId="441" applyFont="1"/>
    <xf numFmtId="0" fontId="66" fillId="0" borderId="0" xfId="120" applyFont="1" applyFill="1" applyBorder="1" applyAlignment="1" applyProtection="1"/>
    <xf numFmtId="0" fontId="117" fillId="0" borderId="0" xfId="1" applyFont="1"/>
    <xf numFmtId="37" fontId="117" fillId="0" borderId="0" xfId="1" applyNumberFormat="1" applyFont="1"/>
    <xf numFmtId="0" fontId="5" fillId="3" borderId="17" xfId="132" applyFont="1" applyFill="1" applyBorder="1" applyAlignment="1">
      <alignment horizontal="right"/>
    </xf>
    <xf numFmtId="226" fontId="5" fillId="3" borderId="16" xfId="2" applyNumberFormat="1" applyFont="1" applyFill="1" applyBorder="1" applyAlignment="1">
      <alignment horizontal="right"/>
    </xf>
    <xf numFmtId="0" fontId="7" fillId="2" borderId="0" xfId="132" applyFont="1" applyFill="1" applyAlignment="1">
      <alignment horizontal="right"/>
    </xf>
    <xf numFmtId="0" fontId="7" fillId="0" borderId="0" xfId="132" applyFont="1" applyAlignment="1">
      <alignment horizontal="right"/>
    </xf>
    <xf numFmtId="37" fontId="117" fillId="0" borderId="0" xfId="1" applyNumberFormat="1" applyFont="1" applyAlignment="1">
      <alignment horizontal="center"/>
    </xf>
    <xf numFmtId="0" fontId="5" fillId="2" borderId="0" xfId="132" applyFont="1" applyFill="1" applyAlignment="1">
      <alignment horizontal="center"/>
    </xf>
    <xf numFmtId="0" fontId="5" fillId="0" borderId="0" xfId="132" applyFont="1" applyAlignment="1">
      <alignment horizontal="center"/>
    </xf>
    <xf numFmtId="236" fontId="117" fillId="0" borderId="0" xfId="1" applyNumberFormat="1" applyFont="1"/>
    <xf numFmtId="232" fontId="117" fillId="0" borderId="0" xfId="1" applyNumberFormat="1" applyFont="1" applyAlignment="1">
      <alignment horizontal="center"/>
    </xf>
    <xf numFmtId="232" fontId="118" fillId="0" borderId="0" xfId="1" applyNumberFormat="1" applyFont="1" applyAlignment="1">
      <alignment horizontal="center"/>
    </xf>
    <xf numFmtId="172" fontId="119" fillId="0" borderId="0" xfId="1" applyNumberFormat="1" applyFont="1"/>
    <xf numFmtId="172" fontId="5" fillId="0" borderId="0" xfId="1" applyNumberFormat="1" applyFont="1"/>
    <xf numFmtId="172" fontId="120" fillId="0" borderId="0" xfId="1" applyNumberFormat="1" applyFont="1"/>
    <xf numFmtId="172" fontId="121" fillId="0" borderId="0" xfId="1" applyNumberFormat="1" applyFont="1"/>
    <xf numFmtId="172" fontId="116" fillId="0" borderId="0" xfId="1" applyNumberFormat="1" applyFont="1"/>
    <xf numFmtId="172" fontId="122" fillId="0" borderId="0" xfId="1" applyNumberFormat="1" applyFont="1"/>
    <xf numFmtId="172" fontId="123" fillId="0" borderId="0" xfId="1" applyNumberFormat="1" applyFont="1"/>
    <xf numFmtId="172" fontId="124" fillId="0" borderId="0" xfId="1" applyNumberFormat="1" applyFont="1"/>
    <xf numFmtId="172" fontId="125" fillId="0" borderId="0" xfId="1" applyNumberFormat="1" applyFont="1"/>
    <xf numFmtId="172" fontId="126" fillId="0" borderId="0" xfId="1" applyNumberFormat="1" applyFont="1"/>
    <xf numFmtId="172" fontId="7" fillId="0" borderId="6" xfId="1" applyNumberFormat="1" applyFont="1" applyBorder="1"/>
    <xf numFmtId="172" fontId="5" fillId="0" borderId="11" xfId="1" applyNumberFormat="1" applyFont="1" applyBorder="1"/>
    <xf numFmtId="172" fontId="120" fillId="0" borderId="11" xfId="1" applyNumberFormat="1" applyFont="1" applyBorder="1"/>
    <xf numFmtId="172" fontId="121" fillId="0" borderId="11" xfId="1" applyNumberFormat="1" applyFont="1" applyBorder="1"/>
    <xf numFmtId="172" fontId="5" fillId="0" borderId="0" xfId="1" applyNumberFormat="1" applyFont="1" applyAlignment="1">
      <alignment horizontal="left"/>
    </xf>
    <xf numFmtId="172" fontId="120" fillId="0" borderId="6" xfId="1" applyNumberFormat="1" applyFont="1" applyBorder="1"/>
    <xf numFmtId="172" fontId="5" fillId="0" borderId="6" xfId="1" applyNumberFormat="1" applyFont="1" applyBorder="1"/>
    <xf numFmtId="172" fontId="7" fillId="0" borderId="11" xfId="1" applyNumberFormat="1" applyFont="1" applyBorder="1"/>
    <xf numFmtId="172" fontId="125" fillId="0" borderId="11" xfId="1" applyNumberFormat="1" applyFont="1" applyBorder="1"/>
    <xf numFmtId="172" fontId="7" fillId="0" borderId="0" xfId="1" applyNumberFormat="1" applyFont="1" applyAlignment="1">
      <alignment horizontal="left" indent="1"/>
    </xf>
    <xf numFmtId="172" fontId="125" fillId="0" borderId="6" xfId="1" applyNumberFormat="1" applyFont="1" applyBorder="1"/>
    <xf numFmtId="172" fontId="127" fillId="2" borderId="0" xfId="1" applyNumberFormat="1" applyFont="1" applyFill="1"/>
    <xf numFmtId="172" fontId="5" fillId="2" borderId="0" xfId="1" applyNumberFormat="1" applyFont="1" applyFill="1"/>
    <xf numFmtId="172" fontId="7" fillId="2" borderId="0" xfId="1" applyNumberFormat="1" applyFont="1" applyFill="1"/>
    <xf numFmtId="172" fontId="125" fillId="2" borderId="0" xfId="1" applyNumberFormat="1" applyFont="1" applyFill="1"/>
    <xf numFmtId="174" fontId="7" fillId="0" borderId="0" xfId="2" applyNumberFormat="1" applyFont="1" applyFill="1" applyBorder="1"/>
    <xf numFmtId="174" fontId="7" fillId="0" borderId="0" xfId="1" applyNumberFormat="1" applyFont="1"/>
    <xf numFmtId="227" fontId="7" fillId="0" borderId="0" xfId="2" applyNumberFormat="1" applyFont="1" applyFill="1" applyBorder="1"/>
    <xf numFmtId="227" fontId="125" fillId="0" borderId="0" xfId="2" applyNumberFormat="1" applyFont="1" applyFill="1" applyBorder="1"/>
    <xf numFmtId="172" fontId="7" fillId="0" borderId="0" xfId="2" applyNumberFormat="1" applyFont="1" applyBorder="1"/>
    <xf numFmtId="172" fontId="7" fillId="0" borderId="0" xfId="2" applyNumberFormat="1" applyFont="1" applyFill="1" applyBorder="1" applyAlignment="1" applyProtection="1"/>
    <xf numFmtId="174" fontId="125" fillId="0" borderId="0" xfId="2" applyNumberFormat="1" applyFont="1" applyBorder="1"/>
    <xf numFmtId="174" fontId="7" fillId="0" borderId="0" xfId="2" applyNumberFormat="1" applyFont="1" applyBorder="1"/>
    <xf numFmtId="174" fontId="126" fillId="0" borderId="0" xfId="2" applyNumberFormat="1" applyFont="1" applyBorder="1"/>
    <xf numFmtId="227" fontId="7" fillId="0" borderId="0" xfId="1" applyNumberFormat="1" applyFont="1"/>
    <xf numFmtId="227" fontId="7" fillId="0" borderId="0" xfId="132" applyNumberFormat="1" applyFont="1"/>
    <xf numFmtId="172" fontId="125" fillId="0" borderId="0" xfId="440" applyNumberFormat="1" applyFont="1" applyFill="1" applyBorder="1" applyAlignment="1">
      <alignment horizontal="right"/>
    </xf>
    <xf numFmtId="172" fontId="125" fillId="0" borderId="0" xfId="440" applyNumberFormat="1" applyFont="1" applyFill="1"/>
    <xf numFmtId="172" fontId="7" fillId="0" borderId="0" xfId="440" applyNumberFormat="1" applyFont="1" applyFill="1"/>
    <xf numFmtId="172" fontId="126" fillId="0" borderId="0" xfId="440" applyNumberFormat="1" applyFont="1" applyFill="1"/>
    <xf numFmtId="172" fontId="125" fillId="0" borderId="6" xfId="440" applyNumberFormat="1" applyFont="1" applyFill="1" applyBorder="1" applyAlignment="1">
      <alignment horizontal="right"/>
    </xf>
    <xf numFmtId="172" fontId="7" fillId="0" borderId="6" xfId="440" applyNumberFormat="1" applyFont="1" applyFill="1" applyBorder="1" applyAlignment="1">
      <alignment horizontal="right"/>
    </xf>
    <xf numFmtId="172" fontId="7" fillId="0" borderId="0" xfId="438" applyNumberFormat="1" applyFont="1"/>
    <xf numFmtId="172" fontId="7" fillId="0" borderId="0" xfId="440" applyNumberFormat="1" applyFont="1" applyFill="1" applyBorder="1" applyAlignment="1">
      <alignment horizontal="right"/>
    </xf>
    <xf numFmtId="172" fontId="120" fillId="0" borderId="0" xfId="440" applyNumberFormat="1" applyFont="1" applyFill="1" applyBorder="1" applyAlignment="1">
      <alignment horizontal="right"/>
    </xf>
    <xf numFmtId="172" fontId="127" fillId="0" borderId="0" xfId="1" applyNumberFormat="1" applyFont="1"/>
    <xf numFmtId="172" fontId="7" fillId="0" borderId="0" xfId="1" applyNumberFormat="1" applyFont="1" applyAlignment="1">
      <alignment horizontal="left"/>
    </xf>
    <xf numFmtId="172" fontId="125" fillId="0" borderId="0" xfId="131" applyNumberFormat="1" applyFont="1"/>
    <xf numFmtId="172" fontId="7" fillId="0" borderId="0" xfId="131" applyNumberFormat="1" applyFont="1"/>
    <xf numFmtId="172" fontId="7" fillId="0" borderId="0" xfId="132" applyNumberFormat="1" applyFont="1" applyAlignment="1">
      <alignment horizontal="left"/>
    </xf>
    <xf numFmtId="172" fontId="128" fillId="0" borderId="0" xfId="1" applyNumberFormat="1" applyFont="1"/>
    <xf numFmtId="172" fontId="126" fillId="0" borderId="0" xfId="131" applyNumberFormat="1" applyFont="1"/>
    <xf numFmtId="174" fontId="7" fillId="0" borderId="0" xfId="1" applyNumberFormat="1" applyFont="1" applyAlignment="1">
      <alignment horizontal="left"/>
    </xf>
    <xf numFmtId="172" fontId="5" fillId="0" borderId="0" xfId="440" applyNumberFormat="1" applyFont="1" applyFill="1" applyBorder="1" applyAlignment="1">
      <alignment horizontal="right"/>
    </xf>
    <xf numFmtId="172" fontId="5" fillId="0" borderId="0" xfId="441" applyNumberFormat="1" applyFont="1"/>
    <xf numFmtId="172" fontId="5" fillId="0" borderId="0" xfId="132" applyNumberFormat="1" applyFont="1"/>
    <xf numFmtId="172" fontId="5" fillId="0" borderId="11" xfId="132" applyNumberFormat="1" applyFont="1" applyBorder="1"/>
    <xf numFmtId="172" fontId="104" fillId="0" borderId="0" xfId="1" applyNumberFormat="1" applyFont="1"/>
    <xf numFmtId="172" fontId="5" fillId="0" borderId="0" xfId="440" applyNumberFormat="1" applyFont="1" applyFill="1"/>
    <xf numFmtId="172" fontId="7" fillId="0" borderId="0" xfId="440" applyNumberFormat="1" applyFont="1" applyFill="1" applyBorder="1"/>
    <xf numFmtId="172" fontId="5" fillId="0" borderId="24" xfId="439" applyNumberFormat="1" applyFont="1" applyBorder="1"/>
    <xf numFmtId="172" fontId="5" fillId="0" borderId="0" xfId="439" applyNumberFormat="1" applyFont="1"/>
    <xf numFmtId="172" fontId="5" fillId="2" borderId="3" xfId="1" applyNumberFormat="1" applyFont="1" applyFill="1" applyBorder="1"/>
    <xf numFmtId="172" fontId="120" fillId="2" borderId="3" xfId="1" applyNumberFormat="1" applyFont="1" applyFill="1" applyBorder="1"/>
    <xf numFmtId="172" fontId="121" fillId="2" borderId="3" xfId="1" applyNumberFormat="1" applyFont="1" applyFill="1" applyBorder="1"/>
    <xf numFmtId="172" fontId="125" fillId="0" borderId="0" xfId="131" applyNumberFormat="1" applyFont="1" applyAlignment="1">
      <alignment vertical="center" wrapText="1"/>
    </xf>
    <xf numFmtId="172" fontId="7" fillId="0" borderId="0" xfId="131" applyNumberFormat="1" applyFont="1" applyAlignment="1">
      <alignment vertical="center" wrapText="1"/>
    </xf>
    <xf numFmtId="172" fontId="129" fillId="0" borderId="0" xfId="1" applyNumberFormat="1" applyFont="1"/>
    <xf numFmtId="172" fontId="5" fillId="0" borderId="0" xfId="1" applyNumberFormat="1" applyFont="1" applyAlignment="1">
      <alignment vertical="center"/>
    </xf>
    <xf numFmtId="172" fontId="5" fillId="2" borderId="3" xfId="1" applyNumberFormat="1" applyFont="1" applyFill="1" applyBorder="1" applyAlignment="1">
      <alignment vertical="center"/>
    </xf>
    <xf numFmtId="172" fontId="115" fillId="0" borderId="0" xfId="1" applyNumberFormat="1" applyFont="1"/>
    <xf numFmtId="172" fontId="130" fillId="0" borderId="0" xfId="1" applyNumberFormat="1" applyFont="1"/>
    <xf numFmtId="172" fontId="117" fillId="0" borderId="0" xfId="1" applyNumberFormat="1" applyFont="1"/>
    <xf numFmtId="0" fontId="131" fillId="0" borderId="0" xfId="132" applyFont="1" applyAlignment="1">
      <alignment horizontal="right"/>
    </xf>
    <xf numFmtId="216" fontId="5" fillId="0" borderId="0" xfId="132" applyNumberFormat="1" applyFont="1" applyAlignment="1">
      <alignment horizontal="right"/>
    </xf>
    <xf numFmtId="216" fontId="5" fillId="41" borderId="0" xfId="132" applyNumberFormat="1" applyFont="1" applyFill="1" applyAlignment="1">
      <alignment horizontal="centerContinuous"/>
    </xf>
    <xf numFmtId="216" fontId="5" fillId="43" borderId="8" xfId="132" applyNumberFormat="1" applyFont="1" applyFill="1" applyBorder="1" applyAlignment="1">
      <alignment horizontal="centerContinuous"/>
    </xf>
    <xf numFmtId="216" fontId="5" fillId="43" borderId="0" xfId="132" applyNumberFormat="1" applyFont="1" applyFill="1" applyAlignment="1">
      <alignment horizontal="centerContinuous"/>
    </xf>
    <xf numFmtId="0" fontId="7" fillId="2" borderId="8" xfId="132" applyFont="1" applyFill="1" applyBorder="1" applyAlignment="1">
      <alignment horizontal="right"/>
    </xf>
    <xf numFmtId="232" fontId="5" fillId="2" borderId="0" xfId="132" applyNumberFormat="1" applyFont="1" applyFill="1" applyAlignment="1">
      <alignment horizontal="center"/>
    </xf>
    <xf numFmtId="231" fontId="5" fillId="2" borderId="0" xfId="132" applyNumberFormat="1" applyFont="1" applyFill="1" applyAlignment="1">
      <alignment horizontal="center"/>
    </xf>
    <xf numFmtId="231" fontId="5" fillId="2" borderId="8" xfId="132" applyNumberFormat="1" applyFont="1" applyFill="1" applyBorder="1" applyAlignment="1">
      <alignment horizontal="center"/>
    </xf>
    <xf numFmtId="224" fontId="132" fillId="2" borderId="0" xfId="132" applyNumberFormat="1" applyFont="1" applyFill="1" applyAlignment="1">
      <alignment horizontal="center"/>
    </xf>
    <xf numFmtId="224" fontId="5" fillId="2" borderId="0" xfId="132" applyNumberFormat="1" applyFont="1" applyFill="1" applyAlignment="1">
      <alignment horizontal="center"/>
    </xf>
    <xf numFmtId="224" fontId="5" fillId="2" borderId="0" xfId="132" quotePrefix="1" applyNumberFormat="1" applyFont="1" applyFill="1" applyAlignment="1">
      <alignment horizontal="center"/>
    </xf>
    <xf numFmtId="224" fontId="5" fillId="2" borderId="8" xfId="132" applyNumberFormat="1" applyFont="1" applyFill="1" applyBorder="1" applyAlignment="1">
      <alignment horizontal="center"/>
    </xf>
    <xf numFmtId="224" fontId="7" fillId="0" borderId="0" xfId="1" applyNumberFormat="1" applyFont="1" applyAlignment="1">
      <alignment horizontal="center"/>
    </xf>
    <xf numFmtId="0" fontId="5" fillId="2" borderId="0" xfId="132" applyFont="1" applyFill="1" applyAlignment="1">
      <alignment horizontal="right"/>
    </xf>
    <xf numFmtId="227" fontId="131" fillId="0" borderId="0" xfId="2" applyNumberFormat="1" applyFont="1" applyFill="1" applyBorder="1" applyAlignment="1">
      <alignment wrapText="1"/>
    </xf>
    <xf numFmtId="227" fontId="5" fillId="0" borderId="0" xfId="2" applyNumberFormat="1" applyFont="1" applyFill="1" applyBorder="1"/>
    <xf numFmtId="227" fontId="5" fillId="0" borderId="0" xfId="2" applyNumberFormat="1" applyFont="1" applyFill="1" applyBorder="1" applyAlignment="1">
      <alignment horizontal="right"/>
    </xf>
    <xf numFmtId="227" fontId="5" fillId="0" borderId="8" xfId="2" applyNumberFormat="1" applyFont="1" applyFill="1" applyBorder="1" applyAlignment="1">
      <alignment horizontal="right"/>
    </xf>
    <xf numFmtId="227" fontId="7" fillId="0" borderId="0" xfId="2" applyNumberFormat="1" applyFont="1" applyBorder="1"/>
    <xf numFmtId="227" fontId="133" fillId="0" borderId="6" xfId="2" applyNumberFormat="1" applyFont="1" applyFill="1" applyBorder="1"/>
    <xf numFmtId="227" fontId="120" fillId="0" borderId="0" xfId="2" applyNumberFormat="1" applyFont="1" applyFill="1" applyBorder="1" applyAlignment="1">
      <alignment horizontal="right"/>
    </xf>
    <xf numFmtId="0" fontId="131" fillId="0" borderId="0" xfId="132" applyFont="1" applyAlignment="1">
      <alignment wrapText="1"/>
    </xf>
    <xf numFmtId="228" fontId="7" fillId="0" borderId="0" xfId="132" applyNumberFormat="1" applyFont="1" applyAlignment="1">
      <alignment horizontal="left" indent="2"/>
    </xf>
    <xf numFmtId="229" fontId="7" fillId="0" borderId="0" xfId="3" applyNumberFormat="1" applyFont="1" applyFill="1" applyBorder="1"/>
    <xf numFmtId="229" fontId="7" fillId="0" borderId="8" xfId="3" applyNumberFormat="1" applyFont="1" applyFill="1" applyBorder="1"/>
    <xf numFmtId="0" fontId="132" fillId="0" borderId="0" xfId="132" applyFont="1" applyAlignment="1">
      <alignment wrapText="1"/>
    </xf>
    <xf numFmtId="0" fontId="5" fillId="0" borderId="0" xfId="132" applyFont="1"/>
    <xf numFmtId="1" fontId="5" fillId="0" borderId="0" xfId="132" applyNumberFormat="1" applyFont="1"/>
    <xf numFmtId="230" fontId="133" fillId="0" borderId="0" xfId="132" applyNumberFormat="1" applyFont="1" applyAlignment="1">
      <alignment horizontal="right"/>
    </xf>
    <xf numFmtId="172" fontId="134" fillId="0" borderId="0" xfId="132" applyNumberFormat="1" applyFont="1"/>
    <xf numFmtId="172" fontId="134" fillId="0" borderId="8" xfId="132" applyNumberFormat="1" applyFont="1" applyBorder="1"/>
    <xf numFmtId="0" fontId="5" fillId="0" borderId="0" xfId="1" applyFont="1"/>
    <xf numFmtId="0" fontId="7" fillId="0" borderId="0" xfId="132" applyFont="1" applyAlignment="1">
      <alignment horizontal="left" indent="2"/>
    </xf>
    <xf numFmtId="0" fontId="7" fillId="0" borderId="0" xfId="3" applyNumberFormat="1" applyFont="1" applyFill="1" applyBorder="1"/>
    <xf numFmtId="261" fontId="7" fillId="0" borderId="0" xfId="3" applyNumberFormat="1" applyFont="1" applyFill="1" applyBorder="1"/>
    <xf numFmtId="261" fontId="7" fillId="0" borderId="8" xfId="3" applyNumberFormat="1" applyFont="1" applyFill="1" applyBorder="1"/>
    <xf numFmtId="0" fontId="122" fillId="0" borderId="0" xfId="132" applyFont="1" applyAlignment="1">
      <alignment wrapText="1"/>
    </xf>
    <xf numFmtId="0" fontId="122" fillId="0" borderId="0" xfId="1" applyFont="1"/>
    <xf numFmtId="229" fontId="122" fillId="0" borderId="0" xfId="3" applyNumberFormat="1" applyFont="1" applyFill="1" applyBorder="1"/>
    <xf numFmtId="0" fontId="5" fillId="2" borderId="8" xfId="132" applyFont="1" applyFill="1" applyBorder="1" applyAlignment="1">
      <alignment horizontal="center"/>
    </xf>
    <xf numFmtId="172" fontId="5" fillId="0" borderId="0" xfId="132" applyNumberFormat="1" applyFont="1" applyAlignment="1">
      <alignment horizontal="right"/>
    </xf>
    <xf numFmtId="172" fontId="5" fillId="0" borderId="8" xfId="132" applyNumberFormat="1" applyFont="1" applyBorder="1" applyAlignment="1">
      <alignment horizontal="right"/>
    </xf>
    <xf numFmtId="172" fontId="131" fillId="0" borderId="0" xfId="132" applyNumberFormat="1" applyFont="1"/>
    <xf numFmtId="10" fontId="7" fillId="0" borderId="0" xfId="716" applyNumberFormat="1" applyFont="1" applyFill="1" applyBorder="1" applyAlignment="1"/>
    <xf numFmtId="229" fontId="131" fillId="0" borderId="0" xfId="132" applyNumberFormat="1" applyFont="1"/>
    <xf numFmtId="228" fontId="7" fillId="0" borderId="0" xfId="132" applyNumberFormat="1" applyFont="1" applyAlignment="1">
      <alignment horizontal="left" indent="1"/>
    </xf>
    <xf numFmtId="172" fontId="7" fillId="0" borderId="0" xfId="132" applyNumberFormat="1" applyFont="1"/>
    <xf numFmtId="221" fontId="7" fillId="0" borderId="0" xfId="3" applyNumberFormat="1" applyFont="1" applyFill="1" applyBorder="1"/>
    <xf numFmtId="173" fontId="7" fillId="0" borderId="0" xfId="3" applyNumberFormat="1" applyFont="1" applyFill="1" applyBorder="1"/>
    <xf numFmtId="173" fontId="7" fillId="0" borderId="8" xfId="3" applyNumberFormat="1" applyFont="1" applyFill="1" applyBorder="1"/>
    <xf numFmtId="10" fontId="7" fillId="0" borderId="0" xfId="1" applyNumberFormat="1" applyFont="1"/>
    <xf numFmtId="180" fontId="129" fillId="0" borderId="0" xfId="716" applyNumberFormat="1" applyFont="1" applyBorder="1" applyAlignment="1"/>
    <xf numFmtId="221" fontId="7" fillId="0" borderId="0" xfId="1" applyNumberFormat="1" applyFont="1"/>
    <xf numFmtId="0" fontId="131" fillId="0" borderId="0" xfId="132" applyFont="1"/>
    <xf numFmtId="172" fontId="135" fillId="0" borderId="0" xfId="132" applyNumberFormat="1" applyFont="1"/>
    <xf numFmtId="172" fontId="136" fillId="0" borderId="0" xfId="132" applyNumberFormat="1" applyFont="1"/>
    <xf numFmtId="172" fontId="7" fillId="0" borderId="0" xfId="132" applyNumberFormat="1" applyFont="1" applyAlignment="1">
      <alignment horizontal="left" indent="1"/>
    </xf>
    <xf numFmtId="172" fontId="7" fillId="0" borderId="8" xfId="132" applyNumberFormat="1" applyFont="1" applyBorder="1"/>
    <xf numFmtId="172" fontId="5" fillId="0" borderId="0" xfId="132" applyNumberFormat="1" applyFont="1" applyAlignment="1">
      <alignment horizontal="left" indent="1"/>
    </xf>
    <xf numFmtId="172" fontId="5" fillId="0" borderId="8" xfId="132" applyNumberFormat="1" applyFont="1" applyBorder="1"/>
    <xf numFmtId="172" fontId="134" fillId="0" borderId="11" xfId="132" applyNumberFormat="1" applyFont="1" applyBorder="1"/>
    <xf numFmtId="172" fontId="5" fillId="0" borderId="37" xfId="132" applyNumberFormat="1" applyFont="1" applyBorder="1"/>
    <xf numFmtId="180" fontId="5" fillId="0" borderId="0" xfId="3" applyNumberFormat="1" applyFont="1" applyBorder="1"/>
    <xf numFmtId="180" fontId="5" fillId="0" borderId="8" xfId="3" applyNumberFormat="1" applyFont="1" applyBorder="1"/>
    <xf numFmtId="172" fontId="125" fillId="0" borderId="0" xfId="132" applyNumberFormat="1" applyFont="1"/>
    <xf numFmtId="9" fontId="7" fillId="0" borderId="0" xfId="3" applyFont="1" applyBorder="1"/>
    <xf numFmtId="180" fontId="7" fillId="0" borderId="0" xfId="3" applyNumberFormat="1" applyFont="1" applyBorder="1"/>
    <xf numFmtId="180" fontId="7" fillId="0" borderId="8" xfId="3" applyNumberFormat="1" applyFont="1" applyBorder="1"/>
    <xf numFmtId="172" fontId="131" fillId="0" borderId="0" xfId="1" applyNumberFormat="1" applyFont="1"/>
    <xf numFmtId="221" fontId="7" fillId="0" borderId="8" xfId="3" applyNumberFormat="1" applyFont="1" applyFill="1" applyBorder="1"/>
    <xf numFmtId="0" fontId="7" fillId="0" borderId="0" xfId="1" applyFont="1" applyAlignment="1">
      <alignment horizontal="left" indent="1"/>
    </xf>
    <xf numFmtId="172" fontId="7" fillId="0" borderId="0" xfId="3" applyNumberFormat="1" applyFont="1" applyFill="1" applyBorder="1"/>
    <xf numFmtId="172" fontId="7" fillId="0" borderId="8" xfId="3" applyNumberFormat="1" applyFont="1" applyFill="1" applyBorder="1"/>
    <xf numFmtId="38" fontId="7" fillId="42" borderId="0" xfId="715" applyFont="1" applyFill="1" applyAlignment="1"/>
    <xf numFmtId="38" fontId="7" fillId="0" borderId="0" xfId="715" applyFont="1" applyAlignment="1"/>
    <xf numFmtId="172" fontId="7" fillId="0" borderId="0" xfId="1" applyNumberFormat="1" applyFont="1" applyAlignment="1">
      <alignment horizontal="left" indent="2"/>
    </xf>
    <xf numFmtId="180" fontId="136" fillId="0" borderId="0" xfId="3" applyNumberFormat="1" applyFont="1" applyFill="1" applyBorder="1"/>
    <xf numFmtId="180" fontId="137" fillId="0" borderId="0" xfId="3" applyNumberFormat="1" applyFont="1" applyFill="1" applyBorder="1"/>
    <xf numFmtId="180" fontId="137" fillId="0" borderId="8" xfId="3" applyNumberFormat="1" applyFont="1" applyFill="1" applyBorder="1"/>
    <xf numFmtId="172" fontId="122" fillId="0" borderId="0" xfId="132" applyNumberFormat="1" applyFont="1"/>
    <xf numFmtId="172" fontId="5" fillId="0" borderId="38" xfId="132" applyNumberFormat="1" applyFont="1" applyBorder="1"/>
    <xf numFmtId="38" fontId="5" fillId="0" borderId="0" xfId="715" applyFont="1" applyFill="1" applyBorder="1" applyAlignment="1"/>
    <xf numFmtId="180" fontId="137" fillId="0" borderId="0" xfId="716" applyNumberFormat="1" applyFont="1" applyBorder="1" applyAlignment="1"/>
    <xf numFmtId="0" fontId="7" fillId="0" borderId="0" xfId="128" applyFont="1"/>
    <xf numFmtId="0" fontId="6" fillId="0" borderId="0" xfId="435" applyNumberFormat="1" applyFont="1"/>
    <xf numFmtId="38" fontId="7" fillId="0" borderId="0" xfId="128" applyNumberFormat="1" applyFont="1"/>
    <xf numFmtId="223" fontId="7" fillId="0" borderId="0" xfId="50" applyNumberFormat="1" applyFont="1" applyFill="1" applyBorder="1"/>
    <xf numFmtId="223" fontId="7" fillId="0" borderId="8" xfId="50" applyNumberFormat="1" applyFont="1" applyFill="1" applyBorder="1"/>
    <xf numFmtId="0" fontId="7" fillId="12" borderId="0" xfId="128" applyFont="1" applyFill="1"/>
    <xf numFmtId="172" fontId="7" fillId="12" borderId="0" xfId="50" applyNumberFormat="1" applyFont="1" applyFill="1" applyBorder="1"/>
    <xf numFmtId="172" fontId="125" fillId="12" borderId="0" xfId="50" applyNumberFormat="1" applyFont="1" applyFill="1" applyBorder="1"/>
    <xf numFmtId="172" fontId="7" fillId="12" borderId="8" xfId="50" applyNumberFormat="1" applyFont="1" applyFill="1" applyBorder="1"/>
    <xf numFmtId="172" fontId="7" fillId="0" borderId="0" xfId="132" applyNumberFormat="1" applyFont="1" applyAlignment="1">
      <alignment horizontal="left" indent="2"/>
    </xf>
    <xf numFmtId="172" fontId="128" fillId="0" borderId="0" xfId="132" applyNumberFormat="1" applyFont="1"/>
    <xf numFmtId="172" fontId="132" fillId="0" borderId="0" xfId="132" applyNumberFormat="1" applyFont="1"/>
    <xf numFmtId="172" fontId="5" fillId="30" borderId="0" xfId="1" applyNumberFormat="1" applyFont="1" applyFill="1"/>
    <xf numFmtId="0" fontId="5" fillId="0" borderId="6" xfId="132" applyFont="1" applyBorder="1"/>
    <xf numFmtId="172" fontId="135" fillId="0" borderId="6" xfId="132" applyNumberFormat="1" applyFont="1" applyBorder="1"/>
    <xf numFmtId="172" fontId="5" fillId="0" borderId="6" xfId="132" applyNumberFormat="1" applyFont="1" applyBorder="1"/>
    <xf numFmtId="172" fontId="5" fillId="0" borderId="5" xfId="132" applyNumberFormat="1" applyFont="1" applyBorder="1"/>
    <xf numFmtId="180" fontId="136" fillId="0" borderId="0" xfId="3" applyNumberFormat="1" applyFont="1" applyBorder="1"/>
    <xf numFmtId="9" fontId="7" fillId="0" borderId="0" xfId="3" applyFont="1" applyFill="1" applyBorder="1"/>
    <xf numFmtId="172" fontId="7" fillId="30" borderId="0" xfId="1" applyNumberFormat="1" applyFont="1" applyFill="1"/>
    <xf numFmtId="172" fontId="7" fillId="12" borderId="0" xfId="1" applyNumberFormat="1" applyFont="1" applyFill="1"/>
    <xf numFmtId="172" fontId="136" fillId="0" borderId="6" xfId="132" applyNumberFormat="1" applyFont="1" applyBorder="1"/>
    <xf numFmtId="172" fontId="128" fillId="0" borderId="6" xfId="132" applyNumberFormat="1" applyFont="1" applyBorder="1"/>
    <xf numFmtId="9" fontId="5" fillId="0" borderId="0" xfId="716" applyFont="1" applyBorder="1" applyAlignment="1"/>
    <xf numFmtId="9" fontId="5" fillId="0" borderId="8" xfId="716" applyFont="1" applyBorder="1" applyAlignment="1"/>
    <xf numFmtId="227" fontId="132" fillId="0" borderId="0" xfId="132" applyNumberFormat="1" applyFont="1"/>
    <xf numFmtId="227" fontId="5" fillId="0" borderId="0" xfId="1" applyNumberFormat="1" applyFont="1"/>
    <xf numFmtId="227" fontId="134" fillId="0" borderId="0" xfId="132" applyNumberFormat="1" applyFont="1"/>
    <xf numFmtId="227" fontId="5" fillId="0" borderId="0" xfId="132" applyNumberFormat="1" applyFont="1"/>
    <xf numFmtId="40" fontId="7" fillId="30" borderId="0" xfId="715" applyNumberFormat="1" applyFont="1" applyFill="1" applyBorder="1" applyAlignment="1"/>
    <xf numFmtId="40" fontId="7" fillId="0" borderId="0" xfId="715" applyNumberFormat="1" applyFont="1" applyFill="1" applyBorder="1" applyAlignment="1"/>
    <xf numFmtId="227" fontId="131" fillId="0" borderId="0" xfId="132" applyNumberFormat="1" applyFont="1"/>
    <xf numFmtId="227" fontId="136" fillId="0" borderId="0" xfId="132" applyNumberFormat="1" applyFont="1"/>
    <xf numFmtId="0" fontId="132" fillId="0" borderId="0" xfId="132" applyFont="1"/>
    <xf numFmtId="227" fontId="131" fillId="0" borderId="6" xfId="132" applyNumberFormat="1" applyFont="1" applyBorder="1"/>
    <xf numFmtId="227" fontId="7" fillId="0" borderId="6" xfId="132" applyNumberFormat="1" applyFont="1" applyBorder="1"/>
    <xf numFmtId="174" fontId="136" fillId="0" borderId="6" xfId="132" applyNumberFormat="1" applyFont="1" applyBorder="1"/>
    <xf numFmtId="9" fontId="7" fillId="0" borderId="6" xfId="716" applyFont="1" applyFill="1" applyBorder="1" applyAlignment="1"/>
    <xf numFmtId="38" fontId="7" fillId="30" borderId="6" xfId="715" applyFont="1" applyFill="1" applyBorder="1" applyAlignment="1"/>
    <xf numFmtId="38" fontId="7" fillId="0" borderId="6" xfId="715" applyFont="1" applyFill="1" applyBorder="1" applyAlignment="1"/>
    <xf numFmtId="227" fontId="7" fillId="0" borderId="6" xfId="1" applyNumberFormat="1" applyFont="1" applyBorder="1"/>
    <xf numFmtId="174" fontId="136" fillId="0" borderId="0" xfId="132" applyNumberFormat="1" applyFont="1"/>
    <xf numFmtId="180" fontId="134" fillId="0" borderId="0" xfId="3" applyNumberFormat="1" applyFont="1" applyBorder="1"/>
    <xf numFmtId="172" fontId="138" fillId="0" borderId="0" xfId="132" applyNumberFormat="1" applyFont="1"/>
    <xf numFmtId="172" fontId="139" fillId="0" borderId="0" xfId="132" applyNumberFormat="1" applyFont="1"/>
    <xf numFmtId="0" fontId="7" fillId="0" borderId="0" xfId="132" applyFont="1"/>
    <xf numFmtId="221" fontId="7" fillId="0" borderId="0" xfId="132" applyNumberFormat="1" applyFont="1"/>
    <xf numFmtId="221" fontId="7" fillId="0" borderId="8" xfId="132" applyNumberFormat="1" applyFont="1" applyBorder="1"/>
    <xf numFmtId="9" fontId="131" fillId="0" borderId="0" xfId="132" applyNumberFormat="1" applyFont="1"/>
    <xf numFmtId="9" fontId="7" fillId="0" borderId="0" xfId="1" applyNumberFormat="1" applyFont="1"/>
    <xf numFmtId="9" fontId="7" fillId="0" borderId="0" xfId="132" applyNumberFormat="1" applyFont="1" applyAlignment="1">
      <alignment horizontal="left" indent="1"/>
    </xf>
    <xf numFmtId="0" fontId="7" fillId="0" borderId="0" xfId="132" applyFont="1" applyAlignment="1">
      <alignment horizontal="left" indent="1"/>
    </xf>
    <xf numFmtId="172" fontId="5" fillId="2" borderId="0" xfId="132" applyNumberFormat="1" applyFont="1" applyFill="1"/>
    <xf numFmtId="172" fontId="5" fillId="2" borderId="8" xfId="132" applyNumberFormat="1" applyFont="1" applyFill="1" applyBorder="1"/>
    <xf numFmtId="0" fontId="5" fillId="0" borderId="0" xfId="435" applyNumberFormat="1" applyFont="1"/>
    <xf numFmtId="0" fontId="7" fillId="0" borderId="0" xfId="435" applyNumberFormat="1"/>
    <xf numFmtId="172" fontId="7" fillId="0" borderId="0" xfId="50" applyNumberFormat="1" applyFont="1" applyFill="1" applyBorder="1"/>
    <xf numFmtId="172" fontId="125" fillId="0" borderId="0" xfId="50" applyNumberFormat="1" applyFont="1" applyFill="1" applyBorder="1"/>
    <xf numFmtId="172" fontId="131" fillId="0" borderId="0" xfId="132" applyNumberFormat="1" applyFont="1" applyAlignment="1">
      <alignment wrapText="1"/>
    </xf>
    <xf numFmtId="226" fontId="7" fillId="0" borderId="0" xfId="2" applyNumberFormat="1" applyFont="1" applyBorder="1"/>
    <xf numFmtId="226" fontId="7" fillId="0" borderId="8" xfId="2" applyNumberFormat="1" applyFont="1" applyBorder="1"/>
    <xf numFmtId="172" fontId="140" fillId="0" borderId="0" xfId="132" applyNumberFormat="1" applyFont="1"/>
    <xf numFmtId="172" fontId="141" fillId="0" borderId="0" xfId="132" applyNumberFormat="1" applyFont="1"/>
    <xf numFmtId="0" fontId="141" fillId="0" borderId="0" xfId="132" applyFont="1"/>
    <xf numFmtId="38" fontId="7" fillId="0" borderId="0" xfId="715" applyFont="1" applyBorder="1" applyAlignment="1"/>
    <xf numFmtId="0" fontId="7" fillId="0" borderId="0" xfId="132" applyFont="1" applyAlignment="1">
      <alignment horizontal="left"/>
    </xf>
    <xf numFmtId="0" fontId="7" fillId="0" borderId="0" xfId="435" applyNumberFormat="1" applyAlignment="1">
      <alignment horizontal="left" indent="1"/>
    </xf>
    <xf numFmtId="221" fontId="125" fillId="0" borderId="0" xfId="132" applyNumberFormat="1" applyFont="1"/>
    <xf numFmtId="169" fontId="7" fillId="0" borderId="0" xfId="2" applyFont="1" applyBorder="1"/>
    <xf numFmtId="169" fontId="5" fillId="0" borderId="0" xfId="2" applyFont="1" applyBorder="1"/>
    <xf numFmtId="169" fontId="5" fillId="0" borderId="8" xfId="2" applyFont="1" applyBorder="1"/>
    <xf numFmtId="169" fontId="7" fillId="0" borderId="8" xfId="2" applyFont="1" applyBorder="1"/>
    <xf numFmtId="180" fontId="7" fillId="0" borderId="0" xfId="3" applyNumberFormat="1" applyFont="1" applyFill="1" applyBorder="1"/>
    <xf numFmtId="180" fontId="5" fillId="0" borderId="0" xfId="3" applyNumberFormat="1" applyFont="1" applyFill="1" applyBorder="1"/>
    <xf numFmtId="180" fontId="5" fillId="0" borderId="8" xfId="3" applyNumberFormat="1" applyFont="1" applyFill="1" applyBorder="1"/>
    <xf numFmtId="172" fontId="132" fillId="0" borderId="0" xfId="1" applyNumberFormat="1" applyFont="1"/>
    <xf numFmtId="172" fontId="7" fillId="0" borderId="11" xfId="132" applyNumberFormat="1" applyFont="1" applyBorder="1" applyAlignment="1">
      <alignment horizontal="left" indent="1"/>
    </xf>
    <xf numFmtId="172" fontId="7" fillId="0" borderId="6" xfId="132" applyNumberFormat="1" applyFont="1" applyBorder="1"/>
    <xf numFmtId="172" fontId="7" fillId="0" borderId="5" xfId="132" applyNumberFormat="1" applyFont="1" applyBorder="1"/>
    <xf numFmtId="172" fontId="7" fillId="42" borderId="0" xfId="1" applyNumberFormat="1" applyFont="1" applyFill="1"/>
    <xf numFmtId="172" fontId="120" fillId="0" borderId="0" xfId="132" applyNumberFormat="1" applyFont="1"/>
    <xf numFmtId="172" fontId="5" fillId="0" borderId="0" xfId="132" applyNumberFormat="1" applyFont="1" applyAlignment="1">
      <alignment wrapText="1"/>
    </xf>
    <xf numFmtId="172" fontId="5" fillId="11" borderId="0" xfId="132" applyNumberFormat="1" applyFont="1" applyFill="1"/>
    <xf numFmtId="172" fontId="5" fillId="11" borderId="8" xfId="132" applyNumberFormat="1" applyFont="1" applyFill="1" applyBorder="1"/>
    <xf numFmtId="0" fontId="131" fillId="0" borderId="0" xfId="1" applyFont="1"/>
    <xf numFmtId="172" fontId="7" fillId="0" borderId="8" xfId="1" applyNumberFormat="1" applyFont="1" applyBorder="1"/>
    <xf numFmtId="0" fontId="7" fillId="0" borderId="8" xfId="1" applyFont="1" applyBorder="1"/>
    <xf numFmtId="0" fontId="7" fillId="0" borderId="12" xfId="1" applyFont="1" applyBorder="1"/>
    <xf numFmtId="180" fontId="7" fillId="0" borderId="0" xfId="716" applyNumberFormat="1" applyFont="1" applyBorder="1" applyAlignment="1"/>
    <xf numFmtId="0" fontId="7" fillId="14" borderId="0" xfId="1" applyFont="1" applyFill="1" applyAlignment="1">
      <alignment horizontal="center"/>
    </xf>
    <xf numFmtId="38" fontId="7" fillId="0" borderId="0" xfId="440" applyFont="1"/>
    <xf numFmtId="38" fontId="7" fillId="0" borderId="0" xfId="440" applyFont="1" applyBorder="1"/>
    <xf numFmtId="38" fontId="7" fillId="0" borderId="12" xfId="440" applyFont="1" applyBorder="1"/>
    <xf numFmtId="180" fontId="7" fillId="0" borderId="0" xfId="3" applyNumberFormat="1" applyFont="1"/>
    <xf numFmtId="180" fontId="7" fillId="0" borderId="12" xfId="3" applyNumberFormat="1" applyFont="1" applyBorder="1"/>
    <xf numFmtId="180" fontId="7" fillId="0" borderId="8" xfId="3" applyNumberFormat="1" applyFont="1" applyFill="1" applyBorder="1"/>
    <xf numFmtId="180" fontId="7" fillId="0" borderId="12" xfId="3" applyNumberFormat="1" applyFont="1" applyFill="1" applyBorder="1"/>
    <xf numFmtId="38" fontId="7" fillId="0" borderId="0" xfId="440" applyFont="1" applyFill="1" applyBorder="1"/>
    <xf numFmtId="40" fontId="7" fillId="0" borderId="0" xfId="440" applyNumberFormat="1" applyFont="1"/>
    <xf numFmtId="40" fontId="7" fillId="0" borderId="0" xfId="440" applyNumberFormat="1" applyFont="1" applyBorder="1"/>
    <xf numFmtId="40" fontId="7" fillId="0" borderId="0" xfId="440" applyNumberFormat="1" applyFont="1" applyFill="1" applyBorder="1"/>
    <xf numFmtId="40" fontId="7" fillId="0" borderId="12" xfId="440" applyNumberFormat="1" applyFont="1" applyBorder="1"/>
    <xf numFmtId="223" fontId="7" fillId="0" borderId="0" xfId="440" applyNumberFormat="1" applyFont="1"/>
    <xf numFmtId="223" fontId="7" fillId="0" borderId="0" xfId="440" applyNumberFormat="1" applyFont="1" applyBorder="1"/>
    <xf numFmtId="223" fontId="7" fillId="0" borderId="12" xfId="440" applyNumberFormat="1" applyFont="1" applyBorder="1"/>
    <xf numFmtId="9" fontId="7" fillId="0" borderId="0" xfId="3" applyFont="1"/>
    <xf numFmtId="9" fontId="7" fillId="0" borderId="12" xfId="3" applyFont="1" applyBorder="1"/>
    <xf numFmtId="0" fontId="7" fillId="14" borderId="0" xfId="1" applyFont="1" applyFill="1"/>
    <xf numFmtId="38" fontId="7" fillId="0" borderId="0" xfId="1" applyNumberFormat="1" applyFont="1"/>
    <xf numFmtId="38" fontId="7" fillId="0" borderId="12" xfId="1" applyNumberFormat="1" applyFont="1" applyBorder="1"/>
    <xf numFmtId="0" fontId="7" fillId="0" borderId="6" xfId="1" applyFont="1" applyBorder="1"/>
    <xf numFmtId="0" fontId="7" fillId="0" borderId="5" xfId="1" applyFont="1" applyBorder="1"/>
    <xf numFmtId="0" fontId="7" fillId="0" borderId="25" xfId="1" applyFont="1" applyBorder="1"/>
    <xf numFmtId="0" fontId="7" fillId="13" borderId="0" xfId="1" applyFont="1" applyFill="1"/>
    <xf numFmtId="0" fontId="7" fillId="24" borderId="0" xfId="1" applyFont="1" applyFill="1"/>
    <xf numFmtId="0" fontId="7" fillId="13" borderId="9" xfId="1" applyFont="1" applyFill="1" applyBorder="1" applyAlignment="1">
      <alignment horizontal="center"/>
    </xf>
    <xf numFmtId="0" fontId="7" fillId="0" borderId="0" xfId="1" applyFont="1" applyAlignment="1">
      <alignment horizontal="center"/>
    </xf>
    <xf numFmtId="0" fontId="7" fillId="13" borderId="0" xfId="1" applyFont="1" applyFill="1" applyAlignment="1">
      <alignment horizontal="center"/>
    </xf>
    <xf numFmtId="0" fontId="7" fillId="13" borderId="8" xfId="1" applyFont="1" applyFill="1" applyBorder="1" applyAlignment="1">
      <alignment horizontal="center"/>
    </xf>
    <xf numFmtId="16" fontId="7" fillId="0" borderId="0" xfId="1" applyNumberFormat="1" applyFont="1" applyAlignment="1">
      <alignment horizontal="center"/>
    </xf>
    <xf numFmtId="14" fontId="122" fillId="0" borderId="8" xfId="1" applyNumberFormat="1" applyFont="1" applyBorder="1" applyAlignment="1">
      <alignment horizontal="center"/>
    </xf>
    <xf numFmtId="14" fontId="122" fillId="0" borderId="0" xfId="1" applyNumberFormat="1" applyFont="1" applyAlignment="1">
      <alignment horizontal="center"/>
    </xf>
    <xf numFmtId="14" fontId="122" fillId="0" borderId="0" xfId="1" applyNumberFormat="1" applyFont="1" applyAlignment="1">
      <alignment horizontal="left"/>
    </xf>
    <xf numFmtId="14" fontId="7" fillId="0" borderId="0" xfId="1" applyNumberFormat="1" applyFont="1"/>
    <xf numFmtId="0" fontId="7" fillId="0" borderId="8" xfId="1" applyFont="1" applyBorder="1" applyAlignment="1">
      <alignment horizontal="center"/>
    </xf>
    <xf numFmtId="0" fontId="7" fillId="0" borderId="12" xfId="1" applyFont="1" applyBorder="1" applyAlignment="1">
      <alignment horizontal="center"/>
    </xf>
    <xf numFmtId="0" fontId="7" fillId="30" borderId="0" xfId="1" applyFont="1" applyFill="1" applyAlignment="1">
      <alignment horizontal="center"/>
    </xf>
    <xf numFmtId="0" fontId="7" fillId="0" borderId="25" xfId="1" applyFont="1" applyBorder="1" applyAlignment="1">
      <alignment horizontal="center"/>
    </xf>
    <xf numFmtId="14" fontId="7" fillId="0" borderId="8" xfId="1" applyNumberFormat="1" applyFont="1" applyBorder="1"/>
    <xf numFmtId="0" fontId="5" fillId="14" borderId="0" xfId="132" applyFont="1" applyFill="1"/>
    <xf numFmtId="0" fontId="5" fillId="14" borderId="8" xfId="132" applyFont="1" applyFill="1" applyBorder="1"/>
    <xf numFmtId="0" fontId="5" fillId="23" borderId="12" xfId="132" applyFont="1" applyFill="1" applyBorder="1"/>
    <xf numFmtId="0" fontId="5" fillId="0" borderId="8" xfId="132" applyFont="1" applyBorder="1" applyAlignment="1">
      <alignment horizontal="center"/>
    </xf>
    <xf numFmtId="0" fontId="5" fillId="14" borderId="9" xfId="132" applyFont="1" applyFill="1" applyBorder="1"/>
    <xf numFmtId="0" fontId="5" fillId="0" borderId="12" xfId="132" applyFont="1" applyBorder="1"/>
    <xf numFmtId="0" fontId="5" fillId="14" borderId="9" xfId="132" applyFont="1" applyFill="1" applyBorder="1" applyAlignment="1">
      <alignment horizontal="center"/>
    </xf>
    <xf numFmtId="0" fontId="5" fillId="14" borderId="12" xfId="132" applyFont="1" applyFill="1" applyBorder="1" applyAlignment="1">
      <alignment horizontal="center"/>
    </xf>
    <xf numFmtId="0" fontId="5" fillId="14" borderId="0" xfId="132" applyFont="1" applyFill="1" applyAlignment="1">
      <alignment horizontal="center"/>
    </xf>
    <xf numFmtId="0" fontId="5" fillId="14" borderId="12" xfId="132" applyFont="1" applyFill="1" applyBorder="1"/>
    <xf numFmtId="0" fontId="5" fillId="14" borderId="9" xfId="132" applyFont="1" applyFill="1" applyBorder="1" applyAlignment="1">
      <alignment horizontal="centerContinuous"/>
    </xf>
    <xf numFmtId="0" fontId="5" fillId="14" borderId="0" xfId="132" applyFont="1" applyFill="1" applyAlignment="1">
      <alignment horizontal="centerContinuous"/>
    </xf>
    <xf numFmtId="0" fontId="5" fillId="14" borderId="8" xfId="132" applyFont="1" applyFill="1" applyBorder="1" applyAlignment="1">
      <alignment horizontal="centerContinuous"/>
    </xf>
    <xf numFmtId="0" fontId="5" fillId="31" borderId="0" xfId="132" applyFont="1" applyFill="1" applyAlignment="1">
      <alignment horizontal="center"/>
    </xf>
    <xf numFmtId="0" fontId="5" fillId="31" borderId="8" xfId="132" applyFont="1" applyFill="1" applyBorder="1" applyAlignment="1">
      <alignment horizontal="center"/>
    </xf>
    <xf numFmtId="0" fontId="7" fillId="14" borderId="0" xfId="132" applyFont="1" applyFill="1" applyAlignment="1">
      <alignment horizontal="center"/>
    </xf>
    <xf numFmtId="38" fontId="7" fillId="14" borderId="0" xfId="715" applyFont="1" applyFill="1" applyBorder="1" applyAlignment="1">
      <alignment horizontal="center"/>
    </xf>
    <xf numFmtId="0" fontId="7" fillId="24" borderId="0" xfId="132" applyFont="1" applyFill="1" applyAlignment="1">
      <alignment horizontal="center"/>
    </xf>
    <xf numFmtId="0" fontId="7" fillId="14" borderId="9" xfId="132" applyFont="1" applyFill="1" applyBorder="1" applyAlignment="1">
      <alignment horizontal="center"/>
    </xf>
    <xf numFmtId="0" fontId="7" fillId="14" borderId="8" xfId="132" applyFont="1" applyFill="1" applyBorder="1" applyAlignment="1">
      <alignment horizontal="center"/>
    </xf>
    <xf numFmtId="0" fontId="7" fillId="0" borderId="0" xfId="132" applyFont="1" applyAlignment="1">
      <alignment horizontal="center"/>
    </xf>
    <xf numFmtId="0" fontId="7" fillId="31" borderId="0" xfId="132" applyFont="1" applyFill="1" applyAlignment="1">
      <alignment horizontal="center"/>
    </xf>
    <xf numFmtId="0" fontId="7" fillId="31" borderId="0" xfId="132" quotePrefix="1" applyFont="1" applyFill="1" applyAlignment="1">
      <alignment horizontal="center"/>
    </xf>
    <xf numFmtId="0" fontId="7" fillId="0" borderId="8" xfId="132" applyFont="1" applyBorder="1" applyAlignment="1">
      <alignment horizontal="center"/>
    </xf>
    <xf numFmtId="0" fontId="7" fillId="31" borderId="9" xfId="132" applyFont="1" applyFill="1" applyBorder="1" applyAlignment="1">
      <alignment horizontal="center"/>
    </xf>
    <xf numFmtId="0" fontId="7" fillId="31" borderId="8" xfId="132" applyFont="1" applyFill="1" applyBorder="1" applyAlignment="1">
      <alignment horizontal="center"/>
    </xf>
    <xf numFmtId="0" fontId="7" fillId="14" borderId="12" xfId="132" applyFont="1" applyFill="1" applyBorder="1" applyAlignment="1">
      <alignment horizontal="center"/>
    </xf>
    <xf numFmtId="0" fontId="7" fillId="14" borderId="0" xfId="132" quotePrefix="1" applyFont="1" applyFill="1" applyAlignment="1">
      <alignment horizontal="center"/>
    </xf>
    <xf numFmtId="172" fontId="137" fillId="0" borderId="6" xfId="0" applyNumberFormat="1" applyFont="1" applyBorder="1"/>
    <xf numFmtId="172" fontId="5" fillId="0" borderId="5" xfId="1" applyNumberFormat="1" applyFont="1" applyBorder="1"/>
    <xf numFmtId="172" fontId="5" fillId="23" borderId="12" xfId="1" applyNumberFormat="1" applyFont="1" applyFill="1" applyBorder="1"/>
    <xf numFmtId="172" fontId="5" fillId="23" borderId="7" xfId="1" applyNumberFormat="1" applyFont="1" applyFill="1" applyBorder="1"/>
    <xf numFmtId="172" fontId="5" fillId="23" borderId="6" xfId="1" applyNumberFormat="1" applyFont="1" applyFill="1" applyBorder="1"/>
    <xf numFmtId="172" fontId="5" fillId="23" borderId="5" xfId="1" applyNumberFormat="1" applyFont="1" applyFill="1" applyBorder="1"/>
    <xf numFmtId="38" fontId="5" fillId="0" borderId="6" xfId="715" applyFont="1" applyBorder="1" applyAlignment="1"/>
    <xf numFmtId="172" fontId="5" fillId="24" borderId="6" xfId="1" applyNumberFormat="1" applyFont="1" applyFill="1" applyBorder="1"/>
    <xf numFmtId="172" fontId="5" fillId="23" borderId="9" xfId="1" applyNumberFormat="1" applyFont="1" applyFill="1" applyBorder="1"/>
    <xf numFmtId="172" fontId="5" fillId="23" borderId="0" xfId="1" applyNumberFormat="1" applyFont="1" applyFill="1"/>
    <xf numFmtId="172" fontId="5" fillId="23" borderId="8" xfId="1" applyNumberFormat="1" applyFont="1" applyFill="1" applyBorder="1"/>
    <xf numFmtId="172" fontId="5" fillId="0" borderId="8" xfId="1" applyNumberFormat="1" applyFont="1" applyBorder="1"/>
    <xf numFmtId="172" fontId="5" fillId="0" borderId="12" xfId="1" applyNumberFormat="1" applyFont="1" applyBorder="1"/>
    <xf numFmtId="172" fontId="5" fillId="0" borderId="7" xfId="1" applyNumberFormat="1" applyFont="1" applyBorder="1"/>
    <xf numFmtId="0" fontId="7" fillId="0" borderId="7" xfId="1" applyFont="1" applyBorder="1"/>
    <xf numFmtId="172" fontId="5" fillId="0" borderId="9" xfId="1" applyNumberFormat="1" applyFont="1" applyBorder="1"/>
    <xf numFmtId="172" fontId="129" fillId="25" borderId="6" xfId="1" applyNumberFormat="1" applyFont="1" applyFill="1" applyBorder="1"/>
    <xf numFmtId="172" fontId="137" fillId="25" borderId="6" xfId="0" applyNumberFormat="1" applyFont="1" applyFill="1" applyBorder="1"/>
    <xf numFmtId="172" fontId="129" fillId="25" borderId="5" xfId="1" applyNumberFormat="1" applyFont="1" applyFill="1" applyBorder="1"/>
    <xf numFmtId="172" fontId="129" fillId="25" borderId="12" xfId="1" applyNumberFormat="1" applyFont="1" applyFill="1" applyBorder="1"/>
    <xf numFmtId="172" fontId="129" fillId="25" borderId="7" xfId="1" applyNumberFormat="1" applyFont="1" applyFill="1" applyBorder="1"/>
    <xf numFmtId="172" fontId="129" fillId="25" borderId="6" xfId="1" applyNumberFormat="1" applyFont="1" applyFill="1" applyBorder="1" applyAlignment="1">
      <alignment horizontal="right"/>
    </xf>
    <xf numFmtId="172" fontId="129" fillId="25" borderId="12" xfId="1" applyNumberFormat="1" applyFont="1" applyFill="1" applyBorder="1" applyAlignment="1">
      <alignment horizontal="right"/>
    </xf>
    <xf numFmtId="38" fontId="129" fillId="25" borderId="6" xfId="715" applyFont="1" applyFill="1" applyBorder="1" applyAlignment="1">
      <alignment horizontal="right"/>
    </xf>
    <xf numFmtId="172" fontId="129" fillId="24" borderId="6" xfId="1" applyNumberFormat="1" applyFont="1" applyFill="1" applyBorder="1" applyAlignment="1">
      <alignment horizontal="right"/>
    </xf>
    <xf numFmtId="38" fontId="129" fillId="25" borderId="4" xfId="1" applyNumberFormat="1" applyFont="1" applyFill="1" applyBorder="1"/>
    <xf numFmtId="38" fontId="129" fillId="25" borderId="3" xfId="1" applyNumberFormat="1" applyFont="1" applyFill="1" applyBorder="1"/>
    <xf numFmtId="38" fontId="129" fillId="25" borderId="2" xfId="1" applyNumberFormat="1" applyFont="1" applyFill="1" applyBorder="1"/>
    <xf numFmtId="38" fontId="129" fillId="0" borderId="0" xfId="1" applyNumberFormat="1" applyFont="1"/>
    <xf numFmtId="38" fontId="129" fillId="32" borderId="6" xfId="1" applyNumberFormat="1" applyFont="1" applyFill="1" applyBorder="1"/>
    <xf numFmtId="38" fontId="129" fillId="32" borderId="3" xfId="1" applyNumberFormat="1" applyFont="1" applyFill="1" applyBorder="1"/>
    <xf numFmtId="172" fontId="129" fillId="25" borderId="2" xfId="1" applyNumberFormat="1" applyFont="1" applyFill="1" applyBorder="1" applyAlignment="1">
      <alignment horizontal="right"/>
    </xf>
    <xf numFmtId="172" fontId="129" fillId="0" borderId="8" xfId="1" applyNumberFormat="1" applyFont="1" applyBorder="1" applyAlignment="1">
      <alignment horizontal="right"/>
    </xf>
    <xf numFmtId="172" fontId="5" fillId="25" borderId="3" xfId="1" applyNumberFormat="1" applyFont="1" applyFill="1" applyBorder="1" applyAlignment="1">
      <alignment horizontal="right"/>
    </xf>
    <xf numFmtId="172" fontId="5" fillId="25" borderId="2" xfId="1" applyNumberFormat="1" applyFont="1" applyFill="1" applyBorder="1" applyAlignment="1">
      <alignment horizontal="right"/>
    </xf>
    <xf numFmtId="38" fontId="129" fillId="25" borderId="6" xfId="1" applyNumberFormat="1" applyFont="1" applyFill="1" applyBorder="1"/>
    <xf numFmtId="172" fontId="129" fillId="0" borderId="12" xfId="1" applyNumberFormat="1" applyFont="1" applyBorder="1"/>
    <xf numFmtId="0" fontId="129" fillId="25" borderId="6" xfId="1" applyFont="1" applyFill="1" applyBorder="1"/>
    <xf numFmtId="38" fontId="129" fillId="32" borderId="5" xfId="1" applyNumberFormat="1" applyFont="1" applyFill="1" applyBorder="1"/>
    <xf numFmtId="172" fontId="5" fillId="0" borderId="2" xfId="1" applyNumberFormat="1" applyFont="1" applyBorder="1" applyAlignment="1">
      <alignment horizontal="right"/>
    </xf>
    <xf numFmtId="172" fontId="129" fillId="25" borderId="3" xfId="1" applyNumberFormat="1" applyFont="1" applyFill="1" applyBorder="1" applyAlignment="1">
      <alignment horizontal="right"/>
    </xf>
    <xf numFmtId="38" fontId="129" fillId="32" borderId="2" xfId="1" applyNumberFormat="1" applyFont="1" applyFill="1" applyBorder="1"/>
    <xf numFmtId="172" fontId="5" fillId="25" borderId="1" xfId="1" applyNumberFormat="1" applyFont="1" applyFill="1" applyBorder="1" applyAlignment="1">
      <alignment horizontal="right"/>
    </xf>
    <xf numFmtId="172" fontId="5" fillId="25" borderId="6" xfId="1" applyNumberFormat="1" applyFont="1" applyFill="1" applyBorder="1" applyAlignment="1">
      <alignment horizontal="right"/>
    </xf>
    <xf numFmtId="38" fontId="121" fillId="32" borderId="6" xfId="1" applyNumberFormat="1" applyFont="1" applyFill="1" applyBorder="1"/>
    <xf numFmtId="172" fontId="5" fillId="25" borderId="4" xfId="1" applyNumberFormat="1" applyFont="1" applyFill="1" applyBorder="1" applyAlignment="1">
      <alignment horizontal="right"/>
    </xf>
    <xf numFmtId="172" fontId="120" fillId="25" borderId="3" xfId="1" applyNumberFormat="1" applyFont="1" applyFill="1" applyBorder="1" applyAlignment="1">
      <alignment horizontal="right"/>
    </xf>
    <xf numFmtId="172" fontId="142" fillId="25" borderId="3" xfId="1" applyNumberFormat="1" applyFont="1" applyFill="1" applyBorder="1" applyAlignment="1">
      <alignment horizontal="right"/>
    </xf>
    <xf numFmtId="172" fontId="121" fillId="25" borderId="2" xfId="1" applyNumberFormat="1" applyFont="1" applyFill="1" applyBorder="1" applyAlignment="1">
      <alignment horizontal="right"/>
    </xf>
    <xf numFmtId="172" fontId="121" fillId="25" borderId="3" xfId="1" applyNumberFormat="1" applyFont="1" applyFill="1" applyBorder="1" applyAlignment="1">
      <alignment horizontal="right"/>
    </xf>
    <xf numFmtId="172" fontId="137" fillId="23" borderId="0" xfId="1" applyNumberFormat="1" applyFont="1" applyFill="1"/>
    <xf numFmtId="172" fontId="137" fillId="23" borderId="0" xfId="0" applyNumberFormat="1" applyFont="1" applyFill="1"/>
    <xf numFmtId="172" fontId="137" fillId="23" borderId="8" xfId="1" applyNumberFormat="1" applyFont="1" applyFill="1" applyBorder="1" applyAlignment="1">
      <alignment horizontal="left"/>
    </xf>
    <xf numFmtId="172" fontId="137" fillId="23" borderId="12" xfId="1" applyNumberFormat="1" applyFont="1" applyFill="1" applyBorder="1"/>
    <xf numFmtId="172" fontId="137" fillId="23" borderId="8" xfId="1" applyNumberFormat="1" applyFont="1" applyFill="1" applyBorder="1"/>
    <xf numFmtId="180" fontId="137" fillId="23" borderId="0" xfId="716" applyNumberFormat="1" applyFont="1" applyFill="1" applyBorder="1" applyAlignment="1"/>
    <xf numFmtId="180" fontId="137" fillId="23" borderId="8" xfId="716" applyNumberFormat="1" applyFont="1" applyFill="1" applyBorder="1" applyAlignment="1"/>
    <xf numFmtId="172" fontId="137" fillId="23" borderId="0" xfId="1" applyNumberFormat="1" applyFont="1" applyFill="1" applyAlignment="1">
      <alignment horizontal="right"/>
    </xf>
    <xf numFmtId="172" fontId="137" fillId="23" borderId="12" xfId="1" applyNumberFormat="1" applyFont="1" applyFill="1" applyBorder="1" applyAlignment="1">
      <alignment horizontal="right"/>
    </xf>
    <xf numFmtId="180" fontId="137" fillId="23" borderId="0" xfId="3" applyNumberFormat="1" applyFont="1" applyFill="1" applyBorder="1" applyAlignment="1">
      <alignment horizontal="right"/>
    </xf>
    <xf numFmtId="180" fontId="137" fillId="23" borderId="0" xfId="716" applyNumberFormat="1" applyFont="1" applyFill="1" applyBorder="1" applyAlignment="1">
      <alignment horizontal="right"/>
    </xf>
    <xf numFmtId="180" fontId="137" fillId="24" borderId="0" xfId="3" applyNumberFormat="1" applyFont="1" applyFill="1" applyBorder="1" applyAlignment="1">
      <alignment horizontal="right"/>
    </xf>
    <xf numFmtId="180" fontId="137" fillId="23" borderId="9" xfId="1" applyNumberFormat="1" applyFont="1" applyFill="1" applyBorder="1"/>
    <xf numFmtId="180" fontId="137" fillId="23" borderId="0" xfId="1" applyNumberFormat="1" applyFont="1" applyFill="1"/>
    <xf numFmtId="180" fontId="137" fillId="23" borderId="8" xfId="1" applyNumberFormat="1" applyFont="1" applyFill="1" applyBorder="1"/>
    <xf numFmtId="180" fontId="137" fillId="0" borderId="0" xfId="1" applyNumberFormat="1" applyFont="1"/>
    <xf numFmtId="180" fontId="137" fillId="23" borderId="8" xfId="716" applyNumberFormat="1" applyFont="1" applyFill="1" applyBorder="1" applyAlignment="1">
      <alignment horizontal="right"/>
    </xf>
    <xf numFmtId="180" fontId="137" fillId="0" borderId="8" xfId="716" applyNumberFormat="1" applyFont="1" applyFill="1" applyBorder="1" applyAlignment="1">
      <alignment horizontal="right"/>
    </xf>
    <xf numFmtId="180" fontId="7" fillId="23" borderId="0" xfId="3" applyNumberFormat="1" applyFont="1" applyFill="1" applyBorder="1" applyAlignment="1">
      <alignment horizontal="right"/>
    </xf>
    <xf numFmtId="180" fontId="7" fillId="23" borderId="8" xfId="3" applyNumberFormat="1" applyFont="1" applyFill="1" applyBorder="1" applyAlignment="1">
      <alignment horizontal="right"/>
    </xf>
    <xf numFmtId="172" fontId="137" fillId="0" borderId="12" xfId="1" applyNumberFormat="1" applyFont="1" applyBorder="1"/>
    <xf numFmtId="0" fontId="137" fillId="23" borderId="0" xfId="1" applyFont="1" applyFill="1"/>
    <xf numFmtId="180" fontId="137" fillId="23" borderId="8" xfId="3" applyNumberFormat="1" applyFont="1" applyFill="1" applyBorder="1" applyAlignment="1">
      <alignment horizontal="right"/>
    </xf>
    <xf numFmtId="180" fontId="137" fillId="23" borderId="9" xfId="716" applyNumberFormat="1" applyFont="1" applyFill="1" applyBorder="1" applyAlignment="1"/>
    <xf numFmtId="180" fontId="7" fillId="0" borderId="8" xfId="3" applyNumberFormat="1" applyFont="1" applyFill="1" applyBorder="1" applyAlignment="1">
      <alignment horizontal="right"/>
    </xf>
    <xf numFmtId="180" fontId="137" fillId="23" borderId="11" xfId="716" applyNumberFormat="1" applyFont="1" applyFill="1" applyBorder="1" applyAlignment="1"/>
    <xf numFmtId="180" fontId="7" fillId="0" borderId="0" xfId="3" applyNumberFormat="1" applyFont="1" applyFill="1" applyBorder="1" applyAlignment="1">
      <alignment horizontal="right"/>
    </xf>
    <xf numFmtId="180" fontId="7" fillId="0" borderId="12" xfId="3" applyNumberFormat="1" applyFont="1" applyFill="1" applyBorder="1" applyAlignment="1">
      <alignment horizontal="right"/>
    </xf>
    <xf numFmtId="180" fontId="7" fillId="23" borderId="12" xfId="3" applyNumberFormat="1" applyFont="1" applyFill="1" applyBorder="1" applyAlignment="1">
      <alignment horizontal="right"/>
    </xf>
    <xf numFmtId="180" fontId="7" fillId="0" borderId="9" xfId="3" applyNumberFormat="1" applyFont="1" applyFill="1" applyBorder="1" applyAlignment="1">
      <alignment horizontal="right"/>
    </xf>
    <xf numFmtId="38" fontId="137" fillId="23" borderId="0" xfId="715" applyFont="1" applyFill="1" applyBorder="1" applyAlignment="1">
      <alignment horizontal="right"/>
    </xf>
    <xf numFmtId="172" fontId="137" fillId="24" borderId="0" xfId="1" applyNumberFormat="1" applyFont="1" applyFill="1" applyAlignment="1">
      <alignment horizontal="right"/>
    </xf>
    <xf numFmtId="172" fontId="137" fillId="23" borderId="9" xfId="1" applyNumberFormat="1" applyFont="1" applyFill="1" applyBorder="1"/>
    <xf numFmtId="172" fontId="137" fillId="0" borderId="0" xfId="1" applyNumberFormat="1" applyFont="1"/>
    <xf numFmtId="172" fontId="137" fillId="23" borderId="8" xfId="1" applyNumberFormat="1" applyFont="1" applyFill="1" applyBorder="1" applyAlignment="1">
      <alignment horizontal="right"/>
    </xf>
    <xf numFmtId="172" fontId="137" fillId="0" borderId="8" xfId="1" applyNumberFormat="1" applyFont="1" applyBorder="1" applyAlignment="1">
      <alignment horizontal="right"/>
    </xf>
    <xf numFmtId="172" fontId="7" fillId="23" borderId="0" xfId="1" applyNumberFormat="1" applyFont="1" applyFill="1" applyAlignment="1">
      <alignment horizontal="right"/>
    </xf>
    <xf numFmtId="172" fontId="7" fillId="23" borderId="8" xfId="1" applyNumberFormat="1" applyFont="1" applyFill="1" applyBorder="1" applyAlignment="1">
      <alignment horizontal="right"/>
    </xf>
    <xf numFmtId="171" fontId="137" fillId="23" borderId="0" xfId="1" applyNumberFormat="1" applyFont="1" applyFill="1"/>
    <xf numFmtId="9" fontId="137" fillId="23" borderId="0" xfId="716" applyFont="1" applyFill="1" applyBorder="1" applyAlignment="1"/>
    <xf numFmtId="172" fontId="7" fillId="0" borderId="8" xfId="1" applyNumberFormat="1" applyFont="1" applyBorder="1" applyAlignment="1">
      <alignment horizontal="right"/>
    </xf>
    <xf numFmtId="172" fontId="7" fillId="23" borderId="12" xfId="1" applyNumberFormat="1" applyFont="1" applyFill="1" applyBorder="1" applyAlignment="1">
      <alignment horizontal="right"/>
    </xf>
    <xf numFmtId="172" fontId="7" fillId="23" borderId="9" xfId="1" applyNumberFormat="1" applyFont="1" applyFill="1" applyBorder="1" applyAlignment="1">
      <alignment horizontal="right"/>
    </xf>
    <xf numFmtId="172" fontId="129" fillId="36" borderId="0" xfId="1" applyNumberFormat="1" applyFont="1" applyFill="1"/>
    <xf numFmtId="9" fontId="137" fillId="36" borderId="0" xfId="3" applyFont="1" applyFill="1" applyBorder="1"/>
    <xf numFmtId="172" fontId="129" fillId="36" borderId="8" xfId="1" applyNumberFormat="1" applyFont="1" applyFill="1" applyBorder="1"/>
    <xf numFmtId="172" fontId="129" fillId="36" borderId="12" xfId="1" applyNumberFormat="1" applyFont="1" applyFill="1" applyBorder="1"/>
    <xf numFmtId="172" fontId="129" fillId="36" borderId="0" xfId="1" applyNumberFormat="1" applyFont="1" applyFill="1" applyAlignment="1">
      <alignment horizontal="right"/>
    </xf>
    <xf numFmtId="172" fontId="129" fillId="36" borderId="12" xfId="1" applyNumberFormat="1" applyFont="1" applyFill="1" applyBorder="1" applyAlignment="1">
      <alignment horizontal="right"/>
    </xf>
    <xf numFmtId="38" fontId="129" fillId="36" borderId="0" xfId="715" applyFont="1" applyFill="1" applyBorder="1" applyAlignment="1">
      <alignment horizontal="right"/>
    </xf>
    <xf numFmtId="172" fontId="129" fillId="36" borderId="9" xfId="1" applyNumberFormat="1" applyFont="1" applyFill="1" applyBorder="1"/>
    <xf numFmtId="38" fontId="129" fillId="36" borderId="0" xfId="1" applyNumberFormat="1" applyFont="1" applyFill="1"/>
    <xf numFmtId="172" fontId="129" fillId="36" borderId="8" xfId="1" applyNumberFormat="1" applyFont="1" applyFill="1" applyBorder="1" applyAlignment="1">
      <alignment horizontal="right"/>
    </xf>
    <xf numFmtId="172" fontId="5" fillId="36" borderId="0" xfId="1" applyNumberFormat="1" applyFont="1" applyFill="1" applyAlignment="1">
      <alignment horizontal="right"/>
    </xf>
    <xf numFmtId="172" fontId="5" fillId="36" borderId="8" xfId="1" applyNumberFormat="1" applyFont="1" applyFill="1" applyBorder="1" applyAlignment="1">
      <alignment horizontal="right"/>
    </xf>
    <xf numFmtId="0" fontId="129" fillId="36" borderId="0" xfId="1" applyFont="1" applyFill="1"/>
    <xf numFmtId="172" fontId="5" fillId="0" borderId="8" xfId="1" applyNumberFormat="1" applyFont="1" applyBorder="1" applyAlignment="1">
      <alignment horizontal="right"/>
    </xf>
    <xf numFmtId="172" fontId="5" fillId="36" borderId="12" xfId="1" applyNumberFormat="1" applyFont="1" applyFill="1" applyBorder="1" applyAlignment="1">
      <alignment horizontal="right"/>
    </xf>
    <xf numFmtId="172" fontId="121" fillId="36" borderId="0" xfId="1" applyNumberFormat="1" applyFont="1" applyFill="1"/>
    <xf numFmtId="172" fontId="5" fillId="36" borderId="9" xfId="1" applyNumberFormat="1" applyFont="1" applyFill="1" applyBorder="1" applyAlignment="1">
      <alignment horizontal="right"/>
    </xf>
    <xf numFmtId="172" fontId="120" fillId="36" borderId="0" xfId="1" applyNumberFormat="1" applyFont="1" applyFill="1" applyAlignment="1">
      <alignment horizontal="right"/>
    </xf>
    <xf numFmtId="172" fontId="142" fillId="36" borderId="0" xfId="1" applyNumberFormat="1" applyFont="1" applyFill="1" applyAlignment="1">
      <alignment horizontal="right"/>
    </xf>
    <xf numFmtId="172" fontId="121" fillId="36" borderId="8" xfId="1" applyNumberFormat="1" applyFont="1" applyFill="1" applyBorder="1" applyAlignment="1">
      <alignment horizontal="right"/>
    </xf>
    <xf numFmtId="172" fontId="121" fillId="36" borderId="0" xfId="1" applyNumberFormat="1" applyFont="1" applyFill="1" applyAlignment="1">
      <alignment horizontal="right"/>
    </xf>
    <xf numFmtId="38" fontId="5" fillId="36" borderId="0" xfId="715" applyFont="1" applyFill="1" applyBorder="1" applyAlignment="1">
      <alignment horizontal="right"/>
    </xf>
    <xf numFmtId="38" fontId="129" fillId="36" borderId="0" xfId="715" applyFont="1" applyFill="1" applyBorder="1" applyAlignment="1"/>
    <xf numFmtId="226" fontId="129" fillId="36" borderId="0" xfId="1" applyNumberFormat="1" applyFont="1" applyFill="1"/>
    <xf numFmtId="226" fontId="129" fillId="36" borderId="8" xfId="1" applyNumberFormat="1" applyFont="1" applyFill="1" applyBorder="1"/>
    <xf numFmtId="226" fontId="121" fillId="36" borderId="0" xfId="1" applyNumberFormat="1" applyFont="1" applyFill="1"/>
    <xf numFmtId="174" fontId="137" fillId="23" borderId="0" xfId="1" applyNumberFormat="1" applyFont="1" applyFill="1"/>
    <xf numFmtId="174" fontId="137" fillId="23" borderId="0" xfId="0" applyNumberFormat="1" applyFont="1" applyFill="1"/>
    <xf numFmtId="174" fontId="137" fillId="23" borderId="8" xfId="1" applyNumberFormat="1" applyFont="1" applyFill="1" applyBorder="1"/>
    <xf numFmtId="174" fontId="137" fillId="23" borderId="12" xfId="1" applyNumberFormat="1" applyFont="1" applyFill="1" applyBorder="1"/>
    <xf numFmtId="174" fontId="137" fillId="23" borderId="0" xfId="1" applyNumberFormat="1" applyFont="1" applyFill="1" applyAlignment="1">
      <alignment horizontal="right"/>
    </xf>
    <xf numFmtId="174" fontId="137" fillId="23" borderId="12" xfId="1" applyNumberFormat="1" applyFont="1" applyFill="1" applyBorder="1" applyAlignment="1">
      <alignment horizontal="right"/>
    </xf>
    <xf numFmtId="174" fontId="137" fillId="0" borderId="0" xfId="1" applyNumberFormat="1" applyFont="1" applyAlignment="1">
      <alignment horizontal="right"/>
    </xf>
    <xf numFmtId="174" fontId="143" fillId="0" borderId="0" xfId="1" applyNumberFormat="1" applyFont="1" applyAlignment="1">
      <alignment horizontal="right"/>
    </xf>
    <xf numFmtId="174" fontId="137" fillId="24" borderId="0" xfId="1" applyNumberFormat="1" applyFont="1" applyFill="1" applyAlignment="1">
      <alignment horizontal="right"/>
    </xf>
    <xf numFmtId="9" fontId="137" fillId="24" borderId="0" xfId="716" applyFont="1" applyFill="1" applyBorder="1" applyAlignment="1">
      <alignment horizontal="right"/>
    </xf>
    <xf numFmtId="180" fontId="137" fillId="24" borderId="0" xfId="716" applyNumberFormat="1" applyFont="1" applyFill="1" applyBorder="1" applyAlignment="1">
      <alignment horizontal="right"/>
    </xf>
    <xf numFmtId="174" fontId="137" fillId="23" borderId="9" xfId="1" applyNumberFormat="1" applyFont="1" applyFill="1" applyBorder="1"/>
    <xf numFmtId="184" fontId="137" fillId="23" borderId="0" xfId="715" applyNumberFormat="1" applyFont="1" applyFill="1" applyBorder="1" applyAlignment="1"/>
    <xf numFmtId="174" fontId="137" fillId="0" borderId="0" xfId="1" applyNumberFormat="1" applyFont="1"/>
    <xf numFmtId="174" fontId="143" fillId="0" borderId="0" xfId="1" applyNumberFormat="1" applyFont="1"/>
    <xf numFmtId="38" fontId="137" fillId="0" borderId="0" xfId="715" applyFont="1" applyFill="1" applyBorder="1" applyAlignment="1"/>
    <xf numFmtId="174" fontId="137" fillId="0" borderId="8" xfId="1" applyNumberFormat="1" applyFont="1" applyBorder="1" applyAlignment="1">
      <alignment horizontal="right"/>
    </xf>
    <xf numFmtId="174" fontId="137" fillId="12" borderId="0" xfId="1" applyNumberFormat="1" applyFont="1" applyFill="1" applyAlignment="1">
      <alignment horizontal="right"/>
    </xf>
    <xf numFmtId="184" fontId="7" fillId="23" borderId="9" xfId="1" applyNumberFormat="1" applyFont="1" applyFill="1" applyBorder="1" applyAlignment="1">
      <alignment horizontal="right"/>
    </xf>
    <xf numFmtId="184" fontId="7" fillId="23" borderId="0" xfId="1" applyNumberFormat="1" applyFont="1" applyFill="1" applyAlignment="1">
      <alignment horizontal="right"/>
    </xf>
    <xf numFmtId="184" fontId="7" fillId="23" borderId="8" xfId="1" applyNumberFormat="1" applyFont="1" applyFill="1" applyBorder="1" applyAlignment="1">
      <alignment horizontal="right"/>
    </xf>
    <xf numFmtId="184" fontId="137" fillId="23" borderId="0" xfId="1" applyNumberFormat="1" applyFont="1" applyFill="1"/>
    <xf numFmtId="174" fontId="137" fillId="0" borderId="12" xfId="1" applyNumberFormat="1" applyFont="1" applyBorder="1"/>
    <xf numFmtId="174" fontId="137" fillId="12" borderId="8" xfId="1" applyNumberFormat="1" applyFont="1" applyFill="1" applyBorder="1" applyAlignment="1">
      <alignment horizontal="right"/>
    </xf>
    <xf numFmtId="184" fontId="7" fillId="0" borderId="8" xfId="1" applyNumberFormat="1" applyFont="1" applyBorder="1" applyAlignment="1">
      <alignment horizontal="right"/>
    </xf>
    <xf numFmtId="174" fontId="137" fillId="0" borderId="8" xfId="1" applyNumberFormat="1" applyFont="1" applyBorder="1"/>
    <xf numFmtId="216" fontId="7" fillId="23" borderId="0" xfId="1" applyNumberFormat="1" applyFont="1" applyFill="1" applyAlignment="1">
      <alignment horizontal="right"/>
    </xf>
    <xf numFmtId="184" fontId="7" fillId="23" borderId="12" xfId="1" applyNumberFormat="1" applyFont="1" applyFill="1" applyBorder="1" applyAlignment="1">
      <alignment horizontal="right"/>
    </xf>
    <xf numFmtId="184" fontId="7" fillId="0" borderId="0" xfId="1" applyNumberFormat="1" applyFont="1" applyAlignment="1">
      <alignment horizontal="right"/>
    </xf>
    <xf numFmtId="184" fontId="7" fillId="0" borderId="9" xfId="1" applyNumberFormat="1" applyFont="1" applyBorder="1" applyAlignment="1">
      <alignment horizontal="right"/>
    </xf>
    <xf numFmtId="184" fontId="125" fillId="0" borderId="0" xfId="1" applyNumberFormat="1" applyFont="1" applyAlignment="1">
      <alignment horizontal="right"/>
    </xf>
    <xf numFmtId="184" fontId="144" fillId="0" borderId="0" xfId="1" applyNumberFormat="1" applyFont="1" applyAlignment="1">
      <alignment horizontal="right"/>
    </xf>
    <xf numFmtId="184" fontId="126" fillId="23" borderId="0" xfId="1" applyNumberFormat="1" applyFont="1" applyFill="1" applyAlignment="1">
      <alignment horizontal="right"/>
    </xf>
    <xf numFmtId="184" fontId="126" fillId="42" borderId="0" xfId="1" applyNumberFormat="1" applyFont="1" applyFill="1" applyAlignment="1">
      <alignment horizontal="right"/>
    </xf>
    <xf numFmtId="184" fontId="126" fillId="33" borderId="0" xfId="1" applyNumberFormat="1" applyFont="1" applyFill="1" applyAlignment="1">
      <alignment horizontal="right"/>
    </xf>
    <xf numFmtId="184" fontId="7" fillId="33" borderId="0" xfId="1" applyNumberFormat="1" applyFont="1" applyFill="1" applyAlignment="1">
      <alignment horizontal="right"/>
    </xf>
    <xf numFmtId="184" fontId="7" fillId="33" borderId="8" xfId="1" applyNumberFormat="1" applyFont="1" applyFill="1" applyBorder="1" applyAlignment="1">
      <alignment horizontal="right"/>
    </xf>
    <xf numFmtId="174" fontId="126" fillId="23" borderId="0" xfId="1" applyNumberFormat="1" applyFont="1" applyFill="1"/>
    <xf numFmtId="172" fontId="137" fillId="0" borderId="0" xfId="1" applyNumberFormat="1" applyFont="1" applyAlignment="1">
      <alignment horizontal="right"/>
    </xf>
    <xf numFmtId="172" fontId="137" fillId="12" borderId="0" xfId="1" applyNumberFormat="1" applyFont="1" applyFill="1" applyAlignment="1">
      <alignment horizontal="right"/>
    </xf>
    <xf numFmtId="184" fontId="137" fillId="23" borderId="9" xfId="1" applyNumberFormat="1" applyFont="1" applyFill="1" applyBorder="1"/>
    <xf numFmtId="174" fontId="143" fillId="23" borderId="8" xfId="1" applyNumberFormat="1" applyFont="1" applyFill="1" applyBorder="1" applyAlignment="1">
      <alignment horizontal="right"/>
    </xf>
    <xf numFmtId="174" fontId="143" fillId="0" borderId="8" xfId="1" applyNumberFormat="1" applyFont="1" applyBorder="1" applyAlignment="1">
      <alignment horizontal="right"/>
    </xf>
    <xf numFmtId="174" fontId="143" fillId="23" borderId="0" xfId="1" applyNumberFormat="1" applyFont="1" applyFill="1" applyAlignment="1">
      <alignment horizontal="right"/>
    </xf>
    <xf numFmtId="172" fontId="129" fillId="23" borderId="0" xfId="1" applyNumberFormat="1" applyFont="1" applyFill="1" applyAlignment="1">
      <alignment horizontal="right"/>
    </xf>
    <xf numFmtId="174" fontId="137" fillId="0" borderId="9" xfId="1" applyNumberFormat="1" applyFont="1" applyBorder="1"/>
    <xf numFmtId="172" fontId="129" fillId="23" borderId="0" xfId="1" applyNumberFormat="1" applyFont="1" applyFill="1"/>
    <xf numFmtId="169" fontId="129" fillId="23" borderId="0" xfId="1" applyNumberFormat="1" applyFont="1" applyFill="1"/>
    <xf numFmtId="172" fontId="129" fillId="23" borderId="8" xfId="1" applyNumberFormat="1" applyFont="1" applyFill="1" applyBorder="1"/>
    <xf numFmtId="169" fontId="129" fillId="0" borderId="0" xfId="1" applyNumberFormat="1" applyFont="1"/>
    <xf numFmtId="172" fontId="129" fillId="0" borderId="8" xfId="1" applyNumberFormat="1" applyFont="1" applyBorder="1"/>
    <xf numFmtId="172" fontId="129" fillId="30" borderId="0" xfId="1" applyNumberFormat="1" applyFont="1" applyFill="1"/>
    <xf numFmtId="38" fontId="7" fillId="23" borderId="0" xfId="1" applyNumberFormat="1" applyFont="1" applyFill="1" applyAlignment="1">
      <alignment horizontal="right"/>
    </xf>
    <xf numFmtId="184" fontId="125" fillId="23" borderId="0" xfId="1" applyNumberFormat="1" applyFont="1" applyFill="1" applyAlignment="1">
      <alignment horizontal="right"/>
    </xf>
    <xf numFmtId="184" fontId="144" fillId="23" borderId="0" xfId="1" applyNumberFormat="1" applyFont="1" applyFill="1" applyAlignment="1">
      <alignment horizontal="right"/>
    </xf>
    <xf numFmtId="184" fontId="126" fillId="23" borderId="8" xfId="1" applyNumberFormat="1" applyFont="1" applyFill="1" applyBorder="1" applyAlignment="1">
      <alignment horizontal="right"/>
    </xf>
    <xf numFmtId="38" fontId="7" fillId="23" borderId="0" xfId="715" applyFont="1" applyFill="1" applyBorder="1" applyAlignment="1"/>
    <xf numFmtId="172" fontId="126" fillId="0" borderId="0" xfId="1" applyNumberFormat="1" applyFont="1" applyAlignment="1">
      <alignment horizontal="right"/>
    </xf>
    <xf numFmtId="38" fontId="126" fillId="12" borderId="0" xfId="715" applyFont="1" applyFill="1" applyBorder="1" applyAlignment="1">
      <alignment horizontal="right"/>
    </xf>
    <xf numFmtId="38" fontId="126" fillId="23" borderId="0" xfId="715" applyFont="1" applyFill="1" applyBorder="1" applyAlignment="1">
      <alignment horizontal="right"/>
    </xf>
    <xf numFmtId="38" fontId="7" fillId="12" borderId="0" xfId="715" applyFont="1" applyFill="1" applyBorder="1" applyAlignment="1">
      <alignment horizontal="right"/>
    </xf>
    <xf numFmtId="38" fontId="7" fillId="23" borderId="8" xfId="715" applyFont="1" applyFill="1" applyBorder="1" applyAlignment="1">
      <alignment horizontal="right"/>
    </xf>
    <xf numFmtId="38" fontId="7" fillId="23" borderId="0" xfId="715" applyFont="1" applyFill="1" applyBorder="1" applyAlignment="1">
      <alignment horizontal="right"/>
    </xf>
    <xf numFmtId="180" fontId="137" fillId="0" borderId="0" xfId="3" applyNumberFormat="1" applyFont="1" applyFill="1" applyBorder="1" applyAlignment="1">
      <alignment horizontal="right"/>
    </xf>
    <xf numFmtId="180" fontId="137" fillId="21" borderId="0" xfId="3" applyNumberFormat="1" applyFont="1" applyFill="1" applyBorder="1" applyAlignment="1">
      <alignment horizontal="right"/>
    </xf>
    <xf numFmtId="180" fontId="137" fillId="23" borderId="0" xfId="3" applyNumberFormat="1" applyFont="1" applyFill="1" applyBorder="1"/>
    <xf numFmtId="180" fontId="137" fillId="0" borderId="0" xfId="716" applyNumberFormat="1" applyFont="1" applyFill="1" applyBorder="1" applyAlignment="1">
      <alignment horizontal="right"/>
    </xf>
    <xf numFmtId="9" fontId="137" fillId="23" borderId="0" xfId="716" applyFont="1" applyFill="1" applyBorder="1" applyAlignment="1">
      <alignment horizontal="right"/>
    </xf>
    <xf numFmtId="38" fontId="137" fillId="24" borderId="0" xfId="715" applyFont="1" applyFill="1" applyBorder="1" applyAlignment="1">
      <alignment horizontal="right"/>
    </xf>
    <xf numFmtId="180" fontId="137" fillId="23" borderId="0" xfId="1" applyNumberFormat="1" applyFont="1" applyFill="1" applyAlignment="1">
      <alignment horizontal="right"/>
    </xf>
    <xf numFmtId="180" fontId="143" fillId="23" borderId="9" xfId="716" applyNumberFormat="1" applyFont="1" applyFill="1" applyBorder="1" applyAlignment="1"/>
    <xf numFmtId="180" fontId="143" fillId="23" borderId="0" xfId="716" applyNumberFormat="1" applyFont="1" applyFill="1" applyBorder="1" applyAlignment="1"/>
    <xf numFmtId="180" fontId="137" fillId="0" borderId="0" xfId="716" applyNumberFormat="1" applyFont="1" applyFill="1" applyBorder="1" applyAlignment="1"/>
    <xf numFmtId="180" fontId="137" fillId="0" borderId="11" xfId="716" applyNumberFormat="1" applyFont="1" applyFill="1" applyBorder="1" applyAlignment="1"/>
    <xf numFmtId="180" fontId="137" fillId="0" borderId="8" xfId="716" applyNumberFormat="1" applyFont="1" applyFill="1" applyBorder="1" applyAlignment="1"/>
    <xf numFmtId="180" fontId="137" fillId="30" borderId="0" xfId="716" applyNumberFormat="1" applyFont="1" applyFill="1" applyBorder="1" applyAlignment="1"/>
    <xf numFmtId="180" fontId="7" fillId="23" borderId="0" xfId="716" applyNumberFormat="1" applyFont="1" applyFill="1" applyBorder="1" applyAlignment="1">
      <alignment horizontal="right"/>
    </xf>
    <xf numFmtId="180" fontId="7" fillId="30" borderId="0" xfId="3" applyNumberFormat="1" applyFont="1" applyFill="1" applyBorder="1" applyAlignment="1">
      <alignment horizontal="right"/>
    </xf>
    <xf numFmtId="180" fontId="7" fillId="12" borderId="0" xfId="3" applyNumberFormat="1" applyFont="1" applyFill="1" applyBorder="1" applyAlignment="1">
      <alignment horizontal="right"/>
    </xf>
    <xf numFmtId="38" fontId="137" fillId="0" borderId="0" xfId="715" applyFont="1" applyFill="1" applyBorder="1" applyAlignment="1">
      <alignment horizontal="right"/>
    </xf>
    <xf numFmtId="180" fontId="137" fillId="0" borderId="8" xfId="3" applyNumberFormat="1" applyFont="1" applyFill="1" applyBorder="1" applyAlignment="1">
      <alignment horizontal="right"/>
    </xf>
    <xf numFmtId="174" fontId="137" fillId="21" borderId="0" xfId="1" applyNumberFormat="1" applyFont="1" applyFill="1"/>
    <xf numFmtId="174" fontId="137" fillId="21" borderId="0" xfId="0" applyNumberFormat="1" applyFont="1" applyFill="1"/>
    <xf numFmtId="174" fontId="137" fillId="21" borderId="8" xfId="1" applyNumberFormat="1" applyFont="1" applyFill="1" applyBorder="1"/>
    <xf numFmtId="174" fontId="137" fillId="21" borderId="12" xfId="1" applyNumberFormat="1" applyFont="1" applyFill="1" applyBorder="1"/>
    <xf numFmtId="174" fontId="137" fillId="21" borderId="0" xfId="1" applyNumberFormat="1" applyFont="1" applyFill="1" applyAlignment="1">
      <alignment horizontal="right"/>
    </xf>
    <xf numFmtId="174" fontId="137" fillId="21" borderId="12" xfId="1" applyNumberFormat="1" applyFont="1" applyFill="1" applyBorder="1" applyAlignment="1">
      <alignment horizontal="right"/>
    </xf>
    <xf numFmtId="174" fontId="143" fillId="21" borderId="0" xfId="1" quotePrefix="1" applyNumberFormat="1" applyFont="1" applyFill="1" applyAlignment="1">
      <alignment horizontal="right"/>
    </xf>
    <xf numFmtId="180" fontId="137" fillId="21" borderId="0" xfId="716" applyNumberFormat="1" applyFont="1" applyFill="1" applyBorder="1" applyAlignment="1">
      <alignment horizontal="right"/>
    </xf>
    <xf numFmtId="38" fontId="137" fillId="21" borderId="0" xfId="715" applyFont="1" applyFill="1" applyBorder="1" applyAlignment="1">
      <alignment horizontal="right"/>
    </xf>
    <xf numFmtId="180" fontId="137" fillId="21" borderId="0" xfId="3" applyNumberFormat="1" applyFont="1" applyFill="1" applyBorder="1"/>
    <xf numFmtId="9" fontId="137" fillId="21" borderId="0" xfId="716" applyFont="1" applyFill="1" applyBorder="1" applyAlignment="1">
      <alignment horizontal="right"/>
    </xf>
    <xf numFmtId="174" fontId="137" fillId="21" borderId="9" xfId="1" applyNumberFormat="1" applyFont="1" applyFill="1" applyBorder="1"/>
    <xf numFmtId="180" fontId="137" fillId="21" borderId="0" xfId="1" applyNumberFormat="1" applyFont="1" applyFill="1"/>
    <xf numFmtId="180" fontId="137" fillId="21" borderId="8" xfId="3" applyNumberFormat="1" applyFont="1" applyFill="1" applyBorder="1" applyAlignment="1">
      <alignment horizontal="right"/>
    </xf>
    <xf numFmtId="180" fontId="7" fillId="21" borderId="0" xfId="3" applyNumberFormat="1" applyFont="1" applyFill="1" applyBorder="1" applyAlignment="1">
      <alignment horizontal="right"/>
    </xf>
    <xf numFmtId="180" fontId="7" fillId="21" borderId="8" xfId="3" applyNumberFormat="1" applyFont="1" applyFill="1" applyBorder="1" applyAlignment="1">
      <alignment horizontal="right"/>
    </xf>
    <xf numFmtId="180" fontId="7" fillId="21" borderId="12" xfId="3" applyNumberFormat="1" applyFont="1" applyFill="1" applyBorder="1" applyAlignment="1">
      <alignment horizontal="right"/>
    </xf>
    <xf numFmtId="9" fontId="137" fillId="0" borderId="0" xfId="3" applyFont="1" applyFill="1" applyBorder="1"/>
    <xf numFmtId="9" fontId="137" fillId="0" borderId="8" xfId="3" applyFont="1" applyFill="1" applyBorder="1"/>
    <xf numFmtId="9" fontId="137" fillId="0" borderId="12" xfId="3" applyFont="1" applyFill="1" applyBorder="1"/>
    <xf numFmtId="9" fontId="137" fillId="0" borderId="0" xfId="3" applyFont="1" applyFill="1" applyBorder="1" applyAlignment="1">
      <alignment horizontal="right"/>
    </xf>
    <xf numFmtId="9" fontId="137" fillId="0" borderId="12" xfId="3" applyFont="1" applyFill="1" applyBorder="1" applyAlignment="1">
      <alignment horizontal="right"/>
    </xf>
    <xf numFmtId="10" fontId="137" fillId="0" borderId="0" xfId="3" applyNumberFormat="1" applyFont="1" applyFill="1" applyBorder="1" applyAlignment="1">
      <alignment horizontal="right"/>
    </xf>
    <xf numFmtId="9" fontId="137" fillId="0" borderId="9" xfId="3" applyFont="1" applyFill="1" applyBorder="1"/>
    <xf numFmtId="10" fontId="137" fillId="0" borderId="0" xfId="3" applyNumberFormat="1" applyFont="1" applyFill="1" applyBorder="1"/>
    <xf numFmtId="9" fontId="137" fillId="0" borderId="8" xfId="3" applyFont="1" applyFill="1" applyBorder="1" applyAlignment="1">
      <alignment horizontal="right"/>
    </xf>
    <xf numFmtId="180" fontId="126" fillId="0" borderId="0" xfId="3" applyNumberFormat="1" applyFont="1" applyFill="1" applyBorder="1"/>
    <xf numFmtId="180" fontId="125" fillId="0" borderId="0" xfId="3" applyNumberFormat="1" applyFont="1" applyFill="1" applyBorder="1" applyAlignment="1">
      <alignment horizontal="right"/>
    </xf>
    <xf numFmtId="180" fontId="144" fillId="0" borderId="0" xfId="3" applyNumberFormat="1" applyFont="1" applyFill="1" applyBorder="1" applyAlignment="1">
      <alignment horizontal="right"/>
    </xf>
    <xf numFmtId="10" fontId="7" fillId="0" borderId="0" xfId="3" applyNumberFormat="1" applyFont="1" applyFill="1" applyBorder="1" applyAlignment="1">
      <alignment horizontal="right"/>
    </xf>
    <xf numFmtId="180" fontId="126" fillId="0" borderId="0" xfId="3" quotePrefix="1" applyNumberFormat="1" applyFont="1" applyFill="1" applyBorder="1" applyAlignment="1">
      <alignment horizontal="right"/>
    </xf>
    <xf numFmtId="180" fontId="145" fillId="12" borderId="0" xfId="3" applyNumberFormat="1" applyFont="1" applyFill="1" applyBorder="1" applyAlignment="1">
      <alignment horizontal="right"/>
    </xf>
    <xf numFmtId="180" fontId="126" fillId="0" borderId="0" xfId="3" applyNumberFormat="1" applyFont="1" applyFill="1" applyBorder="1" applyAlignment="1">
      <alignment horizontal="right"/>
    </xf>
    <xf numFmtId="180" fontId="7" fillId="12" borderId="8" xfId="3" applyNumberFormat="1" applyFont="1" applyFill="1" applyBorder="1" applyAlignment="1">
      <alignment horizontal="right"/>
    </xf>
    <xf numFmtId="180" fontId="137" fillId="12" borderId="0" xfId="716" applyNumberFormat="1" applyFont="1" applyFill="1" applyBorder="1" applyAlignment="1"/>
    <xf numFmtId="180" fontId="123" fillId="0" borderId="0" xfId="3" applyNumberFormat="1" applyFont="1" applyFill="1" applyBorder="1" applyAlignment="1">
      <alignment horizontal="right"/>
    </xf>
    <xf numFmtId="9" fontId="137" fillId="12" borderId="0" xfId="3" applyFont="1" applyFill="1" applyBorder="1"/>
    <xf numFmtId="180" fontId="137" fillId="12" borderId="0" xfId="3" applyNumberFormat="1" applyFont="1" applyFill="1" applyBorder="1"/>
    <xf numFmtId="180" fontId="137" fillId="30" borderId="0" xfId="3" applyNumberFormat="1" applyFont="1" applyFill="1" applyBorder="1"/>
    <xf numFmtId="180" fontId="143" fillId="0" borderId="0" xfId="716" applyNumberFormat="1" applyFont="1" applyFill="1" applyBorder="1" applyAlignment="1"/>
    <xf numFmtId="9" fontId="137" fillId="0" borderId="0" xfId="716" applyFont="1" applyFill="1" applyBorder="1" applyAlignment="1"/>
    <xf numFmtId="180" fontId="137" fillId="0" borderId="9" xfId="3" applyNumberFormat="1" applyFont="1" applyFill="1" applyBorder="1"/>
    <xf numFmtId="167" fontId="137" fillId="0" borderId="0" xfId="136" applyFont="1" applyFill="1" applyBorder="1"/>
    <xf numFmtId="167" fontId="137" fillId="0" borderId="12" xfId="136" applyFont="1" applyFill="1" applyBorder="1"/>
    <xf numFmtId="9" fontId="7" fillId="12" borderId="0" xfId="3" applyFont="1" applyFill="1" applyBorder="1"/>
    <xf numFmtId="9" fontId="7" fillId="0" borderId="8" xfId="3" applyFont="1" applyFill="1" applyBorder="1"/>
    <xf numFmtId="9" fontId="126" fillId="0" borderId="0" xfId="3" applyFont="1" applyFill="1" applyBorder="1"/>
    <xf numFmtId="9" fontId="7" fillId="42" borderId="0" xfId="3" applyFont="1" applyFill="1" applyBorder="1"/>
    <xf numFmtId="180" fontId="7" fillId="42" borderId="0" xfId="3" applyNumberFormat="1" applyFont="1" applyFill="1" applyBorder="1" applyAlignment="1">
      <alignment horizontal="right"/>
    </xf>
    <xf numFmtId="180" fontId="7" fillId="12" borderId="0" xfId="716" applyNumberFormat="1" applyFont="1" applyFill="1" applyBorder="1" applyAlignment="1"/>
    <xf numFmtId="180" fontId="137" fillId="12" borderId="8" xfId="716" applyNumberFormat="1" applyFont="1" applyFill="1" applyBorder="1" applyAlignment="1"/>
    <xf numFmtId="9" fontId="137" fillId="23" borderId="0" xfId="3" applyFont="1" applyFill="1" applyBorder="1"/>
    <xf numFmtId="9" fontId="137" fillId="23" borderId="8" xfId="3" applyFont="1" applyFill="1" applyBorder="1"/>
    <xf numFmtId="9" fontId="137" fillId="23" borderId="12" xfId="3" applyFont="1" applyFill="1" applyBorder="1"/>
    <xf numFmtId="9" fontId="137" fillId="23" borderId="0" xfId="3" applyFont="1" applyFill="1" applyBorder="1" applyAlignment="1">
      <alignment horizontal="right"/>
    </xf>
    <xf numFmtId="9" fontId="137" fillId="23" borderId="12" xfId="3" applyFont="1" applyFill="1" applyBorder="1" applyAlignment="1">
      <alignment horizontal="right"/>
    </xf>
    <xf numFmtId="38" fontId="137" fillId="12" borderId="0" xfId="715" applyFont="1" applyFill="1" applyBorder="1" applyAlignment="1">
      <alignment horizontal="right"/>
    </xf>
    <xf numFmtId="9" fontId="137" fillId="24" borderId="0" xfId="3" applyFont="1" applyFill="1" applyBorder="1" applyAlignment="1">
      <alignment horizontal="right"/>
    </xf>
    <xf numFmtId="9" fontId="137" fillId="12" borderId="0" xfId="3" applyFont="1" applyFill="1" applyBorder="1" applyAlignment="1">
      <alignment horizontal="right"/>
    </xf>
    <xf numFmtId="9" fontId="7" fillId="0" borderId="0" xfId="3" applyFont="1" applyFill="1" applyBorder="1" applyAlignment="1">
      <alignment horizontal="right"/>
    </xf>
    <xf numFmtId="9" fontId="7" fillId="0" borderId="8" xfId="3" applyFont="1" applyFill="1" applyBorder="1" applyAlignment="1">
      <alignment horizontal="right"/>
    </xf>
    <xf numFmtId="9" fontId="137" fillId="23" borderId="9" xfId="3" applyFont="1" applyFill="1" applyBorder="1"/>
    <xf numFmtId="172" fontId="137" fillId="23" borderId="0" xfId="3" applyNumberFormat="1" applyFont="1" applyFill="1" applyBorder="1"/>
    <xf numFmtId="172" fontId="137" fillId="0" borderId="0" xfId="3" applyNumberFormat="1" applyFont="1" applyFill="1" applyBorder="1"/>
    <xf numFmtId="172" fontId="137" fillId="12" borderId="0" xfId="3" applyNumberFormat="1" applyFont="1" applyFill="1" applyBorder="1"/>
    <xf numFmtId="172" fontId="137" fillId="23" borderId="8" xfId="3" applyNumberFormat="1" applyFont="1" applyFill="1" applyBorder="1"/>
    <xf numFmtId="9" fontId="7" fillId="0" borderId="12" xfId="3" applyFont="1" applyFill="1" applyBorder="1" applyAlignment="1">
      <alignment horizontal="right"/>
    </xf>
    <xf numFmtId="172" fontId="137" fillId="0" borderId="8" xfId="3" applyNumberFormat="1" applyFont="1" applyFill="1" applyBorder="1"/>
    <xf numFmtId="9" fontId="7" fillId="0" borderId="9" xfId="3" applyFont="1" applyFill="1" applyBorder="1" applyAlignment="1">
      <alignment horizontal="right"/>
    </xf>
    <xf numFmtId="172" fontId="146" fillId="36" borderId="0" xfId="1" applyNumberFormat="1" applyFont="1" applyFill="1"/>
    <xf numFmtId="172" fontId="137" fillId="0" borderId="0" xfId="0" applyNumberFormat="1" applyFont="1"/>
    <xf numFmtId="172" fontId="137" fillId="0" borderId="8" xfId="1" applyNumberFormat="1" applyFont="1" applyBorder="1" applyAlignment="1">
      <alignment horizontal="left"/>
    </xf>
    <xf numFmtId="172" fontId="137" fillId="0" borderId="8" xfId="1" applyNumberFormat="1" applyFont="1" applyBorder="1"/>
    <xf numFmtId="172" fontId="137" fillId="0" borderId="12" xfId="1" applyNumberFormat="1" applyFont="1" applyBorder="1" applyAlignment="1">
      <alignment horizontal="right"/>
    </xf>
    <xf numFmtId="180" fontId="137" fillId="0" borderId="9" xfId="716" applyNumberFormat="1" applyFont="1" applyFill="1" applyBorder="1" applyAlignment="1"/>
    <xf numFmtId="9" fontId="137" fillId="0" borderId="0" xfId="1" applyNumberFormat="1" applyFont="1"/>
    <xf numFmtId="180" fontId="137" fillId="0" borderId="8" xfId="1" applyNumberFormat="1" applyFont="1" applyBorder="1"/>
    <xf numFmtId="180" fontId="143" fillId="0" borderId="0" xfId="1" applyNumberFormat="1" applyFont="1"/>
    <xf numFmtId="0" fontId="137" fillId="0" borderId="0" xfId="1" applyFont="1"/>
    <xf numFmtId="180" fontId="7" fillId="0" borderId="0" xfId="3" quotePrefix="1" applyNumberFormat="1" applyFont="1" applyFill="1" applyBorder="1" applyAlignment="1">
      <alignment horizontal="right"/>
    </xf>
    <xf numFmtId="180" fontId="143" fillId="0" borderId="22" xfId="716" applyNumberFormat="1" applyFont="1" applyFill="1" applyBorder="1" applyAlignment="1"/>
    <xf numFmtId="180" fontId="143" fillId="0" borderId="22" xfId="1" applyNumberFormat="1" applyFont="1" applyBorder="1"/>
    <xf numFmtId="172" fontId="143" fillId="0" borderId="0" xfId="1" applyNumberFormat="1" applyFont="1" applyAlignment="1">
      <alignment horizontal="right"/>
    </xf>
    <xf numFmtId="38" fontId="137" fillId="0" borderId="0" xfId="1" applyNumberFormat="1" applyFont="1"/>
    <xf numFmtId="172" fontId="143" fillId="0" borderId="9" xfId="1" applyNumberFormat="1" applyFont="1" applyBorder="1"/>
    <xf numFmtId="172" fontId="143" fillId="0" borderId="0" xfId="1" applyNumberFormat="1" applyFont="1"/>
    <xf numFmtId="172" fontId="7" fillId="0" borderId="0" xfId="1" applyNumberFormat="1" applyFont="1" applyAlignment="1">
      <alignment horizontal="right"/>
    </xf>
    <xf numFmtId="172" fontId="137" fillId="0" borderId="9" xfId="1" applyNumberFormat="1" applyFont="1" applyBorder="1"/>
    <xf numFmtId="172" fontId="7" fillId="0" borderId="12" xfId="1" applyNumberFormat="1" applyFont="1" applyBorder="1" applyAlignment="1">
      <alignment horizontal="right"/>
    </xf>
    <xf numFmtId="226" fontId="137" fillId="0" borderId="0" xfId="1" applyNumberFormat="1" applyFont="1"/>
    <xf numFmtId="172" fontId="137" fillId="42" borderId="0" xfId="1" applyNumberFormat="1" applyFont="1" applyFill="1"/>
    <xf numFmtId="172" fontId="7" fillId="0" borderId="9" xfId="1" quotePrefix="1" applyNumberFormat="1" applyFont="1" applyBorder="1" applyAlignment="1">
      <alignment horizontal="right"/>
    </xf>
    <xf numFmtId="172" fontId="7" fillId="0" borderId="0" xfId="1" quotePrefix="1" applyNumberFormat="1" applyFont="1" applyAlignment="1">
      <alignment horizontal="right"/>
    </xf>
    <xf numFmtId="172" fontId="125" fillId="0" borderId="0" xfId="1" quotePrefix="1" applyNumberFormat="1" applyFont="1" applyAlignment="1">
      <alignment horizontal="right"/>
    </xf>
    <xf numFmtId="172" fontId="7" fillId="12" borderId="0" xfId="1" quotePrefix="1" applyNumberFormat="1" applyFont="1" applyFill="1" applyAlignment="1">
      <alignment horizontal="right"/>
    </xf>
    <xf numFmtId="172" fontId="126" fillId="42" borderId="8" xfId="1" quotePrefix="1" applyNumberFormat="1" applyFont="1" applyFill="1" applyBorder="1" applyAlignment="1">
      <alignment horizontal="right"/>
    </xf>
    <xf numFmtId="172" fontId="126" fillId="42" borderId="0" xfId="1" applyNumberFormat="1" applyFont="1" applyFill="1" applyAlignment="1">
      <alignment horizontal="right"/>
    </xf>
    <xf numFmtId="172" fontId="7" fillId="42" borderId="8" xfId="1" applyNumberFormat="1" applyFont="1" applyFill="1" applyBorder="1" applyAlignment="1">
      <alignment horizontal="right"/>
    </xf>
    <xf numFmtId="180" fontId="143" fillId="0" borderId="0" xfId="716" applyNumberFormat="1" applyFont="1" applyFill="1" applyBorder="1" applyAlignment="1">
      <alignment horizontal="right"/>
    </xf>
    <xf numFmtId="9" fontId="143" fillId="0" borderId="0" xfId="716" applyFont="1" applyFill="1" applyBorder="1" applyAlignment="1">
      <alignment horizontal="right"/>
    </xf>
    <xf numFmtId="180" fontId="143" fillId="0" borderId="9" xfId="716" applyNumberFormat="1" applyFont="1" applyFill="1" applyBorder="1" applyAlignment="1"/>
    <xf numFmtId="38" fontId="143" fillId="0" borderId="9" xfId="715" applyFont="1" applyFill="1" applyBorder="1" applyAlignment="1"/>
    <xf numFmtId="38" fontId="143" fillId="0" borderId="0" xfId="715" applyFont="1" applyFill="1" applyBorder="1" applyAlignment="1"/>
    <xf numFmtId="171" fontId="137" fillId="0" borderId="8" xfId="715" applyNumberFormat="1" applyFont="1" applyFill="1" applyBorder="1" applyAlignment="1">
      <alignment horizontal="right"/>
    </xf>
    <xf numFmtId="38" fontId="137" fillId="0" borderId="8" xfId="715" applyFont="1" applyFill="1" applyBorder="1" applyAlignment="1">
      <alignment horizontal="right"/>
    </xf>
    <xf numFmtId="38" fontId="7" fillId="0" borderId="8" xfId="715" applyFont="1" applyFill="1" applyBorder="1" applyAlignment="1">
      <alignment horizontal="right"/>
    </xf>
    <xf numFmtId="38" fontId="7" fillId="0" borderId="0" xfId="715" applyFont="1" applyFill="1" applyBorder="1" applyAlignment="1">
      <alignment horizontal="right"/>
    </xf>
    <xf numFmtId="172" fontId="137" fillId="12" borderId="0" xfId="1" applyNumberFormat="1" applyFont="1" applyFill="1"/>
    <xf numFmtId="171" fontId="137" fillId="0" borderId="0" xfId="715" applyNumberFormat="1" applyFont="1" applyFill="1" applyBorder="1" applyAlignment="1">
      <alignment horizontal="right"/>
    </xf>
    <xf numFmtId="172" fontId="137" fillId="0" borderId="0" xfId="1" quotePrefix="1" applyNumberFormat="1" applyFont="1"/>
    <xf numFmtId="172" fontId="137" fillId="0" borderId="8" xfId="1" quotePrefix="1" applyNumberFormat="1" applyFont="1" applyBorder="1"/>
    <xf numFmtId="38" fontId="7" fillId="0" borderId="12" xfId="715" applyFont="1" applyFill="1" applyBorder="1" applyAlignment="1">
      <alignment horizontal="right"/>
    </xf>
    <xf numFmtId="38" fontId="7" fillId="12" borderId="0" xfId="715" quotePrefix="1" applyFont="1" applyFill="1" applyBorder="1" applyAlignment="1">
      <alignment horizontal="right"/>
    </xf>
    <xf numFmtId="38" fontId="7" fillId="0" borderId="9" xfId="715" applyFont="1" applyFill="1" applyBorder="1" applyAlignment="1">
      <alignment horizontal="right"/>
    </xf>
    <xf numFmtId="38" fontId="123" fillId="0" borderId="8" xfId="715" applyFont="1" applyFill="1" applyBorder="1" applyAlignment="1">
      <alignment horizontal="right"/>
    </xf>
    <xf numFmtId="40" fontId="7" fillId="0" borderId="8" xfId="715" applyNumberFormat="1" applyFont="1" applyFill="1" applyBorder="1" applyAlignment="1">
      <alignment horizontal="right"/>
    </xf>
    <xf numFmtId="38" fontId="137" fillId="12" borderId="0" xfId="715" applyFont="1" applyFill="1" applyBorder="1" applyAlignment="1"/>
    <xf numFmtId="38" fontId="7" fillId="12" borderId="9" xfId="715" applyFont="1" applyFill="1" applyBorder="1" applyAlignment="1">
      <alignment horizontal="right"/>
    </xf>
    <xf numFmtId="172" fontId="126" fillId="0" borderId="8" xfId="1" quotePrefix="1" applyNumberFormat="1" applyFont="1" applyBorder="1" applyAlignment="1">
      <alignment horizontal="right"/>
    </xf>
    <xf numFmtId="172" fontId="126" fillId="0" borderId="8" xfId="1" applyNumberFormat="1" applyFont="1" applyBorder="1" applyAlignment="1">
      <alignment horizontal="right"/>
    </xf>
    <xf numFmtId="9" fontId="137" fillId="0" borderId="0" xfId="716" applyFont="1" applyFill="1" applyBorder="1" applyAlignment="1">
      <alignment horizontal="right"/>
    </xf>
    <xf numFmtId="9" fontId="143" fillId="0" borderId="0" xfId="1" applyNumberFormat="1" applyFont="1"/>
    <xf numFmtId="172" fontId="137" fillId="0" borderId="0" xfId="1" applyNumberFormat="1" applyFont="1" applyAlignment="1">
      <alignment horizontal="left"/>
    </xf>
    <xf numFmtId="38" fontId="137" fillId="0" borderId="8" xfId="715" applyFont="1" applyFill="1" applyBorder="1" applyAlignment="1"/>
    <xf numFmtId="38" fontId="137" fillId="23" borderId="0" xfId="715" applyFont="1" applyFill="1" applyBorder="1" applyAlignment="1"/>
    <xf numFmtId="38" fontId="126" fillId="0" borderId="0" xfId="715" applyFont="1" applyFill="1" applyBorder="1" applyAlignment="1"/>
    <xf numFmtId="38" fontId="144" fillId="0" borderId="0" xfId="715" applyFont="1" applyFill="1" applyBorder="1" applyAlignment="1">
      <alignment horizontal="right"/>
    </xf>
    <xf numFmtId="38" fontId="7" fillId="12" borderId="8" xfId="715" applyFont="1" applyFill="1" applyBorder="1" applyAlignment="1">
      <alignment horizontal="right"/>
    </xf>
    <xf numFmtId="38" fontId="137" fillId="23" borderId="8" xfId="715" applyFont="1" applyFill="1" applyBorder="1" applyAlignment="1"/>
    <xf numFmtId="180" fontId="7" fillId="0" borderId="0" xfId="716" applyNumberFormat="1" applyFont="1" applyFill="1" applyBorder="1" applyAlignment="1">
      <alignment horizontal="right"/>
    </xf>
    <xf numFmtId="172" fontId="137" fillId="36" borderId="0" xfId="1" applyNumberFormat="1" applyFont="1" applyFill="1"/>
    <xf numFmtId="38" fontId="137" fillId="36" borderId="0" xfId="715" applyFont="1" applyFill="1" applyBorder="1" applyAlignment="1"/>
    <xf numFmtId="172" fontId="129" fillId="0" borderId="0" xfId="1" applyNumberFormat="1" applyFont="1" applyAlignment="1">
      <alignment horizontal="right"/>
    </xf>
    <xf numFmtId="172" fontId="129" fillId="0" borderId="12" xfId="1" applyNumberFormat="1" applyFont="1" applyBorder="1" applyAlignment="1">
      <alignment horizontal="right"/>
    </xf>
    <xf numFmtId="180" fontId="129" fillId="0" borderId="0" xfId="1" applyNumberFormat="1" applyFont="1" applyAlignment="1">
      <alignment horizontal="right"/>
    </xf>
    <xf numFmtId="9" fontId="129" fillId="0" borderId="9" xfId="1" applyNumberFormat="1" applyFont="1" applyBorder="1"/>
    <xf numFmtId="9" fontId="129" fillId="0" borderId="0" xfId="1" applyNumberFormat="1" applyFont="1"/>
    <xf numFmtId="180" fontId="129" fillId="0" borderId="0" xfId="1" applyNumberFormat="1" applyFont="1"/>
    <xf numFmtId="0" fontId="129" fillId="0" borderId="0" xfId="1" applyFont="1"/>
    <xf numFmtId="180" fontId="137" fillId="0" borderId="0" xfId="715" applyNumberFormat="1" applyFont="1" applyFill="1" applyBorder="1" applyAlignment="1"/>
    <xf numFmtId="0" fontId="137" fillId="0" borderId="8" xfId="1" applyFont="1" applyBorder="1"/>
    <xf numFmtId="172" fontId="137" fillId="0" borderId="9" xfId="1" quotePrefix="1" applyNumberFormat="1" applyFont="1" applyBorder="1"/>
    <xf numFmtId="9" fontId="137" fillId="0" borderId="0" xfId="716" quotePrefix="1" applyFont="1" applyFill="1" applyBorder="1" applyAlignment="1"/>
    <xf numFmtId="0" fontId="7" fillId="0" borderId="9" xfId="1" applyFont="1" applyBorder="1"/>
    <xf numFmtId="0" fontId="7" fillId="0" borderId="8" xfId="1" quotePrefix="1" applyFont="1" applyBorder="1"/>
    <xf numFmtId="180" fontId="137" fillId="0" borderId="9" xfId="1" applyNumberFormat="1" applyFont="1" applyBorder="1"/>
    <xf numFmtId="172" fontId="137" fillId="0" borderId="0" xfId="1" quotePrefix="1" applyNumberFormat="1" applyFont="1" applyAlignment="1">
      <alignment horizontal="right"/>
    </xf>
    <xf numFmtId="180" fontId="137" fillId="23" borderId="0" xfId="716" quotePrefix="1" applyNumberFormat="1" applyFont="1" applyFill="1" applyBorder="1" applyAlignment="1">
      <alignment horizontal="right"/>
    </xf>
    <xf numFmtId="180" fontId="137" fillId="0" borderId="0" xfId="716" quotePrefix="1" applyNumberFormat="1" applyFont="1" applyFill="1" applyBorder="1" applyAlignment="1">
      <alignment horizontal="right"/>
    </xf>
    <xf numFmtId="180" fontId="137" fillId="0" borderId="0" xfId="716" quotePrefix="1" applyNumberFormat="1" applyFont="1" applyFill="1" applyBorder="1" applyAlignment="1"/>
    <xf numFmtId="180" fontId="7" fillId="12" borderId="0" xfId="3" quotePrefix="1" applyNumberFormat="1" applyFont="1" applyFill="1" applyBorder="1" applyAlignment="1">
      <alignment horizontal="right"/>
    </xf>
    <xf numFmtId="180" fontId="126" fillId="23" borderId="0" xfId="716" applyNumberFormat="1" applyFont="1" applyFill="1" applyBorder="1" applyAlignment="1">
      <alignment horizontal="right"/>
    </xf>
    <xf numFmtId="180" fontId="144" fillId="0" borderId="0" xfId="3" quotePrefix="1" applyNumberFormat="1" applyFont="1" applyFill="1" applyBorder="1" applyAlignment="1">
      <alignment horizontal="right"/>
    </xf>
    <xf numFmtId="180" fontId="7" fillId="0" borderId="8" xfId="3" quotePrefix="1" applyNumberFormat="1" applyFont="1" applyFill="1" applyBorder="1" applyAlignment="1">
      <alignment horizontal="right"/>
    </xf>
    <xf numFmtId="180" fontId="7" fillId="12" borderId="8" xfId="3" quotePrefix="1" applyNumberFormat="1" applyFont="1" applyFill="1" applyBorder="1" applyAlignment="1">
      <alignment horizontal="right"/>
    </xf>
    <xf numFmtId="9" fontId="137" fillId="0" borderId="8" xfId="716" quotePrefix="1" applyFont="1" applyFill="1" applyBorder="1" applyAlignment="1"/>
    <xf numFmtId="9" fontId="137" fillId="0" borderId="8" xfId="716" quotePrefix="1" applyFont="1" applyFill="1" applyBorder="1" applyAlignment="1">
      <alignment horizontal="right"/>
    </xf>
    <xf numFmtId="172" fontId="7" fillId="0" borderId="9" xfId="1" applyNumberFormat="1" applyFont="1" applyBorder="1" applyAlignment="1">
      <alignment horizontal="right"/>
    </xf>
    <xf numFmtId="180" fontId="143" fillId="0" borderId="9" xfId="1" applyNumberFormat="1" applyFont="1" applyBorder="1"/>
    <xf numFmtId="180" fontId="137" fillId="12" borderId="0" xfId="716" quotePrefix="1" applyNumberFormat="1" applyFont="1" applyFill="1" applyBorder="1" applyAlignment="1">
      <alignment horizontal="right"/>
    </xf>
    <xf numFmtId="180" fontId="7" fillId="0" borderId="9" xfId="3" quotePrefix="1" applyNumberFormat="1" applyFont="1" applyFill="1" applyBorder="1" applyAlignment="1">
      <alignment horizontal="right"/>
    </xf>
    <xf numFmtId="38" fontId="137" fillId="0" borderId="9" xfId="1" applyNumberFormat="1" applyFont="1" applyBorder="1"/>
    <xf numFmtId="9" fontId="137" fillId="0" borderId="0" xfId="716" quotePrefix="1" applyFont="1" applyFill="1" applyBorder="1" applyAlignment="1">
      <alignment horizontal="right"/>
    </xf>
    <xf numFmtId="172" fontId="7" fillId="12" borderId="0" xfId="1" applyNumberFormat="1" applyFont="1" applyFill="1" applyAlignment="1">
      <alignment horizontal="right"/>
    </xf>
    <xf numFmtId="9" fontId="137" fillId="12" borderId="0" xfId="716" quotePrefix="1" applyFont="1" applyFill="1" applyBorder="1" applyAlignment="1"/>
    <xf numFmtId="172" fontId="7" fillId="12" borderId="9" xfId="1" applyNumberFormat="1" applyFont="1" applyFill="1" applyBorder="1" applyAlignment="1">
      <alignment horizontal="right"/>
    </xf>
    <xf numFmtId="180" fontId="137" fillId="0" borderId="0" xfId="1" applyNumberFormat="1" applyFont="1" applyAlignment="1">
      <alignment horizontal="right"/>
    </xf>
    <xf numFmtId="180" fontId="123" fillId="0" borderId="0" xfId="3" quotePrefix="1" applyNumberFormat="1" applyFont="1" applyFill="1" applyBorder="1" applyAlignment="1">
      <alignment horizontal="right"/>
    </xf>
    <xf numFmtId="180" fontId="147" fillId="0" borderId="0" xfId="3" quotePrefix="1" applyNumberFormat="1" applyFont="1" applyFill="1" applyBorder="1" applyAlignment="1">
      <alignment horizontal="right"/>
    </xf>
    <xf numFmtId="172" fontId="137" fillId="36" borderId="0" xfId="0" applyNumberFormat="1" applyFont="1" applyFill="1"/>
    <xf numFmtId="9" fontId="137" fillId="36" borderId="0" xfId="716" quotePrefix="1" applyFont="1" applyFill="1" applyBorder="1" applyAlignment="1"/>
    <xf numFmtId="38" fontId="137" fillId="36" borderId="0" xfId="715" quotePrefix="1" applyFont="1" applyFill="1" applyBorder="1" applyAlignment="1"/>
    <xf numFmtId="172" fontId="129" fillId="23" borderId="12" xfId="1" applyNumberFormat="1" applyFont="1" applyFill="1" applyBorder="1"/>
    <xf numFmtId="172" fontId="129" fillId="23" borderId="12" xfId="1" applyNumberFormat="1" applyFont="1" applyFill="1" applyBorder="1" applyAlignment="1">
      <alignment horizontal="right"/>
    </xf>
    <xf numFmtId="172" fontId="129" fillId="24" borderId="0" xfId="1" applyNumberFormat="1" applyFont="1" applyFill="1" applyAlignment="1">
      <alignment horizontal="right"/>
    </xf>
    <xf numFmtId="180" fontId="129" fillId="23" borderId="0" xfId="1" applyNumberFormat="1" applyFont="1" applyFill="1" applyAlignment="1">
      <alignment horizontal="right"/>
    </xf>
    <xf numFmtId="9" fontId="129" fillId="23" borderId="9" xfId="1" applyNumberFormat="1" applyFont="1" applyFill="1" applyBorder="1"/>
    <xf numFmtId="180" fontId="129" fillId="23" borderId="0" xfId="1" applyNumberFormat="1" applyFont="1" applyFill="1"/>
    <xf numFmtId="9" fontId="137" fillId="23" borderId="0" xfId="1" applyNumberFormat="1" applyFont="1" applyFill="1"/>
    <xf numFmtId="0" fontId="129" fillId="23" borderId="0" xfId="1" applyFont="1" applyFill="1"/>
    <xf numFmtId="0" fontId="137" fillId="12" borderId="0" xfId="1" applyFont="1" applyFill="1"/>
    <xf numFmtId="172" fontId="137" fillId="12" borderId="8" xfId="1" applyNumberFormat="1" applyFont="1" applyFill="1" applyBorder="1"/>
    <xf numFmtId="0" fontId="137" fillId="23" borderId="8" xfId="1" applyFont="1" applyFill="1" applyBorder="1"/>
    <xf numFmtId="0" fontId="7" fillId="23" borderId="0" xfId="1" applyFont="1" applyFill="1"/>
    <xf numFmtId="0" fontId="7" fillId="23" borderId="8" xfId="1" applyFont="1" applyFill="1" applyBorder="1"/>
    <xf numFmtId="172" fontId="7" fillId="23" borderId="0" xfId="1" applyNumberFormat="1" applyFont="1" applyFill="1"/>
    <xf numFmtId="0" fontId="7" fillId="23" borderId="12" xfId="1" applyFont="1" applyFill="1" applyBorder="1"/>
    <xf numFmtId="0" fontId="7" fillId="23" borderId="9" xfId="1" applyFont="1" applyFill="1" applyBorder="1"/>
    <xf numFmtId="172" fontId="7" fillId="23" borderId="8" xfId="1" applyNumberFormat="1" applyFont="1" applyFill="1" applyBorder="1"/>
    <xf numFmtId="172" fontId="137" fillId="23" borderId="8" xfId="1" quotePrefix="1" applyNumberFormat="1" applyFont="1" applyFill="1" applyBorder="1"/>
    <xf numFmtId="172" fontId="137" fillId="23" borderId="0" xfId="1" quotePrefix="1" applyNumberFormat="1" applyFont="1" applyFill="1"/>
    <xf numFmtId="172" fontId="7" fillId="23" borderId="0" xfId="1" quotePrefix="1" applyNumberFormat="1" applyFont="1" applyFill="1" applyAlignment="1">
      <alignment horizontal="right"/>
    </xf>
    <xf numFmtId="172" fontId="137" fillId="12" borderId="8" xfId="1" quotePrefix="1" applyNumberFormat="1" applyFont="1" applyFill="1" applyBorder="1"/>
    <xf numFmtId="172" fontId="137" fillId="23" borderId="0" xfId="1" quotePrefix="1" applyNumberFormat="1" applyFont="1" applyFill="1" applyAlignment="1">
      <alignment horizontal="right"/>
    </xf>
    <xf numFmtId="172" fontId="137" fillId="12" borderId="0" xfId="1" quotePrefix="1" applyNumberFormat="1" applyFont="1" applyFill="1"/>
    <xf numFmtId="172" fontId="7" fillId="23" borderId="8" xfId="1" quotePrefix="1" applyNumberFormat="1" applyFont="1" applyFill="1" applyBorder="1" applyAlignment="1">
      <alignment horizontal="right"/>
    </xf>
    <xf numFmtId="172" fontId="137" fillId="23" borderId="12" xfId="1" applyNumberFormat="1" applyFont="1" applyFill="1" applyBorder="1" applyAlignment="1">
      <alignment horizontal="left"/>
    </xf>
    <xf numFmtId="172" fontId="137" fillId="23" borderId="0" xfId="1" applyNumberFormat="1" applyFont="1" applyFill="1" applyAlignment="1">
      <alignment horizontal="left"/>
    </xf>
    <xf numFmtId="172" fontId="137" fillId="23" borderId="9" xfId="1" applyNumberFormat="1" applyFont="1" applyFill="1" applyBorder="1" applyAlignment="1">
      <alignment horizontal="left"/>
    </xf>
    <xf numFmtId="172" fontId="137" fillId="12" borderId="0" xfId="1" applyNumberFormat="1" applyFont="1" applyFill="1" applyAlignment="1">
      <alignment horizontal="left"/>
    </xf>
    <xf numFmtId="172" fontId="137" fillId="12" borderId="8" xfId="1" applyNumberFormat="1" applyFont="1" applyFill="1" applyBorder="1" applyAlignment="1">
      <alignment horizontal="left"/>
    </xf>
    <xf numFmtId="172" fontId="137" fillId="0" borderId="12" xfId="1" applyNumberFormat="1" applyFont="1" applyBorder="1" applyAlignment="1">
      <alignment horizontal="left"/>
    </xf>
    <xf numFmtId="172" fontId="7" fillId="23" borderId="9" xfId="1" quotePrefix="1" applyNumberFormat="1" applyFont="1" applyFill="1" applyBorder="1" applyAlignment="1">
      <alignment horizontal="right"/>
    </xf>
    <xf numFmtId="172" fontId="129" fillId="36" borderId="6" xfId="1" applyNumberFormat="1" applyFont="1" applyFill="1" applyBorder="1"/>
    <xf numFmtId="172" fontId="137" fillId="36" borderId="6" xfId="0" applyNumberFormat="1" applyFont="1" applyFill="1" applyBorder="1"/>
    <xf numFmtId="172" fontId="129" fillId="36" borderId="5" xfId="1" applyNumberFormat="1" applyFont="1" applyFill="1" applyBorder="1"/>
    <xf numFmtId="172" fontId="129" fillId="36" borderId="13" xfId="1" applyNumberFormat="1" applyFont="1" applyFill="1" applyBorder="1"/>
    <xf numFmtId="172" fontId="129" fillId="36" borderId="6" xfId="1" applyNumberFormat="1" applyFont="1" applyFill="1" applyBorder="1" applyAlignment="1">
      <alignment horizontal="right"/>
    </xf>
    <xf numFmtId="172" fontId="129" fillId="36" borderId="13" xfId="1" applyNumberFormat="1" applyFont="1" applyFill="1" applyBorder="1" applyAlignment="1">
      <alignment horizontal="right"/>
    </xf>
    <xf numFmtId="38" fontId="129" fillId="36" borderId="6" xfId="715" applyFont="1" applyFill="1" applyBorder="1" applyAlignment="1">
      <alignment horizontal="right"/>
    </xf>
    <xf numFmtId="172" fontId="129" fillId="36" borderId="5" xfId="1" applyNumberFormat="1" applyFont="1" applyFill="1" applyBorder="1" applyAlignment="1">
      <alignment horizontal="right"/>
    </xf>
    <xf numFmtId="172" fontId="129" fillId="36" borderId="7" xfId="1" applyNumberFormat="1" applyFont="1" applyFill="1" applyBorder="1"/>
    <xf numFmtId="38" fontId="129" fillId="36" borderId="6" xfId="1" applyNumberFormat="1" applyFont="1" applyFill="1" applyBorder="1"/>
    <xf numFmtId="172" fontId="5" fillId="36" borderId="6" xfId="1" applyNumberFormat="1" applyFont="1" applyFill="1" applyBorder="1" applyAlignment="1">
      <alignment horizontal="right"/>
    </xf>
    <xf numFmtId="172" fontId="5" fillId="36" borderId="5" xfId="1" applyNumberFormat="1" applyFont="1" applyFill="1" applyBorder="1" applyAlignment="1">
      <alignment horizontal="right"/>
    </xf>
    <xf numFmtId="0" fontId="129" fillId="36" borderId="6" xfId="1" applyFont="1" applyFill="1" applyBorder="1"/>
    <xf numFmtId="180" fontId="129" fillId="36" borderId="6" xfId="716" applyNumberFormat="1" applyFont="1" applyFill="1" applyBorder="1" applyAlignment="1"/>
    <xf numFmtId="180" fontId="129" fillId="36" borderId="5" xfId="716" applyNumberFormat="1" applyFont="1" applyFill="1" applyBorder="1" applyAlignment="1"/>
    <xf numFmtId="172" fontId="5" fillId="0" borderId="5" xfId="1" applyNumberFormat="1" applyFont="1" applyBorder="1" applyAlignment="1">
      <alignment horizontal="right"/>
    </xf>
    <xf numFmtId="180" fontId="5" fillId="36" borderId="5" xfId="716" applyNumberFormat="1" applyFont="1" applyFill="1" applyBorder="1" applyAlignment="1">
      <alignment horizontal="right"/>
    </xf>
    <xf numFmtId="180" fontId="129" fillId="36" borderId="0" xfId="716" applyNumberFormat="1" applyFont="1" applyFill="1" applyBorder="1" applyAlignment="1"/>
    <xf numFmtId="180" fontId="129" fillId="12" borderId="0" xfId="716" applyNumberFormat="1" applyFont="1" applyFill="1" applyBorder="1" applyAlignment="1"/>
    <xf numFmtId="180" fontId="129" fillId="36" borderId="8" xfId="716" applyNumberFormat="1" applyFont="1" applyFill="1" applyBorder="1" applyAlignment="1"/>
    <xf numFmtId="172" fontId="5" fillId="36" borderId="13" xfId="1" applyNumberFormat="1" applyFont="1" applyFill="1" applyBorder="1" applyAlignment="1">
      <alignment horizontal="right"/>
    </xf>
    <xf numFmtId="9" fontId="5" fillId="12" borderId="6" xfId="716" applyFont="1" applyFill="1" applyBorder="1" applyAlignment="1">
      <alignment horizontal="right"/>
    </xf>
    <xf numFmtId="180" fontId="129" fillId="12" borderId="6" xfId="716" applyNumberFormat="1" applyFont="1" applyFill="1" applyBorder="1" applyAlignment="1"/>
    <xf numFmtId="9" fontId="5" fillId="36" borderId="6" xfId="716" applyFont="1" applyFill="1" applyBorder="1" applyAlignment="1">
      <alignment horizontal="right"/>
    </xf>
    <xf numFmtId="9" fontId="5" fillId="36" borderId="7" xfId="716" applyFont="1" applyFill="1" applyBorder="1" applyAlignment="1">
      <alignment horizontal="right"/>
    </xf>
    <xf numFmtId="172" fontId="5" fillId="36" borderId="6" xfId="716" applyNumberFormat="1" applyFont="1" applyFill="1" applyBorder="1" applyAlignment="1">
      <alignment horizontal="right"/>
    </xf>
    <xf numFmtId="9" fontId="5" fillId="36" borderId="5" xfId="716" applyFont="1" applyFill="1" applyBorder="1" applyAlignment="1">
      <alignment horizontal="right"/>
    </xf>
    <xf numFmtId="172" fontId="5" fillId="36" borderId="5" xfId="716" applyNumberFormat="1" applyFont="1" applyFill="1" applyBorder="1" applyAlignment="1">
      <alignment horizontal="right"/>
    </xf>
    <xf numFmtId="172" fontId="5" fillId="36" borderId="0" xfId="716" applyNumberFormat="1" applyFont="1" applyFill="1" applyBorder="1" applyAlignment="1">
      <alignment horizontal="right"/>
    </xf>
    <xf numFmtId="9" fontId="5" fillId="36" borderId="0" xfId="716" applyFont="1" applyFill="1" applyBorder="1" applyAlignment="1">
      <alignment horizontal="right"/>
    </xf>
    <xf numFmtId="180" fontId="5" fillId="36" borderId="8" xfId="716" applyNumberFormat="1" applyFont="1" applyFill="1" applyBorder="1" applyAlignment="1">
      <alignment horizontal="right"/>
    </xf>
    <xf numFmtId="180" fontId="5" fillId="36" borderId="0" xfId="716" applyNumberFormat="1" applyFont="1" applyFill="1" applyBorder="1" applyAlignment="1">
      <alignment horizontal="right"/>
    </xf>
    <xf numFmtId="172" fontId="115" fillId="23" borderId="3" xfId="1" applyNumberFormat="1" applyFont="1" applyFill="1" applyBorder="1"/>
    <xf numFmtId="172" fontId="143" fillId="23" borderId="0" xfId="0" applyNumberFormat="1" applyFont="1" applyFill="1"/>
    <xf numFmtId="172" fontId="115" fillId="23" borderId="2" xfId="1" applyNumberFormat="1" applyFont="1" applyFill="1" applyBorder="1"/>
    <xf numFmtId="172" fontId="115" fillId="23" borderId="1" xfId="1" applyNumberFormat="1" applyFont="1" applyFill="1" applyBorder="1"/>
    <xf numFmtId="172" fontId="115" fillId="23" borderId="3" xfId="1" applyNumberFormat="1" applyFont="1" applyFill="1" applyBorder="1" applyAlignment="1">
      <alignment horizontal="right"/>
    </xf>
    <xf numFmtId="172" fontId="115" fillId="23" borderId="1" xfId="1" applyNumberFormat="1" applyFont="1" applyFill="1" applyBorder="1" applyAlignment="1">
      <alignment horizontal="right"/>
    </xf>
    <xf numFmtId="38" fontId="115" fillId="23" borderId="3" xfId="715" applyFont="1" applyFill="1" applyBorder="1" applyAlignment="1">
      <alignment horizontal="right"/>
    </xf>
    <xf numFmtId="172" fontId="115" fillId="24" borderId="3" xfId="1" applyNumberFormat="1" applyFont="1" applyFill="1" applyBorder="1" applyAlignment="1">
      <alignment horizontal="right"/>
    </xf>
    <xf numFmtId="172" fontId="115" fillId="23" borderId="4" xfId="1" applyNumberFormat="1" applyFont="1" applyFill="1" applyBorder="1"/>
    <xf numFmtId="172" fontId="115" fillId="0" borderId="6" xfId="1" applyNumberFormat="1" applyFont="1" applyBorder="1"/>
    <xf numFmtId="172" fontId="115" fillId="23" borderId="2" xfId="1" applyNumberFormat="1" applyFont="1" applyFill="1" applyBorder="1" applyAlignment="1">
      <alignment horizontal="right"/>
    </xf>
    <xf numFmtId="172" fontId="115" fillId="0" borderId="8" xfId="1" applyNumberFormat="1" applyFont="1" applyBorder="1" applyAlignment="1">
      <alignment horizontal="right"/>
    </xf>
    <xf numFmtId="172" fontId="5" fillId="23" borderId="3" xfId="1" applyNumberFormat="1" applyFont="1" applyFill="1" applyBorder="1" applyAlignment="1">
      <alignment horizontal="right"/>
    </xf>
    <xf numFmtId="172" fontId="5" fillId="23" borderId="2" xfId="1" applyNumberFormat="1" applyFont="1" applyFill="1" applyBorder="1" applyAlignment="1">
      <alignment horizontal="right"/>
    </xf>
    <xf numFmtId="0" fontId="115" fillId="23" borderId="3" xfId="1" applyFont="1" applyFill="1" applyBorder="1"/>
    <xf numFmtId="172" fontId="115" fillId="0" borderId="12" xfId="1" applyNumberFormat="1" applyFont="1" applyBorder="1"/>
    <xf numFmtId="172" fontId="5" fillId="23" borderId="1" xfId="1" applyNumberFormat="1" applyFont="1" applyFill="1" applyBorder="1" applyAlignment="1">
      <alignment horizontal="right"/>
    </xf>
    <xf numFmtId="172" fontId="115" fillId="23" borderId="4" xfId="1" applyNumberFormat="1" applyFont="1" applyFill="1" applyBorder="1" applyAlignment="1">
      <alignment horizontal="right"/>
    </xf>
    <xf numFmtId="38" fontId="129" fillId="23" borderId="0" xfId="715" applyFont="1" applyFill="1" applyBorder="1" applyAlignment="1">
      <alignment horizontal="right"/>
    </xf>
    <xf numFmtId="172" fontId="129" fillId="23" borderId="9" xfId="1" applyNumberFormat="1" applyFont="1" applyFill="1" applyBorder="1"/>
    <xf numFmtId="38" fontId="129" fillId="23" borderId="0" xfId="1" applyNumberFormat="1" applyFont="1" applyFill="1"/>
    <xf numFmtId="172" fontId="129" fillId="23" borderId="8" xfId="1" applyNumberFormat="1" applyFont="1" applyFill="1" applyBorder="1" applyAlignment="1">
      <alignment horizontal="right"/>
    </xf>
    <xf numFmtId="172" fontId="5" fillId="23" borderId="0" xfId="1" applyNumberFormat="1" applyFont="1" applyFill="1" applyAlignment="1">
      <alignment horizontal="right"/>
    </xf>
    <xf numFmtId="172" fontId="5" fillId="23" borderId="8" xfId="1" applyNumberFormat="1" applyFont="1" applyFill="1" applyBorder="1" applyAlignment="1">
      <alignment horizontal="right"/>
    </xf>
    <xf numFmtId="180" fontId="129" fillId="0" borderId="6" xfId="716" applyNumberFormat="1" applyFont="1" applyFill="1" applyBorder="1" applyAlignment="1"/>
    <xf numFmtId="172" fontId="129" fillId="0" borderId="0" xfId="716" applyNumberFormat="1" applyFont="1" applyFill="1" applyBorder="1" applyAlignment="1"/>
    <xf numFmtId="172" fontId="5" fillId="23" borderId="37" xfId="1" applyNumberFormat="1" applyFont="1" applyFill="1" applyBorder="1" applyAlignment="1">
      <alignment horizontal="right"/>
    </xf>
    <xf numFmtId="172" fontId="129" fillId="23" borderId="37" xfId="1" applyNumberFormat="1" applyFont="1" applyFill="1" applyBorder="1"/>
    <xf numFmtId="172" fontId="129" fillId="23" borderId="38" xfId="1" applyNumberFormat="1" applyFont="1" applyFill="1" applyBorder="1"/>
    <xf numFmtId="172" fontId="5" fillId="23" borderId="12" xfId="1" applyNumberFormat="1" applyFont="1" applyFill="1" applyBorder="1" applyAlignment="1">
      <alignment horizontal="right"/>
    </xf>
    <xf numFmtId="172" fontId="121" fillId="23" borderId="0" xfId="1" applyNumberFormat="1" applyFont="1" applyFill="1"/>
    <xf numFmtId="172" fontId="129" fillId="25" borderId="0" xfId="1" applyNumberFormat="1" applyFont="1" applyFill="1"/>
    <xf numFmtId="172" fontId="5" fillId="23" borderId="9" xfId="1" applyNumberFormat="1" applyFont="1" applyFill="1" applyBorder="1" applyAlignment="1">
      <alignment horizontal="right"/>
    </xf>
    <xf numFmtId="172" fontId="120" fillId="23" borderId="0" xfId="1" applyNumberFormat="1" applyFont="1" applyFill="1" applyAlignment="1">
      <alignment horizontal="right"/>
    </xf>
    <xf numFmtId="172" fontId="142" fillId="23" borderId="0" xfId="1" applyNumberFormat="1" applyFont="1" applyFill="1" applyAlignment="1">
      <alignment horizontal="right"/>
    </xf>
    <xf numFmtId="172" fontId="121" fillId="23" borderId="8" xfId="1" applyNumberFormat="1" applyFont="1" applyFill="1" applyBorder="1" applyAlignment="1">
      <alignment horizontal="right"/>
    </xf>
    <xf numFmtId="172" fontId="121" fillId="23" borderId="0" xfId="1" applyNumberFormat="1" applyFont="1" applyFill="1" applyAlignment="1">
      <alignment horizontal="right"/>
    </xf>
    <xf numFmtId="172" fontId="121" fillId="0" borderId="0" xfId="1" applyNumberFormat="1" applyFont="1" applyAlignment="1">
      <alignment horizontal="right"/>
    </xf>
    <xf numFmtId="172" fontId="137" fillId="23" borderId="6" xfId="1" applyNumberFormat="1" applyFont="1" applyFill="1" applyBorder="1"/>
    <xf numFmtId="172" fontId="137" fillId="23" borderId="6" xfId="0" applyNumberFormat="1" applyFont="1" applyFill="1" applyBorder="1"/>
    <xf numFmtId="172" fontId="137" fillId="23" borderId="5" xfId="1" applyNumberFormat="1" applyFont="1" applyFill="1" applyBorder="1"/>
    <xf numFmtId="172" fontId="137" fillId="23" borderId="13" xfId="1" applyNumberFormat="1" applyFont="1" applyFill="1" applyBorder="1"/>
    <xf numFmtId="180" fontId="137" fillId="23" borderId="6" xfId="716" applyNumberFormat="1" applyFont="1" applyFill="1" applyBorder="1" applyAlignment="1"/>
    <xf numFmtId="180" fontId="137" fillId="23" borderId="6" xfId="3" applyNumberFormat="1" applyFont="1" applyFill="1" applyBorder="1" applyAlignment="1">
      <alignment horizontal="right"/>
    </xf>
    <xf numFmtId="172" fontId="137" fillId="23" borderId="6" xfId="1" applyNumberFormat="1" applyFont="1" applyFill="1" applyBorder="1" applyAlignment="1">
      <alignment horizontal="right"/>
    </xf>
    <xf numFmtId="172" fontId="137" fillId="23" borderId="13" xfId="1" applyNumberFormat="1" applyFont="1" applyFill="1" applyBorder="1" applyAlignment="1">
      <alignment horizontal="right"/>
    </xf>
    <xf numFmtId="180" fontId="137" fillId="23" borderId="6" xfId="716" applyNumberFormat="1" applyFont="1" applyFill="1" applyBorder="1" applyAlignment="1">
      <alignment horizontal="right"/>
    </xf>
    <xf numFmtId="180" fontId="137" fillId="24" borderId="6" xfId="3" applyNumberFormat="1" applyFont="1" applyFill="1" applyBorder="1" applyAlignment="1">
      <alignment horizontal="right"/>
    </xf>
    <xf numFmtId="172" fontId="137" fillId="24" borderId="6" xfId="1" applyNumberFormat="1" applyFont="1" applyFill="1" applyBorder="1" applyAlignment="1">
      <alignment horizontal="right"/>
    </xf>
    <xf numFmtId="180" fontId="137" fillId="23" borderId="6" xfId="1" applyNumberFormat="1" applyFont="1" applyFill="1" applyBorder="1" applyAlignment="1">
      <alignment horizontal="right"/>
    </xf>
    <xf numFmtId="9" fontId="137" fillId="23" borderId="7" xfId="1" applyNumberFormat="1" applyFont="1" applyFill="1" applyBorder="1"/>
    <xf numFmtId="180" fontId="137" fillId="23" borderId="6" xfId="1" applyNumberFormat="1" applyFont="1" applyFill="1" applyBorder="1"/>
    <xf numFmtId="180" fontId="137" fillId="23" borderId="5" xfId="1" applyNumberFormat="1" applyFont="1" applyFill="1" applyBorder="1"/>
    <xf numFmtId="180" fontId="137" fillId="0" borderId="6" xfId="1" applyNumberFormat="1" applyFont="1" applyBorder="1"/>
    <xf numFmtId="180" fontId="137" fillId="23" borderId="5" xfId="3" applyNumberFormat="1" applyFont="1" applyFill="1" applyBorder="1" applyAlignment="1">
      <alignment horizontal="right"/>
    </xf>
    <xf numFmtId="180" fontId="7" fillId="23" borderId="6" xfId="3" applyNumberFormat="1" applyFont="1" applyFill="1" applyBorder="1" applyAlignment="1">
      <alignment horizontal="right"/>
    </xf>
    <xf numFmtId="180" fontId="7" fillId="23" borderId="5" xfId="3" applyNumberFormat="1" applyFont="1" applyFill="1" applyBorder="1" applyAlignment="1">
      <alignment horizontal="right"/>
    </xf>
    <xf numFmtId="0" fontId="137" fillId="23" borderId="6" xfId="1" applyFont="1" applyFill="1" applyBorder="1"/>
    <xf numFmtId="180" fontId="137" fillId="0" borderId="7" xfId="1" applyNumberFormat="1" applyFont="1" applyBorder="1"/>
    <xf numFmtId="180" fontId="137" fillId="0" borderId="5" xfId="1" applyNumberFormat="1" applyFont="1" applyBorder="1"/>
    <xf numFmtId="180" fontId="7" fillId="0" borderId="5" xfId="3" applyNumberFormat="1" applyFont="1" applyFill="1" applyBorder="1" applyAlignment="1">
      <alignment horizontal="right"/>
    </xf>
    <xf numFmtId="172" fontId="115" fillId="0" borderId="3" xfId="1" applyNumberFormat="1" applyFont="1" applyBorder="1"/>
    <xf numFmtId="180" fontId="137" fillId="12" borderId="6" xfId="1" applyNumberFormat="1" applyFont="1" applyFill="1" applyBorder="1"/>
    <xf numFmtId="180" fontId="7" fillId="23" borderId="13" xfId="3" applyNumberFormat="1" applyFont="1" applyFill="1" applyBorder="1" applyAlignment="1">
      <alignment horizontal="right"/>
    </xf>
    <xf numFmtId="180" fontId="7" fillId="23" borderId="7" xfId="3" applyNumberFormat="1" applyFont="1" applyFill="1" applyBorder="1" applyAlignment="1">
      <alignment horizontal="right"/>
    </xf>
    <xf numFmtId="180" fontId="7" fillId="42" borderId="6" xfId="3" applyNumberFormat="1" applyFont="1" applyFill="1" applyBorder="1" applyAlignment="1">
      <alignment horizontal="right"/>
    </xf>
    <xf numFmtId="172" fontId="5" fillId="23" borderId="38" xfId="1" applyNumberFormat="1" applyFont="1" applyFill="1" applyBorder="1" applyAlignment="1">
      <alignment horizontal="right"/>
    </xf>
    <xf numFmtId="172" fontId="137" fillId="23" borderId="6" xfId="0" applyNumberFormat="1" applyFont="1" applyFill="1" applyBorder="1" applyAlignment="1">
      <alignment horizontal="left" indent="1"/>
    </xf>
    <xf numFmtId="172" fontId="137" fillId="23" borderId="13" xfId="1" applyNumberFormat="1" applyFont="1" applyFill="1" applyBorder="1" applyAlignment="1">
      <alignment horizontal="left" indent="1"/>
    </xf>
    <xf numFmtId="180" fontId="137" fillId="23" borderId="6" xfId="716" applyNumberFormat="1" applyFont="1" applyFill="1" applyBorder="1" applyAlignment="1">
      <alignment horizontal="left" indent="1"/>
    </xf>
    <xf numFmtId="172" fontId="137" fillId="23" borderId="13" xfId="1" applyNumberFormat="1" applyFont="1" applyFill="1" applyBorder="1" applyAlignment="1">
      <alignment horizontal="right" indent="1"/>
    </xf>
    <xf numFmtId="38" fontId="137" fillId="24" borderId="6" xfId="715" applyFont="1" applyFill="1" applyBorder="1" applyAlignment="1">
      <alignment horizontal="right"/>
    </xf>
    <xf numFmtId="172" fontId="137" fillId="23" borderId="6" xfId="1" applyNumberFormat="1" applyFont="1" applyFill="1" applyBorder="1" applyAlignment="1">
      <alignment horizontal="left" indent="1"/>
    </xf>
    <xf numFmtId="180" fontId="137" fillId="23" borderId="5" xfId="1" applyNumberFormat="1" applyFont="1" applyFill="1" applyBorder="1" applyAlignment="1">
      <alignment horizontal="right"/>
    </xf>
    <xf numFmtId="180" fontId="137" fillId="0" borderId="6" xfId="1" applyNumberFormat="1" applyFont="1" applyBorder="1" applyAlignment="1">
      <alignment horizontal="right"/>
    </xf>
    <xf numFmtId="172" fontId="137" fillId="0" borderId="12" xfId="1" applyNumberFormat="1" applyFont="1" applyBorder="1" applyAlignment="1">
      <alignment horizontal="left" indent="1"/>
    </xf>
    <xf numFmtId="180" fontId="137" fillId="0" borderId="7" xfId="1" applyNumberFormat="1" applyFont="1" applyBorder="1" applyAlignment="1">
      <alignment horizontal="right"/>
    </xf>
    <xf numFmtId="180" fontId="137" fillId="0" borderId="5" xfId="1" applyNumberFormat="1" applyFont="1" applyBorder="1" applyAlignment="1">
      <alignment horizontal="right"/>
    </xf>
    <xf numFmtId="180" fontId="137" fillId="12" borderId="6" xfId="1" applyNumberFormat="1" applyFont="1" applyFill="1" applyBorder="1" applyAlignment="1">
      <alignment horizontal="right"/>
    </xf>
    <xf numFmtId="180" fontId="137" fillId="0" borderId="8" xfId="1" applyNumberFormat="1" applyFont="1" applyBorder="1" applyAlignment="1">
      <alignment horizontal="right"/>
    </xf>
    <xf numFmtId="38" fontId="7" fillId="23" borderId="6" xfId="715" applyFont="1" applyFill="1" applyBorder="1" applyAlignment="1">
      <alignment horizontal="right"/>
    </xf>
    <xf numFmtId="172" fontId="137" fillId="25" borderId="0" xfId="0" applyNumberFormat="1" applyFont="1" applyFill="1"/>
    <xf numFmtId="172" fontId="129" fillId="25" borderId="8" xfId="1" applyNumberFormat="1" applyFont="1" applyFill="1" applyBorder="1"/>
    <xf numFmtId="172" fontId="129" fillId="25" borderId="0" xfId="1" applyNumberFormat="1" applyFont="1" applyFill="1" applyAlignment="1">
      <alignment horizontal="right"/>
    </xf>
    <xf numFmtId="38" fontId="129" fillId="25" borderId="0" xfId="715" applyFont="1" applyFill="1" applyBorder="1" applyAlignment="1">
      <alignment horizontal="right"/>
    </xf>
    <xf numFmtId="172" fontId="129" fillId="25" borderId="9" xfId="1" applyNumberFormat="1" applyFont="1" applyFill="1" applyBorder="1"/>
    <xf numFmtId="38" fontId="129" fillId="25" borderId="0" xfId="1" applyNumberFormat="1" applyFont="1" applyFill="1"/>
    <xf numFmtId="38" fontId="129" fillId="25" borderId="0" xfId="715" applyFont="1" applyFill="1" applyBorder="1" applyAlignment="1"/>
    <xf numFmtId="38" fontId="129" fillId="25" borderId="11" xfId="715" applyFont="1" applyFill="1" applyBorder="1" applyAlignment="1"/>
    <xf numFmtId="172" fontId="129" fillId="32" borderId="0" xfId="1" applyNumberFormat="1" applyFont="1" applyFill="1"/>
    <xf numFmtId="38" fontId="146" fillId="32" borderId="0" xfId="715" applyFont="1" applyFill="1" applyBorder="1" applyAlignment="1"/>
    <xf numFmtId="172" fontId="146" fillId="32" borderId="0" xfId="1" applyNumberFormat="1" applyFont="1" applyFill="1"/>
    <xf numFmtId="172" fontId="129" fillId="32" borderId="8" xfId="1" applyNumberFormat="1" applyFont="1" applyFill="1" applyBorder="1" applyAlignment="1">
      <alignment horizontal="right"/>
    </xf>
    <xf numFmtId="172" fontId="5" fillId="25" borderId="0" xfId="1" applyNumberFormat="1" applyFont="1" applyFill="1" applyAlignment="1">
      <alignment horizontal="right"/>
    </xf>
    <xf numFmtId="172" fontId="5" fillId="25" borderId="8" xfId="1" applyNumberFormat="1" applyFont="1" applyFill="1" applyBorder="1" applyAlignment="1">
      <alignment horizontal="right"/>
    </xf>
    <xf numFmtId="172" fontId="129" fillId="25" borderId="0" xfId="1" applyNumberFormat="1" applyFont="1" applyFill="1" applyAlignment="1">
      <alignment horizontal="right" wrapText="1"/>
    </xf>
    <xf numFmtId="0" fontId="129" fillId="25" borderId="0" xfId="1" applyFont="1" applyFill="1"/>
    <xf numFmtId="172" fontId="129" fillId="25" borderId="8" xfId="1" applyNumberFormat="1" applyFont="1" applyFill="1" applyBorder="1" applyAlignment="1">
      <alignment horizontal="right"/>
    </xf>
    <xf numFmtId="172" fontId="129" fillId="39" borderId="0" xfId="1" applyNumberFormat="1" applyFont="1" applyFill="1"/>
    <xf numFmtId="172" fontId="129" fillId="32" borderId="0" xfId="1" applyNumberFormat="1" applyFont="1" applyFill="1" applyAlignment="1">
      <alignment horizontal="right"/>
    </xf>
    <xf numFmtId="38" fontId="5" fillId="25" borderId="0" xfId="715" applyFont="1" applyFill="1" applyBorder="1" applyAlignment="1">
      <alignment horizontal="right"/>
    </xf>
    <xf numFmtId="38" fontId="5" fillId="25" borderId="37" xfId="715" applyFont="1" applyFill="1" applyBorder="1" applyAlignment="1">
      <alignment horizontal="right"/>
    </xf>
    <xf numFmtId="172" fontId="129" fillId="25" borderId="37" xfId="1" applyNumberFormat="1" applyFont="1" applyFill="1" applyBorder="1"/>
    <xf numFmtId="172" fontId="129" fillId="25" borderId="38" xfId="1" applyNumberFormat="1" applyFont="1" applyFill="1" applyBorder="1"/>
    <xf numFmtId="172" fontId="5" fillId="25" borderId="37" xfId="1" applyNumberFormat="1" applyFont="1" applyFill="1" applyBorder="1" applyAlignment="1">
      <alignment horizontal="right"/>
    </xf>
    <xf numFmtId="172" fontId="5" fillId="25" borderId="12" xfId="1" applyNumberFormat="1" applyFont="1" applyFill="1" applyBorder="1" applyAlignment="1">
      <alignment horizontal="right"/>
    </xf>
    <xf numFmtId="172" fontId="121" fillId="25" borderId="0" xfId="1" applyNumberFormat="1" applyFont="1" applyFill="1"/>
    <xf numFmtId="38" fontId="5" fillId="25" borderId="9" xfId="715" applyFont="1" applyFill="1" applyBorder="1" applyAlignment="1">
      <alignment horizontal="right"/>
    </xf>
    <xf numFmtId="38" fontId="120" fillId="25" borderId="0" xfId="715" applyFont="1" applyFill="1" applyBorder="1" applyAlignment="1">
      <alignment horizontal="right"/>
    </xf>
    <xf numFmtId="38" fontId="142" fillId="25" borderId="0" xfId="715" applyFont="1" applyFill="1" applyBorder="1" applyAlignment="1">
      <alignment horizontal="right"/>
    </xf>
    <xf numFmtId="38" fontId="5" fillId="25" borderId="8" xfId="715" applyFont="1" applyFill="1" applyBorder="1" applyAlignment="1">
      <alignment horizontal="right"/>
    </xf>
    <xf numFmtId="38" fontId="121" fillId="25" borderId="8" xfId="715" applyFont="1" applyFill="1" applyBorder="1" applyAlignment="1">
      <alignment horizontal="right"/>
    </xf>
    <xf numFmtId="38" fontId="121" fillId="25" borderId="0" xfId="715" applyFont="1" applyFill="1" applyBorder="1" applyAlignment="1">
      <alignment horizontal="right"/>
    </xf>
    <xf numFmtId="172" fontId="121" fillId="32" borderId="0" xfId="1" applyNumberFormat="1" applyFont="1" applyFill="1" applyAlignment="1">
      <alignment horizontal="right"/>
    </xf>
    <xf numFmtId="172" fontId="121" fillId="25" borderId="0" xfId="1" applyNumberFormat="1" applyFont="1" applyFill="1" applyAlignment="1">
      <alignment horizontal="right"/>
    </xf>
    <xf numFmtId="172" fontId="129" fillId="36" borderId="12" xfId="1" applyNumberFormat="1" applyFont="1" applyFill="1" applyBorder="1" applyAlignment="1">
      <alignment horizontal="left" indent="1"/>
    </xf>
    <xf numFmtId="172" fontId="129" fillId="36" borderId="0" xfId="1" applyNumberFormat="1" applyFont="1" applyFill="1" applyAlignment="1">
      <alignment horizontal="left" indent="1"/>
    </xf>
    <xf numFmtId="172" fontId="129" fillId="36" borderId="8" xfId="1" applyNumberFormat="1" applyFont="1" applyFill="1" applyBorder="1" applyAlignment="1">
      <alignment horizontal="left" indent="1"/>
    </xf>
    <xf numFmtId="172" fontId="129" fillId="36" borderId="12" xfId="1" applyNumberFormat="1" applyFont="1" applyFill="1" applyBorder="1" applyAlignment="1">
      <alignment horizontal="right" indent="1"/>
    </xf>
    <xf numFmtId="38" fontId="5" fillId="36" borderId="0" xfId="1" applyNumberFormat="1" applyFont="1" applyFill="1" applyAlignment="1">
      <alignment horizontal="right"/>
    </xf>
    <xf numFmtId="38" fontId="5" fillId="36" borderId="8" xfId="1" applyNumberFormat="1" applyFont="1" applyFill="1" applyBorder="1" applyAlignment="1">
      <alignment horizontal="right"/>
    </xf>
    <xf numFmtId="38" fontId="5" fillId="0" borderId="8" xfId="1" applyNumberFormat="1" applyFont="1" applyBorder="1" applyAlignment="1">
      <alignment horizontal="right"/>
    </xf>
    <xf numFmtId="180" fontId="137" fillId="36" borderId="6" xfId="3" applyNumberFormat="1" applyFont="1" applyFill="1" applyBorder="1" applyAlignment="1">
      <alignment horizontal="right"/>
    </xf>
    <xf numFmtId="38" fontId="5" fillId="36" borderId="12" xfId="1" applyNumberFormat="1" applyFont="1" applyFill="1" applyBorder="1" applyAlignment="1">
      <alignment horizontal="right"/>
    </xf>
    <xf numFmtId="38" fontId="5" fillId="36" borderId="9" xfId="1" applyNumberFormat="1" applyFont="1" applyFill="1" applyBorder="1" applyAlignment="1">
      <alignment horizontal="right"/>
    </xf>
    <xf numFmtId="38" fontId="120" fillId="36" borderId="0" xfId="1" applyNumberFormat="1" applyFont="1" applyFill="1" applyAlignment="1">
      <alignment horizontal="right"/>
    </xf>
    <xf numFmtId="38" fontId="142" fillId="36" borderId="0" xfId="1" applyNumberFormat="1" applyFont="1" applyFill="1" applyAlignment="1">
      <alignment horizontal="right"/>
    </xf>
    <xf numFmtId="38" fontId="121" fillId="36" borderId="8" xfId="1" applyNumberFormat="1" applyFont="1" applyFill="1" applyBorder="1" applyAlignment="1">
      <alignment horizontal="right"/>
    </xf>
    <xf numFmtId="38" fontId="121" fillId="36" borderId="0" xfId="1" applyNumberFormat="1" applyFont="1" applyFill="1" applyAlignment="1">
      <alignment horizontal="right"/>
    </xf>
    <xf numFmtId="38" fontId="5" fillId="36" borderId="0" xfId="715" applyFont="1" applyFill="1" applyBorder="1" applyAlignment="1"/>
    <xf numFmtId="38" fontId="129" fillId="36" borderId="8" xfId="715" applyFont="1" applyFill="1" applyBorder="1" applyAlignment="1"/>
    <xf numFmtId="172" fontId="121" fillId="42" borderId="0" xfId="1" applyNumberFormat="1" applyFont="1" applyFill="1" applyAlignment="1">
      <alignment horizontal="right"/>
    </xf>
    <xf numFmtId="9" fontId="137" fillId="23" borderId="9" xfId="1" applyNumberFormat="1" applyFont="1" applyFill="1" applyBorder="1"/>
    <xf numFmtId="180" fontId="7" fillId="23" borderId="9" xfId="3" applyNumberFormat="1" applyFont="1" applyFill="1" applyBorder="1" applyAlignment="1">
      <alignment horizontal="right"/>
    </xf>
    <xf numFmtId="184" fontId="137" fillId="23" borderId="8" xfId="1" applyNumberFormat="1" applyFont="1" applyFill="1" applyBorder="1"/>
    <xf numFmtId="184" fontId="137" fillId="0" borderId="0" xfId="1" applyNumberFormat="1" applyFont="1"/>
    <xf numFmtId="184" fontId="137" fillId="23" borderId="8" xfId="1" applyNumberFormat="1" applyFont="1" applyFill="1" applyBorder="1" applyAlignment="1">
      <alignment horizontal="right"/>
    </xf>
    <xf numFmtId="184" fontId="137" fillId="0" borderId="8" xfId="1" applyNumberFormat="1" applyFont="1" applyBorder="1" applyAlignment="1">
      <alignment horizontal="right"/>
    </xf>
    <xf numFmtId="184" fontId="137" fillId="23" borderId="0" xfId="1" applyNumberFormat="1" applyFont="1" applyFill="1" applyAlignment="1">
      <alignment horizontal="right"/>
    </xf>
    <xf numFmtId="184" fontId="7" fillId="12" borderId="0" xfId="1" applyNumberFormat="1" applyFont="1" applyFill="1" applyAlignment="1">
      <alignment horizontal="right"/>
    </xf>
    <xf numFmtId="184" fontId="7" fillId="0" borderId="12" xfId="1" applyNumberFormat="1" applyFont="1" applyBorder="1" applyAlignment="1">
      <alignment horizontal="right"/>
    </xf>
    <xf numFmtId="184" fontId="126" fillId="0" borderId="8" xfId="1" applyNumberFormat="1" applyFont="1" applyBorder="1" applyAlignment="1">
      <alignment horizontal="right"/>
    </xf>
    <xf numFmtId="184" fontId="126" fillId="0" borderId="0" xfId="1" applyNumberFormat="1" applyFont="1" applyAlignment="1">
      <alignment horizontal="right"/>
    </xf>
    <xf numFmtId="180" fontId="7" fillId="0" borderId="8" xfId="716" applyNumberFormat="1" applyFont="1" applyFill="1" applyBorder="1" applyAlignment="1">
      <alignment horizontal="right"/>
    </xf>
    <xf numFmtId="180" fontId="7" fillId="12" borderId="0" xfId="716" applyNumberFormat="1" applyFont="1" applyFill="1" applyBorder="1" applyAlignment="1">
      <alignment horizontal="right"/>
    </xf>
    <xf numFmtId="172" fontId="143" fillId="23" borderId="0" xfId="1" applyNumberFormat="1" applyFont="1" applyFill="1"/>
    <xf numFmtId="172" fontId="143" fillId="23" borderId="8" xfId="1" applyNumberFormat="1" applyFont="1" applyFill="1" applyBorder="1"/>
    <xf numFmtId="172" fontId="143" fillId="23" borderId="12" xfId="1" applyNumberFormat="1" applyFont="1" applyFill="1" applyBorder="1"/>
    <xf numFmtId="172" fontId="143" fillId="23" borderId="0" xfId="1" applyNumberFormat="1" applyFont="1" applyFill="1" applyAlignment="1">
      <alignment horizontal="right"/>
    </xf>
    <xf numFmtId="172" fontId="143" fillId="23" borderId="12" xfId="1" applyNumberFormat="1" applyFont="1" applyFill="1" applyBorder="1" applyAlignment="1">
      <alignment horizontal="right"/>
    </xf>
    <xf numFmtId="38" fontId="143" fillId="0" borderId="0" xfId="715" applyFont="1" applyFill="1" applyBorder="1" applyAlignment="1">
      <alignment horizontal="right"/>
    </xf>
    <xf numFmtId="38" fontId="143" fillId="23" borderId="0" xfId="715" applyFont="1" applyFill="1" applyBorder="1" applyAlignment="1">
      <alignment horizontal="right"/>
    </xf>
    <xf numFmtId="172" fontId="143" fillId="24" borderId="0" xfId="1" applyNumberFormat="1" applyFont="1" applyFill="1" applyAlignment="1">
      <alignment horizontal="right"/>
    </xf>
    <xf numFmtId="172" fontId="143" fillId="23" borderId="9" xfId="1" applyNumberFormat="1" applyFont="1" applyFill="1" applyBorder="1"/>
    <xf numFmtId="172" fontId="143" fillId="0" borderId="8" xfId="1" applyNumberFormat="1" applyFont="1" applyBorder="1" applyAlignment="1">
      <alignment horizontal="right"/>
    </xf>
    <xf numFmtId="172" fontId="123" fillId="0" borderId="0" xfId="1" applyNumberFormat="1" applyFont="1" applyAlignment="1">
      <alignment horizontal="right"/>
    </xf>
    <xf numFmtId="172" fontId="123" fillId="0" borderId="8" xfId="1" applyNumberFormat="1" applyFont="1" applyBorder="1" applyAlignment="1">
      <alignment horizontal="right"/>
    </xf>
    <xf numFmtId="0" fontId="143" fillId="23" borderId="0" xfId="1" applyFont="1" applyFill="1"/>
    <xf numFmtId="172" fontId="143" fillId="0" borderId="12" xfId="1" applyNumberFormat="1" applyFont="1" applyBorder="1"/>
    <xf numFmtId="172" fontId="123" fillId="0" borderId="12" xfId="1" applyNumberFormat="1" applyFont="1" applyBorder="1" applyAlignment="1">
      <alignment horizontal="right"/>
    </xf>
    <xf numFmtId="172" fontId="123" fillId="0" borderId="9" xfId="1" applyNumberFormat="1" applyFont="1" applyBorder="1" applyAlignment="1">
      <alignment horizontal="right"/>
    </xf>
    <xf numFmtId="260" fontId="137" fillId="23" borderId="0" xfId="1" applyNumberFormat="1" applyFont="1" applyFill="1"/>
    <xf numFmtId="260" fontId="137" fillId="23" borderId="8" xfId="1" applyNumberFormat="1" applyFont="1" applyFill="1" applyBorder="1"/>
    <xf numFmtId="260" fontId="137" fillId="0" borderId="0" xfId="1" applyNumberFormat="1" applyFont="1"/>
    <xf numFmtId="190" fontId="137" fillId="0" borderId="8" xfId="1" applyNumberFormat="1" applyFont="1" applyBorder="1" applyAlignment="1">
      <alignment horizontal="right"/>
    </xf>
    <xf numFmtId="190" fontId="137" fillId="0" borderId="0" xfId="1" applyNumberFormat="1" applyFont="1" applyAlignment="1">
      <alignment horizontal="right"/>
    </xf>
    <xf numFmtId="190" fontId="7" fillId="12" borderId="0" xfId="1" applyNumberFormat="1" applyFont="1" applyFill="1" applyAlignment="1">
      <alignment horizontal="right"/>
    </xf>
    <xf numFmtId="190" fontId="7" fillId="0" borderId="0" xfId="1" applyNumberFormat="1" applyFont="1" applyAlignment="1">
      <alignment horizontal="right"/>
    </xf>
    <xf numFmtId="190" fontId="7" fillId="0" borderId="8" xfId="1" applyNumberFormat="1" applyFont="1" applyBorder="1" applyAlignment="1">
      <alignment horizontal="right"/>
    </xf>
    <xf numFmtId="259" fontId="137" fillId="23" borderId="0" xfId="1" applyNumberFormat="1" applyFont="1" applyFill="1"/>
    <xf numFmtId="190" fontId="7" fillId="0" borderId="12" xfId="1" applyNumberFormat="1" applyFont="1" applyBorder="1" applyAlignment="1">
      <alignment horizontal="right"/>
    </xf>
    <xf numFmtId="190" fontId="7" fillId="0" borderId="9" xfId="1" applyNumberFormat="1" applyFont="1" applyBorder="1" applyAlignment="1">
      <alignment horizontal="right"/>
    </xf>
    <xf numFmtId="216" fontId="7" fillId="0" borderId="0" xfId="1" applyNumberFormat="1" applyFont="1" applyAlignment="1">
      <alignment horizontal="right"/>
    </xf>
    <xf numFmtId="216" fontId="7" fillId="0" borderId="8" xfId="1" applyNumberFormat="1" applyFont="1" applyBorder="1" applyAlignment="1">
      <alignment horizontal="right"/>
    </xf>
    <xf numFmtId="172" fontId="137" fillId="34" borderId="0" xfId="1" applyNumberFormat="1" applyFont="1" applyFill="1"/>
    <xf numFmtId="172" fontId="137" fillId="34" borderId="0" xfId="0" applyNumberFormat="1" applyFont="1" applyFill="1" applyAlignment="1">
      <alignment horizontal="left" indent="1"/>
    </xf>
    <xf numFmtId="172" fontId="137" fillId="34" borderId="8" xfId="1" applyNumberFormat="1" applyFont="1" applyFill="1" applyBorder="1" applyAlignment="1">
      <alignment horizontal="left" indent="1"/>
    </xf>
    <xf numFmtId="172" fontId="137" fillId="34" borderId="12" xfId="1" applyNumberFormat="1" applyFont="1" applyFill="1" applyBorder="1"/>
    <xf numFmtId="172" fontId="137" fillId="34" borderId="8" xfId="1" applyNumberFormat="1" applyFont="1" applyFill="1" applyBorder="1"/>
    <xf numFmtId="172" fontId="137" fillId="34" borderId="0" xfId="1" applyNumberFormat="1" applyFont="1" applyFill="1" applyAlignment="1">
      <alignment horizontal="right"/>
    </xf>
    <xf numFmtId="172" fontId="137" fillId="34" borderId="12" xfId="1" applyNumberFormat="1" applyFont="1" applyFill="1" applyBorder="1" applyAlignment="1">
      <alignment horizontal="right"/>
    </xf>
    <xf numFmtId="38" fontId="137" fillId="34" borderId="0" xfId="715" applyFont="1" applyFill="1" applyBorder="1" applyAlignment="1">
      <alignment horizontal="right"/>
    </xf>
    <xf numFmtId="0" fontId="137" fillId="34" borderId="0" xfId="1" applyFont="1" applyFill="1"/>
    <xf numFmtId="174" fontId="137" fillId="34" borderId="9" xfId="1" applyNumberFormat="1" applyFont="1" applyFill="1" applyBorder="1"/>
    <xf numFmtId="174" fontId="137" fillId="34" borderId="0" xfId="1" applyNumberFormat="1" applyFont="1" applyFill="1"/>
    <xf numFmtId="260" fontId="137" fillId="34" borderId="0" xfId="1" applyNumberFormat="1" applyFont="1" applyFill="1"/>
    <xf numFmtId="260" fontId="137" fillId="34" borderId="8" xfId="1" applyNumberFormat="1" applyFont="1" applyFill="1" applyBorder="1"/>
    <xf numFmtId="190" fontId="137" fillId="34" borderId="8" xfId="1" applyNumberFormat="1" applyFont="1" applyFill="1" applyBorder="1" applyAlignment="1">
      <alignment horizontal="right"/>
    </xf>
    <xf numFmtId="190" fontId="137" fillId="34" borderId="0" xfId="1" applyNumberFormat="1" applyFont="1" applyFill="1" applyAlignment="1">
      <alignment horizontal="right"/>
    </xf>
    <xf numFmtId="190" fontId="7" fillId="34" borderId="0" xfId="1" applyNumberFormat="1" applyFont="1" applyFill="1" applyAlignment="1">
      <alignment horizontal="right"/>
    </xf>
    <xf numFmtId="190" fontId="7" fillId="34" borderId="8" xfId="1" applyNumberFormat="1" applyFont="1" applyFill="1" applyBorder="1" applyAlignment="1">
      <alignment horizontal="right"/>
    </xf>
    <xf numFmtId="172" fontId="129" fillId="34" borderId="0" xfId="1" applyNumberFormat="1" applyFont="1" applyFill="1" applyAlignment="1">
      <alignment horizontal="right"/>
    </xf>
    <xf numFmtId="259" fontId="137" fillId="34" borderId="0" xfId="1" applyNumberFormat="1" applyFont="1" applyFill="1"/>
    <xf numFmtId="260" fontId="137" fillId="34" borderId="9" xfId="1" applyNumberFormat="1" applyFont="1" applyFill="1" applyBorder="1"/>
    <xf numFmtId="172" fontId="143" fillId="34" borderId="0" xfId="1" applyNumberFormat="1" applyFont="1" applyFill="1"/>
    <xf numFmtId="190" fontId="7" fillId="34" borderId="12" xfId="1" applyNumberFormat="1" applyFont="1" applyFill="1" applyBorder="1" applyAlignment="1">
      <alignment horizontal="right"/>
    </xf>
    <xf numFmtId="190" fontId="7" fillId="12" borderId="9" xfId="1" applyNumberFormat="1" applyFont="1" applyFill="1" applyBorder="1" applyAlignment="1">
      <alignment horizontal="right"/>
    </xf>
    <xf numFmtId="190" fontId="125" fillId="34" borderId="0" xfId="1" applyNumberFormat="1" applyFont="1" applyFill="1" applyAlignment="1">
      <alignment horizontal="right"/>
    </xf>
    <xf numFmtId="190" fontId="144" fillId="34" borderId="0" xfId="1" applyNumberFormat="1" applyFont="1" applyFill="1" applyAlignment="1">
      <alignment horizontal="right"/>
    </xf>
    <xf numFmtId="190" fontId="126" fillId="34" borderId="8" xfId="1" applyNumberFormat="1" applyFont="1" applyFill="1" applyBorder="1" applyAlignment="1">
      <alignment horizontal="right"/>
    </xf>
    <xf numFmtId="190" fontId="126" fillId="42" borderId="0" xfId="1" applyNumberFormat="1" applyFont="1" applyFill="1" applyAlignment="1">
      <alignment horizontal="right"/>
    </xf>
    <xf numFmtId="190" fontId="126" fillId="34" borderId="0" xfId="1" applyNumberFormat="1" applyFont="1" applyFill="1" applyAlignment="1">
      <alignment horizontal="right"/>
    </xf>
    <xf numFmtId="172" fontId="137" fillId="0" borderId="0" xfId="0" applyNumberFormat="1" applyFont="1" applyAlignment="1">
      <alignment horizontal="left" indent="1"/>
    </xf>
    <xf numFmtId="172" fontId="137" fillId="0" borderId="8" xfId="1" applyNumberFormat="1" applyFont="1" applyBorder="1" applyAlignment="1">
      <alignment horizontal="left" indent="1"/>
    </xf>
    <xf numFmtId="260" fontId="137" fillId="0" borderId="8" xfId="1" applyNumberFormat="1" applyFont="1" applyBorder="1"/>
    <xf numFmtId="260" fontId="137" fillId="0" borderId="9" xfId="1" applyNumberFormat="1" applyFont="1" applyBorder="1"/>
    <xf numFmtId="260" fontId="137" fillId="12" borderId="8" xfId="1" applyNumberFormat="1" applyFont="1" applyFill="1" applyBorder="1"/>
    <xf numFmtId="260" fontId="137" fillId="12" borderId="0" xfId="1" applyNumberFormat="1" applyFont="1" applyFill="1"/>
    <xf numFmtId="190" fontId="125" fillId="0" borderId="0" xfId="1" applyNumberFormat="1" applyFont="1" applyAlignment="1">
      <alignment horizontal="right"/>
    </xf>
    <xf numFmtId="190" fontId="126" fillId="0" borderId="0" xfId="1" applyNumberFormat="1" applyFont="1" applyAlignment="1">
      <alignment horizontal="right"/>
    </xf>
    <xf numFmtId="190" fontId="126" fillId="0" borderId="8" xfId="1" applyNumberFormat="1" applyFont="1" applyBorder="1" applyAlignment="1">
      <alignment horizontal="right"/>
    </xf>
    <xf numFmtId="190" fontId="7" fillId="12" borderId="8" xfId="1" applyNumberFormat="1" applyFont="1" applyFill="1" applyBorder="1" applyAlignment="1">
      <alignment horizontal="right"/>
    </xf>
    <xf numFmtId="190" fontId="7" fillId="30" borderId="0" xfId="1" applyNumberFormat="1" applyFont="1" applyFill="1" applyAlignment="1">
      <alignment horizontal="right"/>
    </xf>
    <xf numFmtId="172" fontId="137" fillId="34" borderId="12" xfId="1" applyNumberFormat="1" applyFont="1" applyFill="1" applyBorder="1" applyAlignment="1">
      <alignment horizontal="left" indent="1"/>
    </xf>
    <xf numFmtId="172" fontId="137" fillId="34" borderId="0" xfId="1" applyNumberFormat="1" applyFont="1" applyFill="1" applyAlignment="1">
      <alignment horizontal="left" indent="1"/>
    </xf>
    <xf numFmtId="172" fontId="137" fillId="34" borderId="12" xfId="1" applyNumberFormat="1" applyFont="1" applyFill="1" applyBorder="1" applyAlignment="1">
      <alignment horizontal="right" indent="1"/>
    </xf>
    <xf numFmtId="190" fontId="7" fillId="34" borderId="9" xfId="1" applyNumberFormat="1" applyFont="1" applyFill="1" applyBorder="1" applyAlignment="1">
      <alignment horizontal="right"/>
    </xf>
    <xf numFmtId="172" fontId="137" fillId="23" borderId="0" xfId="0" applyNumberFormat="1" applyFont="1" applyFill="1" applyAlignment="1">
      <alignment horizontal="left" indent="1"/>
    </xf>
    <xf numFmtId="172" fontId="137" fillId="23" borderId="8" xfId="1" applyNumberFormat="1" applyFont="1" applyFill="1" applyBorder="1" applyAlignment="1">
      <alignment horizontal="left" indent="1"/>
    </xf>
    <xf numFmtId="172" fontId="137" fillId="23" borderId="12" xfId="1" applyNumberFormat="1" applyFont="1" applyFill="1" applyBorder="1" applyAlignment="1">
      <alignment horizontal="left" indent="1"/>
    </xf>
    <xf numFmtId="172" fontId="137" fillId="23" borderId="0" xfId="1" applyNumberFormat="1" applyFont="1" applyFill="1" applyAlignment="1">
      <alignment horizontal="left" indent="1"/>
    </xf>
    <xf numFmtId="172" fontId="137" fillId="23" borderId="12" xfId="1" applyNumberFormat="1" applyFont="1" applyFill="1" applyBorder="1" applyAlignment="1">
      <alignment horizontal="right" indent="1"/>
    </xf>
    <xf numFmtId="190" fontId="7" fillId="42" borderId="0" xfId="1" applyNumberFormat="1" applyFont="1" applyFill="1" applyAlignment="1">
      <alignment horizontal="right"/>
    </xf>
    <xf numFmtId="172" fontId="137" fillId="0" borderId="0" xfId="0" applyNumberFormat="1" applyFont="1" applyAlignment="1">
      <alignment horizontal="left" indent="2"/>
    </xf>
    <xf numFmtId="172" fontId="137" fillId="0" borderId="8" xfId="1" applyNumberFormat="1" applyFont="1" applyBorder="1" applyAlignment="1">
      <alignment horizontal="left" indent="3"/>
    </xf>
    <xf numFmtId="172" fontId="137" fillId="34" borderId="9" xfId="1" applyNumberFormat="1" applyFont="1" applyFill="1" applyBorder="1"/>
    <xf numFmtId="190" fontId="123" fillId="34" borderId="0" xfId="1" applyNumberFormat="1" applyFont="1" applyFill="1" applyAlignment="1">
      <alignment horizontal="right"/>
    </xf>
    <xf numFmtId="260" fontId="126" fillId="34" borderId="0" xfId="1" applyNumberFormat="1" applyFont="1" applyFill="1"/>
    <xf numFmtId="190" fontId="123" fillId="0" borderId="0" xfId="1" applyNumberFormat="1" applyFont="1" applyAlignment="1">
      <alignment horizontal="right"/>
    </xf>
    <xf numFmtId="259" fontId="137" fillId="0" borderId="0" xfId="1" applyNumberFormat="1" applyFont="1"/>
    <xf numFmtId="260" fontId="137" fillId="36" borderId="0" xfId="1" applyNumberFormat="1" applyFont="1" applyFill="1"/>
    <xf numFmtId="172" fontId="5" fillId="42" borderId="0" xfId="1" applyNumberFormat="1" applyFont="1" applyFill="1" applyAlignment="1">
      <alignment horizontal="right"/>
    </xf>
    <xf numFmtId="172" fontId="5" fillId="12" borderId="0" xfId="1" applyNumberFormat="1" applyFont="1" applyFill="1" applyAlignment="1">
      <alignment horizontal="right"/>
    </xf>
    <xf numFmtId="38" fontId="137" fillId="34" borderId="9" xfId="715" applyFont="1" applyFill="1" applyBorder="1" applyAlignment="1"/>
    <xf numFmtId="38" fontId="137" fillId="34" borderId="0" xfId="715" applyFont="1" applyFill="1" applyBorder="1" applyAlignment="1"/>
    <xf numFmtId="38" fontId="137" fillId="34" borderId="0" xfId="1" applyNumberFormat="1" applyFont="1" applyFill="1"/>
    <xf numFmtId="172" fontId="137" fillId="34" borderId="8" xfId="1" applyNumberFormat="1" applyFont="1" applyFill="1" applyBorder="1" applyAlignment="1">
      <alignment horizontal="right"/>
    </xf>
    <xf numFmtId="172" fontId="7" fillId="34" borderId="0" xfId="1" applyNumberFormat="1" applyFont="1" applyFill="1" applyAlignment="1">
      <alignment horizontal="right"/>
    </xf>
    <xf numFmtId="172" fontId="7" fillId="34" borderId="8" xfId="1" applyNumberFormat="1" applyFont="1" applyFill="1" applyBorder="1" applyAlignment="1">
      <alignment horizontal="right"/>
    </xf>
    <xf numFmtId="169" fontId="137" fillId="34" borderId="0" xfId="1" applyNumberFormat="1" applyFont="1" applyFill="1"/>
    <xf numFmtId="226" fontId="137" fillId="34" borderId="0" xfId="1" applyNumberFormat="1" applyFont="1" applyFill="1"/>
    <xf numFmtId="180" fontId="137" fillId="34" borderId="0" xfId="1" applyNumberFormat="1" applyFont="1" applyFill="1"/>
    <xf numFmtId="226" fontId="137" fillId="34" borderId="8" xfId="1" applyNumberFormat="1" applyFont="1" applyFill="1" applyBorder="1"/>
    <xf numFmtId="172" fontId="7" fillId="34" borderId="12" xfId="1" applyNumberFormat="1" applyFont="1" applyFill="1" applyBorder="1" applyAlignment="1">
      <alignment horizontal="right"/>
    </xf>
    <xf numFmtId="172" fontId="7" fillId="34" borderId="9" xfId="1" applyNumberFormat="1" applyFont="1" applyFill="1" applyBorder="1" applyAlignment="1">
      <alignment horizontal="right"/>
    </xf>
    <xf numFmtId="172" fontId="125" fillId="34" borderId="0" xfId="1" applyNumberFormat="1" applyFont="1" applyFill="1" applyAlignment="1">
      <alignment horizontal="right"/>
    </xf>
    <xf numFmtId="172" fontId="144" fillId="34" borderId="0" xfId="1" applyNumberFormat="1" applyFont="1" applyFill="1" applyAlignment="1">
      <alignment horizontal="right"/>
    </xf>
    <xf numFmtId="172" fontId="126" fillId="34" borderId="8" xfId="1" applyNumberFormat="1" applyFont="1" applyFill="1" applyBorder="1" applyAlignment="1">
      <alignment horizontal="right"/>
    </xf>
    <xf numFmtId="172" fontId="126" fillId="34" borderId="0" xfId="1" applyNumberFormat="1" applyFont="1" applyFill="1" applyAlignment="1">
      <alignment horizontal="right"/>
    </xf>
    <xf numFmtId="172" fontId="7" fillId="12" borderId="8" xfId="1" applyNumberFormat="1" applyFont="1" applyFill="1" applyBorder="1" applyAlignment="1">
      <alignment horizontal="right"/>
    </xf>
    <xf numFmtId="9" fontId="137" fillId="0" borderId="0" xfId="1" applyNumberFormat="1" applyFont="1" applyAlignment="1">
      <alignment horizontal="right"/>
    </xf>
    <xf numFmtId="180" fontId="137" fillId="0" borderId="9" xfId="3" applyNumberFormat="1" applyFont="1" applyFill="1" applyBorder="1" applyAlignment="1"/>
    <xf numFmtId="180" fontId="137" fillId="0" borderId="0" xfId="3" applyNumberFormat="1" applyFont="1" applyFill="1" applyBorder="1" applyAlignment="1"/>
    <xf numFmtId="9" fontId="137" fillId="0" borderId="8" xfId="1" applyNumberFormat="1" applyFont="1" applyBorder="1" applyAlignment="1">
      <alignment horizontal="right"/>
    </xf>
    <xf numFmtId="9" fontId="137" fillId="0" borderId="8" xfId="716" applyFont="1" applyFill="1" applyBorder="1" applyAlignment="1"/>
    <xf numFmtId="9" fontId="7" fillId="0" borderId="0" xfId="716" applyFont="1" applyFill="1" applyBorder="1" applyAlignment="1">
      <alignment horizontal="right"/>
    </xf>
    <xf numFmtId="172" fontId="137" fillId="0" borderId="0" xfId="716" applyNumberFormat="1" applyFont="1" applyFill="1" applyBorder="1" applyAlignment="1"/>
    <xf numFmtId="172" fontId="137" fillId="0" borderId="8" xfId="716" applyNumberFormat="1" applyFont="1" applyFill="1" applyBorder="1" applyAlignment="1"/>
    <xf numFmtId="9" fontId="7" fillId="0" borderId="9" xfId="716" applyFont="1" applyFill="1" applyBorder="1" applyAlignment="1">
      <alignment horizontal="right"/>
    </xf>
    <xf numFmtId="9" fontId="7" fillId="0" borderId="8" xfId="716" applyFont="1" applyFill="1" applyBorder="1" applyAlignment="1">
      <alignment horizontal="right"/>
    </xf>
    <xf numFmtId="180" fontId="7" fillId="0" borderId="8" xfId="716" applyNumberFormat="1" applyFont="1" applyFill="1" applyBorder="1" applyAlignment="1"/>
    <xf numFmtId="226" fontId="137" fillId="0" borderId="0" xfId="717" applyNumberFormat="1" applyFont="1" applyFill="1" applyBorder="1" applyAlignment="1"/>
    <xf numFmtId="38" fontId="125" fillId="0" borderId="0" xfId="715" applyFont="1" applyFill="1" applyBorder="1" applyAlignment="1">
      <alignment horizontal="right"/>
    </xf>
    <xf numFmtId="38" fontId="126" fillId="0" borderId="0" xfId="715" applyFont="1" applyFill="1" applyBorder="1" applyAlignment="1">
      <alignment horizontal="right"/>
    </xf>
    <xf numFmtId="38" fontId="126" fillId="0" borderId="8" xfId="715" applyFont="1" applyFill="1" applyBorder="1" applyAlignment="1">
      <alignment horizontal="right"/>
    </xf>
    <xf numFmtId="172" fontId="143" fillId="34" borderId="0" xfId="1" applyNumberFormat="1" applyFont="1" applyFill="1" applyAlignment="1">
      <alignment horizontal="right"/>
    </xf>
    <xf numFmtId="172" fontId="137" fillId="14" borderId="0" xfId="1" applyNumberFormat="1" applyFont="1" applyFill="1" applyAlignment="1">
      <alignment horizontal="right"/>
    </xf>
    <xf numFmtId="172" fontId="137" fillId="21" borderId="0" xfId="1" applyNumberFormat="1" applyFont="1" applyFill="1"/>
    <xf numFmtId="172" fontId="137" fillId="14" borderId="0" xfId="1" applyNumberFormat="1" applyFont="1" applyFill="1"/>
    <xf numFmtId="38" fontId="137" fillId="23" borderId="0" xfId="1" applyNumberFormat="1" applyFont="1" applyFill="1"/>
    <xf numFmtId="172" fontId="123" fillId="12" borderId="8" xfId="1" applyNumberFormat="1" applyFont="1" applyFill="1" applyBorder="1" applyAlignment="1">
      <alignment horizontal="right"/>
    </xf>
    <xf numFmtId="172" fontId="126" fillId="12" borderId="0" xfId="1" applyNumberFormat="1" applyFont="1" applyFill="1" applyAlignment="1">
      <alignment horizontal="right"/>
    </xf>
    <xf numFmtId="172" fontId="125" fillId="0" borderId="0" xfId="1" applyNumberFormat="1" applyFont="1" applyAlignment="1">
      <alignment horizontal="right"/>
    </xf>
    <xf numFmtId="172" fontId="144" fillId="0" borderId="0" xfId="1" applyNumberFormat="1" applyFont="1" applyAlignment="1">
      <alignment horizontal="right"/>
    </xf>
    <xf numFmtId="0" fontId="137" fillId="0" borderId="9" xfId="1" applyFont="1" applyBorder="1"/>
    <xf numFmtId="172" fontId="7" fillId="30" borderId="0" xfId="1" applyNumberFormat="1" applyFont="1" applyFill="1" applyAlignment="1">
      <alignment horizontal="right"/>
    </xf>
    <xf numFmtId="172" fontId="7" fillId="36" borderId="0" xfId="1" applyNumberFormat="1" applyFont="1" applyFill="1" applyAlignment="1">
      <alignment horizontal="right"/>
    </xf>
    <xf numFmtId="38" fontId="5" fillId="12" borderId="0" xfId="1" applyNumberFormat="1" applyFont="1" applyFill="1" applyAlignment="1">
      <alignment horizontal="right"/>
    </xf>
    <xf numFmtId="223" fontId="137" fillId="34" borderId="0" xfId="715" applyNumberFormat="1" applyFont="1" applyFill="1" applyBorder="1" applyAlignment="1"/>
    <xf numFmtId="223" fontId="137" fillId="0" borderId="0" xfId="715" applyNumberFormat="1" applyFont="1" applyFill="1" applyBorder="1" applyAlignment="1"/>
    <xf numFmtId="172" fontId="137" fillId="15" borderId="0" xfId="1" applyNumberFormat="1" applyFont="1" applyFill="1" applyAlignment="1">
      <alignment horizontal="right"/>
    </xf>
    <xf numFmtId="38" fontId="5" fillId="30" borderId="0" xfId="1" applyNumberFormat="1" applyFont="1" applyFill="1" applyAlignment="1">
      <alignment horizontal="right"/>
    </xf>
    <xf numFmtId="38" fontId="129" fillId="0" borderId="0" xfId="715" applyFont="1" applyFill="1" applyBorder="1" applyAlignment="1">
      <alignment horizontal="right"/>
    </xf>
    <xf numFmtId="172" fontId="5" fillId="0" borderId="0" xfId="1" applyNumberFormat="1" applyFont="1" applyAlignment="1">
      <alignment horizontal="right"/>
    </xf>
    <xf numFmtId="172" fontId="129" fillId="34" borderId="0" xfId="1" applyNumberFormat="1" applyFont="1" applyFill="1"/>
    <xf numFmtId="172" fontId="137" fillId="34" borderId="0" xfId="0" applyNumberFormat="1" applyFont="1" applyFill="1"/>
    <xf numFmtId="172" fontId="129" fillId="34" borderId="12" xfId="1" applyNumberFormat="1" applyFont="1" applyFill="1" applyBorder="1"/>
    <xf numFmtId="172" fontId="129" fillId="34" borderId="8" xfId="1" applyNumberFormat="1" applyFont="1" applyFill="1" applyBorder="1"/>
    <xf numFmtId="172" fontId="129" fillId="34" borderId="12" xfId="1" applyNumberFormat="1" applyFont="1" applyFill="1" applyBorder="1" applyAlignment="1">
      <alignment horizontal="right"/>
    </xf>
    <xf numFmtId="38" fontId="129" fillId="34" borderId="0" xfId="715" applyFont="1" applyFill="1" applyBorder="1" applyAlignment="1">
      <alignment horizontal="right"/>
    </xf>
    <xf numFmtId="172" fontId="129" fillId="34" borderId="9" xfId="1" applyNumberFormat="1" applyFont="1" applyFill="1" applyBorder="1"/>
    <xf numFmtId="38" fontId="129" fillId="34" borderId="0" xfId="1" applyNumberFormat="1" applyFont="1" applyFill="1"/>
    <xf numFmtId="38" fontId="129" fillId="34" borderId="0" xfId="715" applyFont="1" applyFill="1" applyBorder="1" applyAlignment="1"/>
    <xf numFmtId="172" fontId="129" fillId="34" borderId="8" xfId="1" applyNumberFormat="1" applyFont="1" applyFill="1" applyBorder="1" applyAlignment="1">
      <alignment horizontal="right"/>
    </xf>
    <xf numFmtId="172" fontId="5" fillId="34" borderId="0" xfId="1" applyNumberFormat="1" applyFont="1" applyFill="1" applyAlignment="1">
      <alignment horizontal="right"/>
    </xf>
    <xf numFmtId="172" fontId="5" fillId="34" borderId="8" xfId="1" applyNumberFormat="1" applyFont="1" applyFill="1" applyBorder="1" applyAlignment="1">
      <alignment horizontal="right"/>
    </xf>
    <xf numFmtId="0" fontId="129" fillId="34" borderId="0" xfId="1" applyFont="1" applyFill="1"/>
    <xf numFmtId="172" fontId="5" fillId="34" borderId="12" xfId="1" applyNumberFormat="1" applyFont="1" applyFill="1" applyBorder="1" applyAlignment="1">
      <alignment horizontal="right"/>
    </xf>
    <xf numFmtId="172" fontId="5" fillId="34" borderId="9" xfId="1" applyNumberFormat="1" applyFont="1" applyFill="1" applyBorder="1" applyAlignment="1">
      <alignment horizontal="right"/>
    </xf>
    <xf numFmtId="172" fontId="123" fillId="34" borderId="0" xfId="1" applyNumberFormat="1" applyFont="1" applyFill="1" applyAlignment="1">
      <alignment horizontal="right"/>
    </xf>
    <xf numFmtId="172" fontId="127" fillId="34" borderId="8" xfId="1" applyNumberFormat="1" applyFont="1" applyFill="1" applyBorder="1" applyAlignment="1">
      <alignment horizontal="right"/>
    </xf>
    <xf numFmtId="38" fontId="129" fillId="34" borderId="8" xfId="715" applyFont="1" applyFill="1" applyBorder="1" applyAlignment="1"/>
    <xf numFmtId="180" fontId="129" fillId="34" borderId="9" xfId="716" applyNumberFormat="1" applyFont="1" applyFill="1" applyBorder="1" applyAlignment="1"/>
    <xf numFmtId="180" fontId="129" fillId="34" borderId="0" xfId="716" applyNumberFormat="1" applyFont="1" applyFill="1" applyBorder="1" applyAlignment="1"/>
    <xf numFmtId="180" fontId="129" fillId="34" borderId="8" xfId="716" applyNumberFormat="1" applyFont="1" applyFill="1" applyBorder="1" applyAlignment="1"/>
    <xf numFmtId="180" fontId="5" fillId="34" borderId="0" xfId="716" applyNumberFormat="1" applyFont="1" applyFill="1" applyBorder="1" applyAlignment="1"/>
    <xf numFmtId="172" fontId="137" fillId="34" borderId="8" xfId="1" applyNumberFormat="1" applyFont="1" applyFill="1" applyBorder="1" applyAlignment="1">
      <alignment horizontal="left"/>
    </xf>
    <xf numFmtId="172" fontId="129" fillId="36" borderId="0" xfId="2" applyNumberFormat="1" applyFont="1" applyFill="1" applyBorder="1"/>
    <xf numFmtId="172" fontId="129" fillId="36" borderId="0" xfId="2" applyNumberFormat="1" applyFont="1" applyFill="1" applyBorder="1" applyAlignment="1">
      <alignment horizontal="right"/>
    </xf>
    <xf numFmtId="172" fontId="129" fillId="36" borderId="0" xfId="715" applyNumberFormat="1" applyFont="1" applyFill="1" applyBorder="1" applyAlignment="1"/>
    <xf numFmtId="172" fontId="129" fillId="36" borderId="8" xfId="2" applyNumberFormat="1" applyFont="1" applyFill="1" applyBorder="1" applyAlignment="1">
      <alignment horizontal="right"/>
    </xf>
    <xf numFmtId="38" fontId="129" fillId="36" borderId="9" xfId="715" applyFont="1" applyFill="1" applyBorder="1" applyAlignment="1"/>
    <xf numFmtId="38" fontId="142" fillId="36" borderId="0" xfId="715" applyFont="1" applyFill="1" applyBorder="1" applyAlignment="1"/>
    <xf numFmtId="172" fontId="5" fillId="30" borderId="0" xfId="1" applyNumberFormat="1" applyFont="1" applyFill="1" applyAlignment="1">
      <alignment horizontal="right"/>
    </xf>
    <xf numFmtId="38" fontId="121" fillId="36" borderId="0" xfId="715" applyFont="1" applyFill="1" applyBorder="1" applyAlignment="1"/>
    <xf numFmtId="172" fontId="137" fillId="0" borderId="0" xfId="2" applyNumberFormat="1" applyFont="1" applyFill="1" applyBorder="1" applyAlignment="1">
      <alignment horizontal="right"/>
    </xf>
    <xf numFmtId="172" fontId="137" fillId="0" borderId="8" xfId="2" applyNumberFormat="1" applyFont="1" applyFill="1" applyBorder="1" applyAlignment="1">
      <alignment horizontal="right"/>
    </xf>
    <xf numFmtId="172" fontId="137" fillId="0" borderId="6" xfId="2" applyNumberFormat="1" applyFont="1" applyFill="1" applyBorder="1"/>
    <xf numFmtId="172" fontId="137" fillId="0" borderId="6" xfId="0" applyNumberFormat="1" applyFont="1" applyBorder="1" applyAlignment="1">
      <alignment horizontal="left" indent="2"/>
    </xf>
    <xf numFmtId="172" fontId="137" fillId="0" borderId="5" xfId="1" applyNumberFormat="1" applyFont="1" applyBorder="1"/>
    <xf numFmtId="172" fontId="137" fillId="0" borderId="13" xfId="2" applyNumberFormat="1" applyFont="1" applyFill="1" applyBorder="1" applyAlignment="1" applyProtection="1"/>
    <xf numFmtId="172" fontId="137" fillId="0" borderId="6" xfId="2" applyNumberFormat="1" applyFont="1" applyFill="1" applyBorder="1" applyAlignment="1" applyProtection="1"/>
    <xf numFmtId="172" fontId="137" fillId="0" borderId="5" xfId="2" applyNumberFormat="1" applyFont="1" applyFill="1" applyBorder="1" applyAlignment="1" applyProtection="1"/>
    <xf numFmtId="172" fontId="137" fillId="0" borderId="6" xfId="2" applyNumberFormat="1" applyFont="1" applyFill="1" applyBorder="1" applyAlignment="1">
      <alignment horizontal="right"/>
    </xf>
    <xf numFmtId="172" fontId="137" fillId="0" borderId="13" xfId="2" applyNumberFormat="1" applyFont="1" applyFill="1" applyBorder="1" applyAlignment="1" applyProtection="1">
      <alignment horizontal="right"/>
    </xf>
    <xf numFmtId="172" fontId="137" fillId="0" borderId="6" xfId="1" applyNumberFormat="1" applyFont="1" applyBorder="1" applyAlignment="1">
      <alignment horizontal="right"/>
    </xf>
    <xf numFmtId="38" fontId="137" fillId="0" borderId="6" xfId="715" applyFont="1" applyFill="1" applyBorder="1" applyAlignment="1">
      <alignment horizontal="right"/>
    </xf>
    <xf numFmtId="172" fontId="137" fillId="0" borderId="7" xfId="2" applyNumberFormat="1" applyFont="1" applyFill="1" applyBorder="1" applyAlignment="1" applyProtection="1"/>
    <xf numFmtId="38" fontId="137" fillId="0" borderId="6" xfId="2" applyNumberFormat="1" applyFont="1" applyFill="1" applyBorder="1" applyAlignment="1" applyProtection="1"/>
    <xf numFmtId="172" fontId="137" fillId="0" borderId="6" xfId="1" applyNumberFormat="1" applyFont="1" applyBorder="1"/>
    <xf numFmtId="172" fontId="137" fillId="0" borderId="0" xfId="2" applyNumberFormat="1" applyFont="1" applyFill="1" applyBorder="1" applyAlignment="1" applyProtection="1"/>
    <xf numFmtId="172" fontId="137" fillId="0" borderId="5" xfId="2" applyNumberFormat="1" applyFont="1" applyFill="1" applyBorder="1" applyAlignment="1">
      <alignment horizontal="right"/>
    </xf>
    <xf numFmtId="172" fontId="7" fillId="0" borderId="6" xfId="2" applyNumberFormat="1" applyFont="1" applyFill="1" applyBorder="1" applyAlignment="1">
      <alignment horizontal="right"/>
    </xf>
    <xf numFmtId="172" fontId="7" fillId="0" borderId="5" xfId="2" applyNumberFormat="1" applyFont="1" applyFill="1" applyBorder="1" applyAlignment="1">
      <alignment horizontal="right"/>
    </xf>
    <xf numFmtId="172" fontId="137" fillId="0" borderId="12" xfId="2" applyNumberFormat="1" applyFont="1" applyFill="1" applyBorder="1" applyAlignment="1" applyProtection="1"/>
    <xf numFmtId="172" fontId="137" fillId="0" borderId="7" xfId="2" applyNumberFormat="1" applyFont="1" applyFill="1" applyBorder="1"/>
    <xf numFmtId="172" fontId="137" fillId="0" borderId="5" xfId="2" applyNumberFormat="1" applyFont="1" applyFill="1" applyBorder="1"/>
    <xf numFmtId="172" fontId="137" fillId="0" borderId="0" xfId="2" applyNumberFormat="1" applyFont="1" applyFill="1" applyBorder="1"/>
    <xf numFmtId="172" fontId="137" fillId="0" borderId="8" xfId="2" applyNumberFormat="1" applyFont="1" applyFill="1" applyBorder="1"/>
    <xf numFmtId="172" fontId="7" fillId="0" borderId="0" xfId="2" applyNumberFormat="1" applyFont="1" applyFill="1" applyBorder="1" applyAlignment="1">
      <alignment horizontal="right"/>
    </xf>
    <xf numFmtId="172" fontId="7" fillId="0" borderId="13" xfId="2" applyNumberFormat="1" applyFont="1" applyFill="1" applyBorder="1" applyAlignment="1">
      <alignment horizontal="right"/>
    </xf>
    <xf numFmtId="172" fontId="7" fillId="0" borderId="12" xfId="2" applyNumberFormat="1" applyFont="1" applyFill="1" applyBorder="1" applyAlignment="1">
      <alignment horizontal="right"/>
    </xf>
    <xf numFmtId="172" fontId="7" fillId="0" borderId="9" xfId="2" applyNumberFormat="1" applyFont="1" applyFill="1" applyBorder="1" applyAlignment="1">
      <alignment horizontal="right"/>
    </xf>
    <xf numFmtId="172" fontId="125" fillId="0" borderId="0" xfId="2" applyNumberFormat="1" applyFont="1" applyFill="1" applyBorder="1" applyAlignment="1">
      <alignment horizontal="right"/>
    </xf>
    <xf numFmtId="172" fontId="144" fillId="0" borderId="0" xfId="2" applyNumberFormat="1" applyFont="1" applyFill="1" applyBorder="1" applyAlignment="1">
      <alignment horizontal="right"/>
    </xf>
    <xf numFmtId="172" fontId="7" fillId="0" borderId="8" xfId="2" applyNumberFormat="1" applyFont="1" applyFill="1" applyBorder="1" applyAlignment="1">
      <alignment horizontal="right"/>
    </xf>
    <xf numFmtId="172" fontId="126" fillId="0" borderId="8" xfId="2" applyNumberFormat="1" applyFont="1" applyFill="1" applyBorder="1" applyAlignment="1">
      <alignment horizontal="right"/>
    </xf>
    <xf numFmtId="172" fontId="115" fillId="23" borderId="6" xfId="2" applyNumberFormat="1" applyFont="1" applyFill="1" applyBorder="1"/>
    <xf numFmtId="172" fontId="143" fillId="23" borderId="0" xfId="2" applyNumberFormat="1" applyFont="1" applyFill="1" applyBorder="1"/>
    <xf numFmtId="172" fontId="115" fillId="23" borderId="5" xfId="1" applyNumberFormat="1" applyFont="1" applyFill="1" applyBorder="1"/>
    <xf numFmtId="172" fontId="115" fillId="23" borderId="13" xfId="2" applyNumberFormat="1" applyFont="1" applyFill="1" applyBorder="1" applyAlignment="1" applyProtection="1"/>
    <xf numFmtId="172" fontId="115" fillId="23" borderId="6" xfId="2" applyNumberFormat="1" applyFont="1" applyFill="1" applyBorder="1" applyAlignment="1" applyProtection="1"/>
    <xf numFmtId="172" fontId="115" fillId="23" borderId="5" xfId="2" applyNumberFormat="1" applyFont="1" applyFill="1" applyBorder="1" applyAlignment="1" applyProtection="1"/>
    <xf numFmtId="172" fontId="115" fillId="23" borderId="6" xfId="2" applyNumberFormat="1" applyFont="1" applyFill="1" applyBorder="1" applyAlignment="1">
      <alignment horizontal="right"/>
    </xf>
    <xf numFmtId="172" fontId="115" fillId="23" borderId="13" xfId="2" applyNumberFormat="1" applyFont="1" applyFill="1" applyBorder="1" applyAlignment="1" applyProtection="1">
      <alignment horizontal="right"/>
    </xf>
    <xf numFmtId="172" fontId="115" fillId="23" borderId="6" xfId="1" applyNumberFormat="1" applyFont="1" applyFill="1" applyBorder="1" applyAlignment="1">
      <alignment horizontal="right"/>
    </xf>
    <xf numFmtId="172" fontId="115" fillId="0" borderId="6" xfId="2" applyNumberFormat="1" applyFont="1" applyFill="1" applyBorder="1" applyAlignment="1">
      <alignment horizontal="right"/>
    </xf>
    <xf numFmtId="38" fontId="115" fillId="23" borderId="6" xfId="715" applyFont="1" applyFill="1" applyBorder="1" applyAlignment="1">
      <alignment horizontal="right"/>
    </xf>
    <xf numFmtId="172" fontId="115" fillId="24" borderId="6" xfId="2" applyNumberFormat="1" applyFont="1" applyFill="1" applyBorder="1" applyAlignment="1">
      <alignment horizontal="right"/>
    </xf>
    <xf numFmtId="172" fontId="115" fillId="23" borderId="7" xfId="2" applyNumberFormat="1" applyFont="1" applyFill="1" applyBorder="1" applyAlignment="1" applyProtection="1"/>
    <xf numFmtId="172" fontId="115" fillId="0" borderId="0" xfId="2" applyNumberFormat="1" applyFont="1" applyFill="1" applyBorder="1" applyAlignment="1" applyProtection="1"/>
    <xf numFmtId="172" fontId="115" fillId="0" borderId="6" xfId="2" applyNumberFormat="1" applyFont="1" applyFill="1" applyBorder="1" applyAlignment="1" applyProtection="1"/>
    <xf numFmtId="172" fontId="115" fillId="23" borderId="5" xfId="2" applyNumberFormat="1" applyFont="1" applyFill="1" applyBorder="1" applyAlignment="1">
      <alignment horizontal="right"/>
    </xf>
    <xf numFmtId="172" fontId="115" fillId="0" borderId="8" xfId="2" applyNumberFormat="1" applyFont="1" applyFill="1" applyBorder="1" applyAlignment="1">
      <alignment horizontal="right"/>
    </xf>
    <xf numFmtId="172" fontId="5" fillId="23" borderId="6" xfId="2" applyNumberFormat="1" applyFont="1" applyFill="1" applyBorder="1" applyAlignment="1">
      <alignment horizontal="right"/>
    </xf>
    <xf numFmtId="172" fontId="5" fillId="23" borderId="5" xfId="2" applyNumberFormat="1" applyFont="1" applyFill="1" applyBorder="1" applyAlignment="1">
      <alignment horizontal="right"/>
    </xf>
    <xf numFmtId="172" fontId="115" fillId="23" borderId="6" xfId="1" applyNumberFormat="1" applyFont="1" applyFill="1" applyBorder="1"/>
    <xf numFmtId="172" fontId="115" fillId="0" borderId="12" xfId="2" applyNumberFormat="1" applyFont="1" applyFill="1" applyBorder="1" applyAlignment="1" applyProtection="1"/>
    <xf numFmtId="172" fontId="115" fillId="23" borderId="7" xfId="2" applyNumberFormat="1" applyFont="1" applyFill="1" applyBorder="1"/>
    <xf numFmtId="172" fontId="115" fillId="23" borderId="5" xfId="2" applyNumberFormat="1" applyFont="1" applyFill="1" applyBorder="1"/>
    <xf numFmtId="172" fontId="5" fillId="0" borderId="5" xfId="2" applyNumberFormat="1" applyFont="1" applyFill="1" applyBorder="1" applyAlignment="1">
      <alignment horizontal="right"/>
    </xf>
    <xf numFmtId="172" fontId="115" fillId="23" borderId="3" xfId="2" applyNumberFormat="1" applyFont="1" applyFill="1" applyBorder="1"/>
    <xf numFmtId="172" fontId="115" fillId="23" borderId="2" xfId="2" applyNumberFormat="1" applyFont="1" applyFill="1" applyBorder="1"/>
    <xf numFmtId="172" fontId="115" fillId="23" borderId="13" xfId="2" applyNumberFormat="1" applyFont="1" applyFill="1" applyBorder="1"/>
    <xf numFmtId="172" fontId="5" fillId="23" borderId="3" xfId="2" applyNumberFormat="1" applyFont="1" applyFill="1" applyBorder="1" applyAlignment="1">
      <alignment horizontal="right"/>
    </xf>
    <xf numFmtId="172" fontId="5" fillId="23" borderId="13" xfId="2" applyNumberFormat="1" applyFont="1" applyFill="1" applyBorder="1" applyAlignment="1">
      <alignment horizontal="right"/>
    </xf>
    <xf numFmtId="172" fontId="115" fillId="23" borderId="4" xfId="2" applyNumberFormat="1" applyFont="1" applyFill="1" applyBorder="1"/>
    <xf numFmtId="172" fontId="5" fillId="23" borderId="3" xfId="2" applyNumberFormat="1" applyFont="1" applyFill="1" applyBorder="1"/>
    <xf numFmtId="172" fontId="5" fillId="23" borderId="2" xfId="2" applyNumberFormat="1" applyFont="1" applyFill="1" applyBorder="1"/>
    <xf numFmtId="172" fontId="129" fillId="32" borderId="8" xfId="1" applyNumberFormat="1" applyFont="1" applyFill="1" applyBorder="1"/>
    <xf numFmtId="172" fontId="5" fillId="25" borderId="9" xfId="1" applyNumberFormat="1" applyFont="1" applyFill="1" applyBorder="1" applyAlignment="1">
      <alignment horizontal="right"/>
    </xf>
    <xf numFmtId="172" fontId="120" fillId="25" borderId="0" xfId="1" applyNumberFormat="1" applyFont="1" applyFill="1"/>
    <xf numFmtId="172" fontId="142" fillId="25" borderId="0" xfId="1" applyNumberFormat="1" applyFont="1" applyFill="1"/>
    <xf numFmtId="172" fontId="5" fillId="25" borderId="0" xfId="1" applyNumberFormat="1" applyFont="1" applyFill="1"/>
    <xf numFmtId="172" fontId="121" fillId="25" borderId="8" xfId="1" applyNumberFormat="1" applyFont="1" applyFill="1" applyBorder="1"/>
    <xf numFmtId="38" fontId="5" fillId="37" borderId="0" xfId="1" applyNumberFormat="1" applyFont="1" applyFill="1" applyAlignment="1">
      <alignment horizontal="right"/>
    </xf>
    <xf numFmtId="172" fontId="5" fillId="25" borderId="8" xfId="1" applyNumberFormat="1" applyFont="1" applyFill="1" applyBorder="1"/>
    <xf numFmtId="9" fontId="137" fillId="23" borderId="8" xfId="1" applyNumberFormat="1" applyFont="1" applyFill="1" applyBorder="1"/>
    <xf numFmtId="9" fontId="137" fillId="23" borderId="8" xfId="3" applyFont="1" applyFill="1" applyBorder="1" applyAlignment="1">
      <alignment horizontal="right"/>
    </xf>
    <xf numFmtId="9" fontId="7" fillId="23" borderId="0" xfId="3" applyFont="1" applyFill="1" applyBorder="1" applyAlignment="1">
      <alignment horizontal="right"/>
    </xf>
    <xf numFmtId="9" fontId="7" fillId="23" borderId="8" xfId="3" applyFont="1" applyFill="1" applyBorder="1" applyAlignment="1">
      <alignment horizontal="right"/>
    </xf>
    <xf numFmtId="9" fontId="137" fillId="23" borderId="12" xfId="1" applyNumberFormat="1" applyFont="1" applyFill="1" applyBorder="1"/>
    <xf numFmtId="9" fontId="7" fillId="23" borderId="9" xfId="3" applyFont="1" applyFill="1" applyBorder="1" applyAlignment="1">
      <alignment horizontal="right"/>
    </xf>
    <xf numFmtId="9" fontId="144" fillId="23" borderId="0" xfId="3" applyFont="1" applyFill="1" applyBorder="1" applyAlignment="1">
      <alignment horizontal="right"/>
    </xf>
    <xf numFmtId="9" fontId="126" fillId="23" borderId="0" xfId="3" applyFont="1" applyFill="1" applyBorder="1" applyAlignment="1">
      <alignment horizontal="right"/>
    </xf>
    <xf numFmtId="172" fontId="7" fillId="23" borderId="12" xfId="1" applyNumberFormat="1" applyFont="1" applyFill="1" applyBorder="1"/>
    <xf numFmtId="172" fontId="7" fillId="24" borderId="0" xfId="1" applyNumberFormat="1" applyFont="1" applyFill="1"/>
    <xf numFmtId="172" fontId="7" fillId="23" borderId="9" xfId="1" applyNumberFormat="1" applyFont="1" applyFill="1" applyBorder="1"/>
    <xf numFmtId="180" fontId="7" fillId="23" borderId="0" xfId="1" applyNumberFormat="1" applyFont="1" applyFill="1"/>
    <xf numFmtId="0" fontId="137" fillId="0" borderId="0" xfId="0" applyFont="1"/>
    <xf numFmtId="172" fontId="7" fillId="0" borderId="12" xfId="1" applyNumberFormat="1" applyFont="1" applyBorder="1"/>
    <xf numFmtId="172" fontId="115" fillId="0" borderId="0" xfId="2" applyNumberFormat="1" applyFont="1" applyFill="1" applyBorder="1"/>
    <xf numFmtId="172" fontId="7" fillId="0" borderId="9" xfId="1" applyNumberFormat="1" applyFont="1" applyBorder="1"/>
    <xf numFmtId="180" fontId="126" fillId="12" borderId="0" xfId="3" applyNumberFormat="1" applyFont="1" applyFill="1" applyBorder="1" applyAlignment="1">
      <alignment horizontal="right"/>
    </xf>
    <xf numFmtId="180" fontId="123" fillId="12" borderId="0" xfId="3" applyNumberFormat="1" applyFont="1" applyFill="1" applyBorder="1" applyAlignment="1">
      <alignment horizontal="right"/>
    </xf>
    <xf numFmtId="180" fontId="123" fillId="12" borderId="22" xfId="3" applyNumberFormat="1" applyFont="1" applyFill="1" applyBorder="1" applyAlignment="1">
      <alignment horizontal="right"/>
    </xf>
    <xf numFmtId="190" fontId="126" fillId="12" borderId="0" xfId="1" applyNumberFormat="1" applyFont="1" applyFill="1" applyAlignment="1">
      <alignment horizontal="right"/>
    </xf>
    <xf numFmtId="14" fontId="7" fillId="0" borderId="8" xfId="1" applyNumberFormat="1" applyFont="1" applyBorder="1" applyAlignment="1">
      <alignment horizontal="center"/>
    </xf>
    <xf numFmtId="0" fontId="5" fillId="0" borderId="8" xfId="132" applyFont="1" applyBorder="1" applyAlignment="1">
      <alignment horizontal="centerContinuous"/>
    </xf>
    <xf numFmtId="172" fontId="121" fillId="0" borderId="8" xfId="1" applyNumberFormat="1" applyFont="1" applyBorder="1" applyAlignment="1">
      <alignment horizontal="right"/>
    </xf>
    <xf numFmtId="174" fontId="126" fillId="0" borderId="8" xfId="1" applyNumberFormat="1" applyFont="1" applyBorder="1"/>
    <xf numFmtId="180" fontId="126" fillId="0" borderId="8" xfId="3" applyNumberFormat="1" applyFont="1" applyFill="1" applyBorder="1" applyAlignment="1">
      <alignment horizontal="right"/>
    </xf>
    <xf numFmtId="180" fontId="123" fillId="0" borderId="8" xfId="3" applyNumberFormat="1" applyFont="1" applyFill="1" applyBorder="1" applyAlignment="1">
      <alignment horizontal="right"/>
    </xf>
    <xf numFmtId="172" fontId="7" fillId="0" borderId="8" xfId="1" quotePrefix="1" applyNumberFormat="1" applyFont="1" applyBorder="1" applyAlignment="1">
      <alignment horizontal="right"/>
    </xf>
    <xf numFmtId="180" fontId="5" fillId="0" borderId="8" xfId="716" applyNumberFormat="1" applyFont="1" applyFill="1" applyBorder="1" applyAlignment="1">
      <alignment horizontal="right"/>
    </xf>
    <xf numFmtId="38" fontId="121" fillId="0" borderId="8" xfId="1" applyNumberFormat="1" applyFont="1" applyBorder="1" applyAlignment="1">
      <alignment horizontal="right"/>
    </xf>
    <xf numFmtId="180" fontId="5" fillId="0" borderId="8" xfId="716" applyNumberFormat="1" applyFont="1" applyFill="1" applyBorder="1" applyAlignment="1"/>
    <xf numFmtId="172" fontId="5" fillId="0" borderId="8" xfId="2" applyNumberFormat="1" applyFont="1" applyFill="1" applyBorder="1"/>
    <xf numFmtId="14" fontId="7" fillId="0" borderId="9" xfId="1" applyNumberFormat="1" applyFont="1" applyBorder="1" applyAlignment="1">
      <alignment horizontal="center"/>
    </xf>
    <xf numFmtId="0" fontId="5" fillId="0" borderId="9" xfId="132" applyFont="1" applyBorder="1" applyAlignment="1">
      <alignment horizontal="centerContinuous"/>
    </xf>
    <xf numFmtId="0" fontId="7" fillId="0" borderId="9" xfId="132" applyFont="1" applyBorder="1" applyAlignment="1">
      <alignment horizontal="center"/>
    </xf>
    <xf numFmtId="172" fontId="121" fillId="0" borderId="9" xfId="1" applyNumberFormat="1" applyFont="1" applyBorder="1" applyAlignment="1">
      <alignment horizontal="right"/>
    </xf>
    <xf numFmtId="174" fontId="126" fillId="0" borderId="9" xfId="1" applyNumberFormat="1" applyFont="1" applyBorder="1"/>
    <xf numFmtId="38" fontId="126" fillId="0" borderId="9" xfId="715" applyFont="1" applyFill="1" applyBorder="1" applyAlignment="1">
      <alignment horizontal="right"/>
    </xf>
    <xf numFmtId="180" fontId="126" fillId="0" borderId="9" xfId="3" applyNumberFormat="1" applyFont="1" applyFill="1" applyBorder="1" applyAlignment="1">
      <alignment horizontal="right"/>
    </xf>
    <xf numFmtId="180" fontId="7" fillId="0" borderId="9" xfId="716" applyNumberFormat="1" applyFont="1" applyFill="1" applyBorder="1" applyAlignment="1"/>
    <xf numFmtId="180" fontId="123" fillId="0" borderId="9" xfId="3" applyNumberFormat="1" applyFont="1" applyFill="1" applyBorder="1" applyAlignment="1">
      <alignment horizontal="right"/>
    </xf>
    <xf numFmtId="172" fontId="126" fillId="0" borderId="9" xfId="1" applyNumberFormat="1" applyFont="1" applyBorder="1" applyAlignment="1">
      <alignment horizontal="right"/>
    </xf>
    <xf numFmtId="180" fontId="5" fillId="0" borderId="9" xfId="716" applyNumberFormat="1" applyFont="1" applyFill="1" applyBorder="1" applyAlignment="1">
      <alignment horizontal="right"/>
    </xf>
    <xf numFmtId="172" fontId="5" fillId="0" borderId="9" xfId="1" applyNumberFormat="1" applyFont="1" applyBorder="1" applyAlignment="1">
      <alignment horizontal="right"/>
    </xf>
    <xf numFmtId="38" fontId="121" fillId="0" borderId="9" xfId="1" applyNumberFormat="1" applyFont="1" applyBorder="1" applyAlignment="1">
      <alignment horizontal="right"/>
    </xf>
    <xf numFmtId="184" fontId="126" fillId="0" borderId="9" xfId="1" applyNumberFormat="1" applyFont="1" applyBorder="1" applyAlignment="1">
      <alignment horizontal="right"/>
    </xf>
    <xf numFmtId="190" fontId="126" fillId="0" borderId="9" xfId="1" applyNumberFormat="1" applyFont="1" applyBorder="1" applyAlignment="1">
      <alignment horizontal="right"/>
    </xf>
    <xf numFmtId="180" fontId="5" fillId="0" borderId="9" xfId="716" applyNumberFormat="1" applyFont="1" applyFill="1" applyBorder="1" applyAlignment="1"/>
    <xf numFmtId="172" fontId="5" fillId="0" borderId="9" xfId="2" applyNumberFormat="1" applyFont="1" applyFill="1" applyBorder="1"/>
    <xf numFmtId="0" fontId="7" fillId="44" borderId="0" xfId="1" applyFont="1" applyFill="1" applyAlignment="1">
      <alignment horizontal="center"/>
    </xf>
    <xf numFmtId="0" fontId="7" fillId="44" borderId="8" xfId="1" applyFont="1" applyFill="1" applyBorder="1" applyAlignment="1">
      <alignment horizontal="center"/>
    </xf>
    <xf numFmtId="0" fontId="7" fillId="42" borderId="0" xfId="1" applyFont="1" applyFill="1" applyAlignment="1">
      <alignment horizontal="center"/>
    </xf>
    <xf numFmtId="14" fontId="7" fillId="12" borderId="0" xfId="1" applyNumberFormat="1" applyFont="1" applyFill="1" applyAlignment="1">
      <alignment horizontal="center"/>
    </xf>
    <xf numFmtId="0" fontId="7" fillId="44" borderId="9" xfId="1" applyFont="1" applyFill="1" applyBorder="1" applyAlignment="1">
      <alignment horizontal="center"/>
    </xf>
    <xf numFmtId="172" fontId="121" fillId="25" borderId="4" xfId="1" applyNumberFormat="1" applyFont="1" applyFill="1" applyBorder="1" applyAlignment="1">
      <alignment horizontal="right"/>
    </xf>
    <xf numFmtId="180" fontId="5" fillId="36" borderId="9" xfId="716" applyNumberFormat="1" applyFont="1" applyFill="1" applyBorder="1" applyAlignment="1">
      <alignment horizontal="right"/>
    </xf>
    <xf numFmtId="172" fontId="5" fillId="23" borderId="4" xfId="1" applyNumberFormat="1" applyFont="1" applyFill="1" applyBorder="1" applyAlignment="1">
      <alignment horizontal="right"/>
    </xf>
    <xf numFmtId="172" fontId="5" fillId="23" borderId="41" xfId="1" applyNumberFormat="1" applyFont="1" applyFill="1" applyBorder="1" applyAlignment="1">
      <alignment horizontal="right"/>
    </xf>
    <xf numFmtId="180" fontId="5" fillId="34" borderId="9" xfId="716" applyNumberFormat="1" applyFont="1" applyFill="1" applyBorder="1" applyAlignment="1"/>
    <xf numFmtId="172" fontId="5" fillId="23" borderId="4" xfId="2" applyNumberFormat="1" applyFont="1" applyFill="1" applyBorder="1"/>
    <xf numFmtId="169" fontId="7" fillId="0" borderId="0" xfId="717" applyFont="1" applyFill="1" applyBorder="1"/>
    <xf numFmtId="169" fontId="7" fillId="0" borderId="0" xfId="717" applyFont="1" applyBorder="1"/>
    <xf numFmtId="169" fontId="125" fillId="0" borderId="0" xfId="717" applyFont="1" applyFill="1" applyBorder="1"/>
    <xf numFmtId="169" fontId="126" fillId="0" borderId="0" xfId="717" applyFont="1" applyFill="1" applyBorder="1"/>
    <xf numFmtId="169" fontId="117" fillId="0" borderId="0" xfId="717" applyFont="1"/>
    <xf numFmtId="169" fontId="7" fillId="0" borderId="0" xfId="717" applyFont="1" applyFill="1" applyBorder="1" applyAlignment="1" applyProtection="1"/>
    <xf numFmtId="169" fontId="125" fillId="0" borderId="0" xfId="717" applyFont="1" applyBorder="1"/>
    <xf numFmtId="169" fontId="126" fillId="0" borderId="0" xfId="717" applyFont="1" applyBorder="1"/>
    <xf numFmtId="169" fontId="131" fillId="0" borderId="0" xfId="717" applyFont="1" applyFill="1" applyBorder="1" applyAlignment="1"/>
    <xf numFmtId="169" fontId="136" fillId="0" borderId="0" xfId="717" applyFont="1" applyFill="1" applyBorder="1"/>
    <xf numFmtId="169" fontId="137" fillId="0" borderId="0" xfId="717" applyFont="1" applyFill="1" applyBorder="1"/>
    <xf numFmtId="169" fontId="137" fillId="0" borderId="0" xfId="717" applyFont="1" applyBorder="1"/>
    <xf numFmtId="169" fontId="137" fillId="0" borderId="0" xfId="717" applyFont="1"/>
    <xf numFmtId="0" fontId="7" fillId="0" borderId="0" xfId="1" applyFont="1" applyAlignment="1">
      <alignment horizontal="center" vertical="center"/>
    </xf>
    <xf numFmtId="232" fontId="5" fillId="2" borderId="8" xfId="132" applyNumberFormat="1" applyFont="1" applyFill="1" applyBorder="1" applyAlignment="1">
      <alignment horizontal="center"/>
    </xf>
    <xf numFmtId="224" fontId="7" fillId="14" borderId="0" xfId="1" applyNumberFormat="1" applyFont="1" applyFill="1" applyAlignment="1">
      <alignment horizontal="center"/>
    </xf>
    <xf numFmtId="0" fontId="7" fillId="6" borderId="0" xfId="0" applyFont="1" applyFill="1"/>
    <xf numFmtId="0" fontId="7" fillId="6" borderId="0" xfId="1" applyFont="1" applyFill="1"/>
    <xf numFmtId="0" fontId="7" fillId="16" borderId="0" xfId="1" applyFont="1" applyFill="1"/>
    <xf numFmtId="0" fontId="7" fillId="6" borderId="8" xfId="1" applyFont="1" applyFill="1" applyBorder="1"/>
    <xf numFmtId="0" fontId="7" fillId="16" borderId="0" xfId="1" quotePrefix="1" applyFont="1" applyFill="1" applyAlignment="1">
      <alignment horizontal="right"/>
    </xf>
    <xf numFmtId="0" fontId="7" fillId="6" borderId="0" xfId="1" quotePrefix="1" applyFont="1" applyFill="1" applyAlignment="1">
      <alignment horizontal="right"/>
    </xf>
    <xf numFmtId="233" fontId="7" fillId="6" borderId="0" xfId="1" quotePrefix="1" applyNumberFormat="1" applyFont="1" applyFill="1" applyAlignment="1">
      <alignment horizontal="right"/>
    </xf>
    <xf numFmtId="233" fontId="7" fillId="6" borderId="0" xfId="1" applyNumberFormat="1" applyFont="1" applyFill="1" applyAlignment="1">
      <alignment horizontal="right"/>
    </xf>
    <xf numFmtId="233" fontId="7" fillId="6" borderId="8" xfId="1" applyNumberFormat="1" applyFont="1" applyFill="1" applyBorder="1" applyAlignment="1">
      <alignment horizontal="right"/>
    </xf>
    <xf numFmtId="233" fontId="7" fillId="0" borderId="0" xfId="1" quotePrefix="1" applyNumberFormat="1" applyFont="1" applyAlignment="1">
      <alignment horizontal="right"/>
    </xf>
    <xf numFmtId="234" fontId="7" fillId="6" borderId="0" xfId="1" applyNumberFormat="1" applyFont="1" applyFill="1"/>
    <xf numFmtId="38" fontId="7" fillId="6" borderId="0" xfId="440" applyFont="1" applyFill="1" applyBorder="1"/>
    <xf numFmtId="0" fontId="7" fillId="6" borderId="0" xfId="1" applyFont="1" applyFill="1" applyAlignment="1">
      <alignment horizontal="right"/>
    </xf>
    <xf numFmtId="0" fontId="7" fillId="6" borderId="8" xfId="1" applyFont="1" applyFill="1" applyBorder="1" applyAlignment="1">
      <alignment horizontal="right"/>
    </xf>
    <xf numFmtId="0" fontId="7" fillId="0" borderId="0" xfId="0" applyFont="1"/>
    <xf numFmtId="0" fontId="7" fillId="0" borderId="0" xfId="1" quotePrefix="1" applyFont="1" applyAlignment="1">
      <alignment horizontal="right"/>
    </xf>
    <xf numFmtId="233" fontId="7" fillId="0" borderId="8" xfId="1" quotePrefix="1" applyNumberFormat="1" applyFont="1" applyBorder="1" applyAlignment="1">
      <alignment horizontal="right"/>
    </xf>
    <xf numFmtId="3" fontId="7" fillId="0" borderId="0" xfId="1" applyNumberFormat="1" applyFont="1"/>
    <xf numFmtId="3" fontId="7" fillId="18" borderId="0" xfId="0" applyNumberFormat="1" applyFont="1" applyFill="1"/>
    <xf numFmtId="3" fontId="7" fillId="18" borderId="0" xfId="1" applyNumberFormat="1" applyFont="1" applyFill="1"/>
    <xf numFmtId="3" fontId="7" fillId="16" borderId="0" xfId="440" applyNumberFormat="1" applyFont="1" applyFill="1" applyBorder="1"/>
    <xf numFmtId="3" fontId="7" fillId="18" borderId="0" xfId="440" applyNumberFormat="1" applyFont="1" applyFill="1" applyBorder="1"/>
    <xf numFmtId="3" fontId="7" fillId="18" borderId="11" xfId="440" applyNumberFormat="1" applyFont="1" applyFill="1" applyBorder="1"/>
    <xf numFmtId="3" fontId="7" fillId="18" borderId="37" xfId="440" applyNumberFormat="1" applyFont="1" applyFill="1" applyBorder="1"/>
    <xf numFmtId="3" fontId="7" fillId="18" borderId="38" xfId="440" applyNumberFormat="1" applyFont="1" applyFill="1" applyBorder="1"/>
    <xf numFmtId="3" fontId="7" fillId="0" borderId="0" xfId="440" applyNumberFormat="1" applyFont="1" applyFill="1" applyBorder="1"/>
    <xf numFmtId="3" fontId="7" fillId="0" borderId="0" xfId="0" applyNumberFormat="1" applyFont="1"/>
    <xf numFmtId="3" fontId="7" fillId="0" borderId="3" xfId="440" applyNumberFormat="1" applyFont="1" applyFill="1" applyBorder="1"/>
    <xf numFmtId="3" fontId="7" fillId="0" borderId="2" xfId="440" applyNumberFormat="1" applyFont="1" applyFill="1" applyBorder="1"/>
    <xf numFmtId="3" fontId="7" fillId="0" borderId="6" xfId="440" applyNumberFormat="1" applyFont="1" applyFill="1" applyBorder="1"/>
    <xf numFmtId="3" fontId="7" fillId="0" borderId="5" xfId="440" applyNumberFormat="1" applyFont="1" applyFill="1" applyBorder="1"/>
    <xf numFmtId="3" fontId="7" fillId="0" borderId="8" xfId="440" applyNumberFormat="1" applyFont="1" applyFill="1" applyBorder="1"/>
    <xf numFmtId="3" fontId="7" fillId="6" borderId="0" xfId="0" applyNumberFormat="1" applyFont="1" applyFill="1"/>
    <xf numFmtId="3" fontId="7" fillId="6" borderId="0" xfId="1" applyNumberFormat="1" applyFont="1" applyFill="1"/>
    <xf numFmtId="3" fontId="7" fillId="6" borderId="0" xfId="440" applyNumberFormat="1" applyFont="1" applyFill="1" applyBorder="1"/>
    <xf numFmtId="3" fontId="7" fillId="6" borderId="8" xfId="440" applyNumberFormat="1" applyFont="1" applyFill="1" applyBorder="1"/>
    <xf numFmtId="3" fontId="7" fillId="16" borderId="3" xfId="440" applyNumberFormat="1" applyFont="1" applyFill="1" applyBorder="1"/>
    <xf numFmtId="3" fontId="7" fillId="18" borderId="3" xfId="440" applyNumberFormat="1" applyFont="1" applyFill="1" applyBorder="1"/>
    <xf numFmtId="3" fontId="7" fillId="18" borderId="2" xfId="440" applyNumberFormat="1" applyFont="1" applyFill="1" applyBorder="1"/>
    <xf numFmtId="3" fontId="137" fillId="6" borderId="0" xfId="440" applyNumberFormat="1" applyFont="1" applyFill="1" applyBorder="1"/>
    <xf numFmtId="3" fontId="138" fillId="6" borderId="0" xfId="440" applyNumberFormat="1" applyFont="1" applyFill="1" applyBorder="1"/>
    <xf numFmtId="3" fontId="138" fillId="6" borderId="8" xfId="440" applyNumberFormat="1" applyFont="1" applyFill="1" applyBorder="1"/>
    <xf numFmtId="3" fontId="7" fillId="0" borderId="0" xfId="440" applyNumberFormat="1" applyFont="1" applyFill="1" applyBorder="1" applyAlignment="1">
      <alignment horizontal="right"/>
    </xf>
    <xf numFmtId="3" fontId="7" fillId="6" borderId="0" xfId="3" applyNumberFormat="1" applyFont="1" applyFill="1" applyBorder="1"/>
    <xf numFmtId="9" fontId="7" fillId="6" borderId="0" xfId="3" applyFont="1" applyFill="1" applyBorder="1"/>
    <xf numFmtId="9" fontId="7" fillId="6" borderId="8" xfId="3" applyFont="1" applyFill="1" applyBorder="1"/>
    <xf numFmtId="3" fontId="7" fillId="18" borderId="11" xfId="0" applyNumberFormat="1" applyFont="1" applyFill="1" applyBorder="1"/>
    <xf numFmtId="3" fontId="7" fillId="18" borderId="11" xfId="1" applyNumberFormat="1" applyFont="1" applyFill="1" applyBorder="1"/>
    <xf numFmtId="3" fontId="7" fillId="16" borderId="11" xfId="440" applyNumberFormat="1" applyFont="1" applyFill="1" applyBorder="1"/>
    <xf numFmtId="223" fontId="7" fillId="16" borderId="0" xfId="440" applyNumberFormat="1" applyFont="1" applyFill="1" applyBorder="1"/>
    <xf numFmtId="223" fontId="7" fillId="6" borderId="0" xfId="440" applyNumberFormat="1" applyFont="1" applyFill="1" applyBorder="1"/>
    <xf numFmtId="223" fontId="7" fillId="6" borderId="8" xfId="440" applyNumberFormat="1" applyFont="1" applyFill="1" applyBorder="1"/>
    <xf numFmtId="223" fontId="7" fillId="0" borderId="0" xfId="440" applyNumberFormat="1" applyFont="1" applyFill="1" applyBorder="1"/>
    <xf numFmtId="38" fontId="137" fillId="6" borderId="0" xfId="440" applyFont="1" applyFill="1" applyBorder="1"/>
    <xf numFmtId="38" fontId="137" fillId="0" borderId="0" xfId="440" applyFont="1" applyFill="1" applyBorder="1"/>
    <xf numFmtId="38" fontId="138" fillId="6" borderId="0" xfId="440" applyFont="1" applyFill="1" applyBorder="1"/>
    <xf numFmtId="38" fontId="138" fillId="6" borderId="8" xfId="440" applyFont="1" applyFill="1" applyBorder="1"/>
    <xf numFmtId="38" fontId="7" fillId="16" borderId="0" xfId="440" applyFont="1" applyFill="1" applyBorder="1"/>
    <xf numFmtId="38" fontId="7" fillId="12" borderId="0" xfId="440" applyFont="1" applyFill="1" applyBorder="1"/>
    <xf numFmtId="38" fontId="7" fillId="17" borderId="0" xfId="440" applyFont="1" applyFill="1" applyBorder="1"/>
    <xf numFmtId="38" fontId="7" fillId="0" borderId="6" xfId="440" applyFont="1" applyFill="1" applyBorder="1"/>
    <xf numFmtId="38" fontId="137" fillId="6" borderId="6" xfId="440" applyFont="1" applyFill="1" applyBorder="1"/>
    <xf numFmtId="38" fontId="138" fillId="6" borderId="6" xfId="440" applyFont="1" applyFill="1" applyBorder="1"/>
    <xf numFmtId="38" fontId="138" fillId="6" borderId="5" xfId="440" applyFont="1" applyFill="1" applyBorder="1"/>
    <xf numFmtId="3" fontId="7" fillId="16" borderId="0" xfId="1" applyNumberFormat="1" applyFont="1" applyFill="1"/>
    <xf numFmtId="178" fontId="7" fillId="6" borderId="0" xfId="1" applyNumberFormat="1" applyFont="1" applyFill="1"/>
    <xf numFmtId="3" fontId="7" fillId="6" borderId="8" xfId="1" applyNumberFormat="1" applyFont="1" applyFill="1" applyBorder="1"/>
    <xf numFmtId="3" fontId="7" fillId="6" borderId="11" xfId="0" applyNumberFormat="1" applyFont="1" applyFill="1" applyBorder="1"/>
    <xf numFmtId="3" fontId="7" fillId="6" borderId="11" xfId="1" applyNumberFormat="1" applyFont="1" applyFill="1" applyBorder="1"/>
    <xf numFmtId="3" fontId="7" fillId="16" borderId="11" xfId="1" applyNumberFormat="1" applyFont="1" applyFill="1" applyBorder="1"/>
    <xf numFmtId="3" fontId="7" fillId="17" borderId="11" xfId="1" applyNumberFormat="1" applyFont="1" applyFill="1" applyBorder="1"/>
    <xf numFmtId="3" fontId="7" fillId="0" borderId="11" xfId="1" applyNumberFormat="1" applyFont="1" applyBorder="1"/>
    <xf numFmtId="3" fontId="7" fillId="0" borderId="37" xfId="1" applyNumberFormat="1" applyFont="1" applyBorder="1"/>
    <xf numFmtId="3" fontId="7" fillId="0" borderId="38" xfId="1" applyNumberFormat="1" applyFont="1" applyBorder="1"/>
    <xf numFmtId="3" fontId="7" fillId="17" borderId="0" xfId="1" applyNumberFormat="1" applyFont="1" applyFill="1"/>
    <xf numFmtId="3" fontId="7" fillId="0" borderId="8" xfId="1" applyNumberFormat="1" applyFont="1" applyBorder="1"/>
    <xf numFmtId="3" fontId="7" fillId="16" borderId="0" xfId="1" applyNumberFormat="1" applyFont="1" applyFill="1" applyAlignment="1">
      <alignment horizontal="right"/>
    </xf>
    <xf numFmtId="3" fontId="7" fillId="17" borderId="0" xfId="1" applyNumberFormat="1" applyFont="1" applyFill="1" applyAlignment="1">
      <alignment horizontal="right"/>
    </xf>
    <xf numFmtId="3" fontId="7" fillId="0" borderId="0" xfId="1" applyNumberFormat="1" applyFont="1" applyAlignment="1">
      <alignment horizontal="right"/>
    </xf>
    <xf numFmtId="3" fontId="7" fillId="6" borderId="0" xfId="1" applyNumberFormat="1" applyFont="1" applyFill="1" applyAlignment="1">
      <alignment horizontal="right"/>
    </xf>
    <xf numFmtId="3" fontId="7" fillId="6" borderId="8" xfId="1" applyNumberFormat="1" applyFont="1" applyFill="1" applyBorder="1" applyAlignment="1">
      <alignment horizontal="right"/>
    </xf>
    <xf numFmtId="178" fontId="7" fillId="0" borderId="0" xfId="1" applyNumberFormat="1" applyFont="1"/>
    <xf numFmtId="178" fontId="7" fillId="0" borderId="0" xfId="0" applyNumberFormat="1" applyFont="1"/>
    <xf numFmtId="178" fontId="7" fillId="0" borderId="0" xfId="440" applyNumberFormat="1" applyFont="1" applyFill="1" applyBorder="1"/>
    <xf numFmtId="178" fontId="7" fillId="0" borderId="8" xfId="1" applyNumberFormat="1" applyFont="1" applyBorder="1"/>
    <xf numFmtId="178" fontId="7" fillId="18" borderId="0" xfId="0" applyNumberFormat="1" applyFont="1" applyFill="1"/>
    <xf numFmtId="178" fontId="7" fillId="18" borderId="0" xfId="1" applyNumberFormat="1" applyFont="1" applyFill="1"/>
    <xf numFmtId="178" fontId="7" fillId="16" borderId="0" xfId="440" applyNumberFormat="1" applyFont="1" applyFill="1" applyBorder="1"/>
    <xf numFmtId="178" fontId="7" fillId="18" borderId="0" xfId="440" applyNumberFormat="1" applyFont="1" applyFill="1" applyBorder="1"/>
    <xf numFmtId="178" fontId="7" fillId="18" borderId="8" xfId="1" applyNumberFormat="1" applyFont="1" applyFill="1" applyBorder="1"/>
    <xf numFmtId="178" fontId="7" fillId="6" borderId="0" xfId="0" applyNumberFormat="1" applyFont="1" applyFill="1"/>
    <xf numFmtId="178" fontId="7" fillId="16" borderId="0" xfId="1" applyNumberFormat="1" applyFont="1" applyFill="1"/>
    <xf numFmtId="178" fontId="7" fillId="6" borderId="8" xfId="1" applyNumberFormat="1" applyFont="1" applyFill="1" applyBorder="1"/>
    <xf numFmtId="178" fontId="7" fillId="16" borderId="0" xfId="3" applyNumberFormat="1" applyFont="1" applyFill="1" applyBorder="1"/>
    <xf numFmtId="178" fontId="7" fillId="6" borderId="0" xfId="3" applyNumberFormat="1" applyFont="1" applyFill="1" applyBorder="1"/>
    <xf numFmtId="178" fontId="7" fillId="6" borderId="8" xfId="3" applyNumberFormat="1" applyFont="1" applyFill="1" applyBorder="1"/>
    <xf numFmtId="178" fontId="7" fillId="0" borderId="0" xfId="3" applyNumberFormat="1" applyFont="1" applyFill="1" applyBorder="1"/>
    <xf numFmtId="178" fontId="7" fillId="6" borderId="0" xfId="440" applyNumberFormat="1" applyFont="1" applyFill="1" applyBorder="1"/>
    <xf numFmtId="178" fontId="7" fillId="6" borderId="8" xfId="440" applyNumberFormat="1" applyFont="1" applyFill="1" applyBorder="1"/>
    <xf numFmtId="0" fontId="7" fillId="6" borderId="6" xfId="0" applyFont="1" applyFill="1" applyBorder="1"/>
    <xf numFmtId="178" fontId="7" fillId="6" borderId="6" xfId="1" applyNumberFormat="1" applyFont="1" applyFill="1" applyBorder="1"/>
    <xf numFmtId="0" fontId="7" fillId="16" borderId="6" xfId="1" applyFont="1" applyFill="1" applyBorder="1"/>
    <xf numFmtId="0" fontId="7" fillId="6" borderId="6" xfId="1" applyFont="1" applyFill="1" applyBorder="1"/>
    <xf numFmtId="178" fontId="7" fillId="6" borderId="6" xfId="440" applyNumberFormat="1" applyFont="1" applyFill="1" applyBorder="1"/>
    <xf numFmtId="178" fontId="7" fillId="6" borderId="5" xfId="440" applyNumberFormat="1" applyFont="1" applyFill="1" applyBorder="1"/>
    <xf numFmtId="178" fontId="7" fillId="0" borderId="11" xfId="0" applyNumberFormat="1" applyFont="1" applyBorder="1"/>
    <xf numFmtId="178" fontId="7" fillId="0" borderId="11" xfId="1" applyNumberFormat="1" applyFont="1" applyBorder="1"/>
    <xf numFmtId="178" fontId="7" fillId="0" borderId="11" xfId="3" applyNumberFormat="1" applyFont="1" applyFill="1" applyBorder="1"/>
    <xf numFmtId="178" fontId="7" fillId="0" borderId="37" xfId="3" applyNumberFormat="1" applyFont="1" applyFill="1" applyBorder="1"/>
    <xf numFmtId="178" fontId="138" fillId="0" borderId="37" xfId="3" applyNumberFormat="1" applyFont="1" applyFill="1" applyBorder="1"/>
    <xf numFmtId="178" fontId="138" fillId="0" borderId="38" xfId="3" applyNumberFormat="1" applyFont="1" applyFill="1" applyBorder="1"/>
    <xf numFmtId="178" fontId="7" fillId="0" borderId="8" xfId="3" applyNumberFormat="1" applyFont="1" applyFill="1" applyBorder="1"/>
    <xf numFmtId="178" fontId="7" fillId="0" borderId="6" xfId="0" applyNumberFormat="1" applyFont="1" applyBorder="1"/>
    <xf numFmtId="178" fontId="7" fillId="0" borderId="6" xfId="1" applyNumberFormat="1" applyFont="1" applyBorder="1"/>
    <xf numFmtId="178" fontId="7" fillId="0" borderId="6" xfId="3" applyNumberFormat="1" applyFont="1" applyFill="1" applyBorder="1"/>
    <xf numFmtId="178" fontId="7" fillId="0" borderId="5" xfId="3" applyNumberFormat="1" applyFont="1" applyFill="1" applyBorder="1"/>
    <xf numFmtId="178" fontId="7" fillId="0" borderId="38" xfId="3" applyNumberFormat="1" applyFont="1" applyFill="1" applyBorder="1"/>
    <xf numFmtId="38" fontId="123" fillId="0" borderId="0" xfId="440" applyFont="1" applyFill="1" applyBorder="1"/>
    <xf numFmtId="38" fontId="7" fillId="0" borderId="8" xfId="440" applyFont="1" applyFill="1" applyBorder="1"/>
    <xf numFmtId="0" fontId="7" fillId="0" borderId="11" xfId="1" applyFont="1" applyBorder="1"/>
    <xf numFmtId="0" fontId="7" fillId="0" borderId="11" xfId="0" applyFont="1" applyBorder="1"/>
    <xf numFmtId="38" fontId="7" fillId="0" borderId="11" xfId="440" applyFont="1" applyFill="1" applyBorder="1"/>
    <xf numFmtId="180" fontId="7" fillId="0" borderId="11" xfId="3" applyNumberFormat="1" applyFont="1" applyFill="1" applyBorder="1"/>
    <xf numFmtId="180" fontId="7" fillId="0" borderId="37" xfId="3" applyNumberFormat="1" applyFont="1" applyFill="1" applyBorder="1"/>
    <xf numFmtId="180" fontId="7" fillId="0" borderId="38" xfId="3" applyNumberFormat="1" applyFont="1" applyFill="1" applyBorder="1"/>
    <xf numFmtId="0" fontId="123" fillId="0" borderId="0" xfId="1" applyFont="1"/>
    <xf numFmtId="0" fontId="7" fillId="0" borderId="6" xfId="0" applyFont="1" applyBorder="1"/>
    <xf numFmtId="38" fontId="7" fillId="0" borderId="5" xfId="440" applyFont="1" applyFill="1" applyBorder="1"/>
    <xf numFmtId="38" fontId="7" fillId="0" borderId="0" xfId="440" quotePrefix="1" applyFont="1" applyFill="1" applyBorder="1"/>
    <xf numFmtId="180" fontId="123" fillId="0" borderId="0" xfId="3" applyNumberFormat="1" applyFont="1" applyFill="1" applyBorder="1"/>
    <xf numFmtId="38" fontId="7" fillId="0" borderId="21" xfId="440" applyFont="1" applyFill="1" applyBorder="1"/>
    <xf numFmtId="180" fontId="7" fillId="6" borderId="0" xfId="3" applyNumberFormat="1" applyFont="1" applyFill="1" applyBorder="1"/>
    <xf numFmtId="180" fontId="7" fillId="6" borderId="8" xfId="3" applyNumberFormat="1" applyFont="1" applyFill="1" applyBorder="1"/>
    <xf numFmtId="38" fontId="7" fillId="34" borderId="0" xfId="440" applyFont="1" applyFill="1" applyBorder="1"/>
    <xf numFmtId="38" fontId="7" fillId="0" borderId="0" xfId="440" applyFont="1" applyFill="1" applyBorder="1" applyAlignment="1">
      <alignment horizontal="left" indent="1"/>
    </xf>
    <xf numFmtId="38" fontId="7" fillId="0" borderId="0" xfId="441" applyNumberFormat="1" applyFont="1" applyAlignment="1">
      <alignment horizontal="left" indent="1"/>
    </xf>
    <xf numFmtId="38" fontId="7" fillId="0" borderId="6" xfId="440" applyFont="1" applyFill="1" applyBorder="1" applyAlignment="1">
      <alignment horizontal="left" indent="1"/>
    </xf>
    <xf numFmtId="180" fontId="7" fillId="0" borderId="6" xfId="3" applyNumberFormat="1" applyFont="1" applyFill="1" applyBorder="1"/>
    <xf numFmtId="180" fontId="7" fillId="0" borderId="5" xfId="3" applyNumberFormat="1" applyFont="1" applyFill="1" applyBorder="1"/>
    <xf numFmtId="0" fontId="7" fillId="16" borderId="0" xfId="1" applyFont="1" applyFill="1" applyAlignment="1">
      <alignment horizontal="right"/>
    </xf>
    <xf numFmtId="233" fontId="7" fillId="6" borderId="0" xfId="1" applyNumberFormat="1" applyFont="1" applyFill="1" applyAlignment="1">
      <alignment horizontal="left"/>
    </xf>
    <xf numFmtId="233" fontId="7" fillId="0" borderId="0" xfId="1" applyNumberFormat="1" applyFont="1" applyAlignment="1">
      <alignment horizontal="right"/>
    </xf>
    <xf numFmtId="3" fontId="7" fillId="20" borderId="11" xfId="440" applyNumberFormat="1" applyFont="1" applyFill="1" applyBorder="1"/>
    <xf numFmtId="3" fontId="7" fillId="20" borderId="0" xfId="440" applyNumberFormat="1" applyFont="1" applyFill="1" applyBorder="1"/>
    <xf numFmtId="3" fontId="7" fillId="18" borderId="8" xfId="440" applyNumberFormat="1" applyFont="1" applyFill="1" applyBorder="1"/>
    <xf numFmtId="38" fontId="7" fillId="20" borderId="0" xfId="440" applyFont="1" applyFill="1" applyBorder="1"/>
    <xf numFmtId="38" fontId="7" fillId="6" borderId="8" xfId="440" applyFont="1" applyFill="1" applyBorder="1"/>
    <xf numFmtId="3" fontId="138" fillId="0" borderId="0" xfId="440" applyNumberFormat="1" applyFont="1" applyFill="1" applyBorder="1"/>
    <xf numFmtId="3" fontId="7" fillId="16" borderId="0" xfId="440" quotePrefix="1" applyNumberFormat="1" applyFont="1" applyFill="1" applyBorder="1" applyAlignment="1">
      <alignment horizontal="right"/>
    </xf>
    <xf numFmtId="3" fontId="7" fillId="16" borderId="0" xfId="440" applyNumberFormat="1" applyFont="1" applyFill="1" applyBorder="1" applyAlignment="1">
      <alignment horizontal="right"/>
    </xf>
    <xf numFmtId="3" fontId="7" fillId="6" borderId="0" xfId="440" applyNumberFormat="1" applyFont="1" applyFill="1" applyBorder="1" applyAlignment="1">
      <alignment horizontal="right"/>
    </xf>
    <xf numFmtId="3" fontId="7" fillId="6" borderId="0" xfId="440" quotePrefix="1" applyNumberFormat="1" applyFont="1" applyFill="1" applyBorder="1" applyAlignment="1">
      <alignment horizontal="right"/>
    </xf>
    <xf numFmtId="3" fontId="7" fillId="19" borderId="6" xfId="0" applyNumberFormat="1" applyFont="1" applyFill="1" applyBorder="1"/>
    <xf numFmtId="3" fontId="7" fillId="19" borderId="6" xfId="1" applyNumberFormat="1" applyFont="1" applyFill="1" applyBorder="1"/>
    <xf numFmtId="3" fontId="7" fillId="16" borderId="6" xfId="440" applyNumberFormat="1" applyFont="1" applyFill="1" applyBorder="1"/>
    <xf numFmtId="3" fontId="7" fillId="19" borderId="6" xfId="440" applyNumberFormat="1" applyFont="1" applyFill="1" applyBorder="1"/>
    <xf numFmtId="3" fontId="7" fillId="20" borderId="6" xfId="440" applyNumberFormat="1" applyFont="1" applyFill="1" applyBorder="1"/>
    <xf numFmtId="3" fontId="7" fillId="19" borderId="5" xfId="440" applyNumberFormat="1" applyFont="1" applyFill="1" applyBorder="1"/>
    <xf numFmtId="9" fontId="7" fillId="0" borderId="8" xfId="440" applyNumberFormat="1" applyFont="1" applyFill="1" applyBorder="1"/>
    <xf numFmtId="9" fontId="7" fillId="0" borderId="0" xfId="440" applyNumberFormat="1" applyFont="1" applyFill="1" applyBorder="1"/>
    <xf numFmtId="3" fontId="7" fillId="0" borderId="6" xfId="1" applyNumberFormat="1" applyFont="1" applyBorder="1"/>
    <xf numFmtId="3" fontId="7" fillId="0" borderId="6" xfId="0" applyNumberFormat="1" applyFont="1" applyBorder="1"/>
    <xf numFmtId="3" fontId="7" fillId="32" borderId="0" xfId="0" applyNumberFormat="1" applyFont="1" applyFill="1"/>
    <xf numFmtId="0" fontId="7" fillId="32" borderId="0" xfId="1" applyFont="1" applyFill="1"/>
    <xf numFmtId="3" fontId="7" fillId="32" borderId="0" xfId="440" applyNumberFormat="1" applyFont="1" applyFill="1" applyBorder="1"/>
    <xf numFmtId="38" fontId="7" fillId="32" borderId="0" xfId="440" applyFont="1" applyFill="1" applyBorder="1"/>
    <xf numFmtId="38" fontId="7" fillId="32" borderId="8" xfId="440" applyFont="1" applyFill="1" applyBorder="1"/>
    <xf numFmtId="3" fontId="7" fillId="34" borderId="0" xfId="0" applyNumberFormat="1" applyFont="1" applyFill="1"/>
    <xf numFmtId="0" fontId="7" fillId="34" borderId="0" xfId="1" applyFont="1" applyFill="1"/>
    <xf numFmtId="3" fontId="7" fillId="34" borderId="0" xfId="440" applyNumberFormat="1" applyFont="1" applyFill="1" applyBorder="1"/>
    <xf numFmtId="38" fontId="7" fillId="34" borderId="8" xfId="440" applyFont="1" applyFill="1" applyBorder="1"/>
    <xf numFmtId="223" fontId="7" fillId="0" borderId="8" xfId="440" applyNumberFormat="1" applyFont="1" applyFill="1" applyBorder="1"/>
    <xf numFmtId="3" fontId="7" fillId="12" borderId="0" xfId="440" applyNumberFormat="1" applyFont="1" applyFill="1" applyBorder="1"/>
    <xf numFmtId="233" fontId="7" fillId="0" borderId="0" xfId="440" applyNumberFormat="1" applyFont="1" applyFill="1" applyBorder="1" applyAlignment="1">
      <alignment horizontal="right"/>
    </xf>
    <xf numFmtId="38" fontId="7" fillId="0" borderId="0" xfId="440" applyFont="1" applyFill="1" applyBorder="1" applyAlignment="1">
      <alignment horizontal="right"/>
    </xf>
    <xf numFmtId="233" fontId="7" fillId="0" borderId="8" xfId="1" applyNumberFormat="1" applyFont="1" applyBorder="1" applyAlignment="1">
      <alignment horizontal="right"/>
    </xf>
    <xf numFmtId="3" fontId="7" fillId="0" borderId="11" xfId="0" applyNumberFormat="1" applyFont="1" applyBorder="1"/>
    <xf numFmtId="3" fontId="7" fillId="0" borderId="11" xfId="440" applyNumberFormat="1" applyFont="1" applyFill="1" applyBorder="1"/>
    <xf numFmtId="3" fontId="7" fillId="0" borderId="37" xfId="440" applyNumberFormat="1" applyFont="1" applyFill="1" applyBorder="1"/>
    <xf numFmtId="3" fontId="7" fillId="0" borderId="38" xfId="440" applyNumberFormat="1" applyFont="1" applyFill="1" applyBorder="1"/>
    <xf numFmtId="0" fontId="7" fillId="0" borderId="0" xfId="1" applyFont="1" applyAlignment="1">
      <alignment horizontal="right"/>
    </xf>
    <xf numFmtId="3" fontId="7" fillId="0" borderId="11" xfId="1" applyNumberFormat="1" applyFont="1" applyBorder="1" applyAlignment="1">
      <alignment horizontal="right"/>
    </xf>
    <xf numFmtId="38" fontId="138" fillId="0" borderId="0" xfId="440" applyFont="1" applyFill="1" applyBorder="1"/>
    <xf numFmtId="38" fontId="138" fillId="0" borderId="8" xfId="440" applyFont="1" applyFill="1" applyBorder="1"/>
    <xf numFmtId="3" fontId="7" fillId="0" borderId="6" xfId="440" applyNumberFormat="1" applyFont="1" applyFill="1" applyBorder="1" applyAlignment="1">
      <alignment horizontal="right"/>
    </xf>
    <xf numFmtId="3" fontId="7" fillId="0" borderId="3" xfId="0" applyNumberFormat="1" applyFont="1" applyBorder="1"/>
    <xf numFmtId="3" fontId="7" fillId="0" borderId="3" xfId="1" applyNumberFormat="1" applyFont="1" applyBorder="1"/>
    <xf numFmtId="223" fontId="7" fillId="0" borderId="3" xfId="440" applyNumberFormat="1" applyFont="1" applyFill="1" applyBorder="1"/>
    <xf numFmtId="3" fontId="138" fillId="0" borderId="3" xfId="440" applyNumberFormat="1" applyFont="1" applyFill="1" applyBorder="1"/>
    <xf numFmtId="3" fontId="138" fillId="0" borderId="2" xfId="440" applyNumberFormat="1" applyFont="1" applyFill="1" applyBorder="1"/>
    <xf numFmtId="178" fontId="7" fillId="0" borderId="8" xfId="440" applyNumberFormat="1" applyFont="1" applyFill="1" applyBorder="1"/>
    <xf numFmtId="3" fontId="7" fillId="0" borderId="11" xfId="440" applyNumberFormat="1" applyFont="1" applyFill="1" applyBorder="1" applyAlignment="1">
      <alignment horizontal="right"/>
    </xf>
    <xf numFmtId="223" fontId="7" fillId="0" borderId="11" xfId="440" applyNumberFormat="1" applyFont="1" applyFill="1" applyBorder="1"/>
    <xf numFmtId="223" fontId="7" fillId="0" borderId="37" xfId="440" applyNumberFormat="1" applyFont="1" applyFill="1" applyBorder="1"/>
    <xf numFmtId="223" fontId="7" fillId="0" borderId="38" xfId="440" applyNumberFormat="1" applyFont="1" applyFill="1" applyBorder="1"/>
    <xf numFmtId="223" fontId="7" fillId="0" borderId="6" xfId="440" applyNumberFormat="1" applyFont="1" applyFill="1" applyBorder="1"/>
    <xf numFmtId="223" fontId="7" fillId="0" borderId="5" xfId="440" applyNumberFormat="1" applyFont="1" applyFill="1" applyBorder="1"/>
    <xf numFmtId="0" fontId="74" fillId="0" borderId="0" xfId="0" applyFont="1"/>
    <xf numFmtId="0" fontId="74" fillId="0" borderId="3" xfId="0" applyFont="1" applyBorder="1"/>
    <xf numFmtId="0" fontId="7" fillId="0" borderId="3" xfId="1" applyFont="1" applyBorder="1"/>
    <xf numFmtId="38" fontId="7" fillId="0" borderId="3" xfId="440" applyFont="1" applyFill="1" applyBorder="1"/>
    <xf numFmtId="38" fontId="7" fillId="0" borderId="2" xfId="440" applyFont="1" applyFill="1" applyBorder="1"/>
    <xf numFmtId="38" fontId="7" fillId="0" borderId="8" xfId="1" applyNumberFormat="1" applyFont="1" applyBorder="1"/>
    <xf numFmtId="38" fontId="7" fillId="0" borderId="3" xfId="1" applyNumberFormat="1" applyFont="1" applyBorder="1"/>
    <xf numFmtId="38" fontId="7" fillId="0" borderId="2" xfId="1" applyNumberFormat="1" applyFont="1" applyBorder="1"/>
    <xf numFmtId="0" fontId="7" fillId="0" borderId="2" xfId="1" applyFont="1" applyBorder="1"/>
    <xf numFmtId="0" fontId="74" fillId="0" borderId="11" xfId="0" applyFont="1" applyBorder="1"/>
    <xf numFmtId="0" fontId="74" fillId="0" borderId="6" xfId="0" applyFont="1" applyBorder="1"/>
    <xf numFmtId="9" fontId="7" fillId="0" borderId="6" xfId="3" applyFont="1" applyFill="1" applyBorder="1"/>
    <xf numFmtId="9" fontId="7" fillId="0" borderId="5" xfId="3" applyFont="1" applyFill="1" applyBorder="1"/>
    <xf numFmtId="9" fontId="7" fillId="0" borderId="11" xfId="3" applyFont="1" applyFill="1" applyBorder="1"/>
    <xf numFmtId="9" fontId="7" fillId="0" borderId="37" xfId="3" applyFont="1" applyFill="1" applyBorder="1"/>
    <xf numFmtId="9" fontId="7" fillId="0" borderId="38" xfId="3" applyFont="1" applyFill="1" applyBorder="1"/>
    <xf numFmtId="180" fontId="7" fillId="0" borderId="11" xfId="1" applyNumberFormat="1" applyFont="1" applyBorder="1"/>
    <xf numFmtId="180" fontId="7" fillId="0" borderId="6" xfId="1" applyNumberFormat="1" applyFont="1" applyBorder="1"/>
    <xf numFmtId="0" fontId="148" fillId="0" borderId="0" xfId="1" applyFont="1"/>
    <xf numFmtId="0" fontId="148" fillId="0" borderId="0" xfId="0" applyFont="1"/>
    <xf numFmtId="0" fontId="148" fillId="0" borderId="8" xfId="1" applyFont="1" applyBorder="1"/>
    <xf numFmtId="38" fontId="7" fillId="0" borderId="0" xfId="440" quotePrefix="1" applyFont="1" applyFill="1" applyBorder="1" applyAlignment="1">
      <alignment horizontal="right"/>
    </xf>
    <xf numFmtId="178" fontId="7" fillId="0" borderId="0" xfId="440" applyNumberFormat="1" applyFont="1" applyFill="1" applyBorder="1" applyAlignment="1">
      <alignment horizontal="right"/>
    </xf>
    <xf numFmtId="178" fontId="7" fillId="0" borderId="0" xfId="1" applyNumberFormat="1" applyFont="1" applyAlignment="1">
      <alignment horizontal="right"/>
    </xf>
    <xf numFmtId="178" fontId="7" fillId="0" borderId="6" xfId="440" applyNumberFormat="1" applyFont="1" applyFill="1" applyBorder="1"/>
    <xf numFmtId="38" fontId="7" fillId="0" borderId="37" xfId="440" applyFont="1" applyFill="1" applyBorder="1"/>
    <xf numFmtId="38" fontId="7" fillId="0" borderId="38" xfId="440" applyFont="1" applyFill="1" applyBorder="1"/>
    <xf numFmtId="3" fontId="7" fillId="0" borderId="6" xfId="1" applyNumberFormat="1" applyFont="1" applyBorder="1" applyAlignment="1">
      <alignment horizontal="right"/>
    </xf>
    <xf numFmtId="178" fontId="7" fillId="0" borderId="5" xfId="1" applyNumberFormat="1" applyFont="1" applyBorder="1"/>
    <xf numFmtId="38" fontId="7" fillId="0" borderId="0" xfId="2" applyNumberFormat="1" applyFont="1" applyFill="1" applyBorder="1"/>
    <xf numFmtId="38" fontId="7" fillId="0" borderId="6" xfId="2" applyNumberFormat="1" applyFont="1" applyFill="1" applyBorder="1"/>
    <xf numFmtId="38" fontId="7" fillId="0" borderId="11" xfId="440" applyFont="1" applyFill="1" applyBorder="1" applyAlignment="1">
      <alignment horizontal="right"/>
    </xf>
    <xf numFmtId="3" fontId="7" fillId="0" borderId="5" xfId="1" applyNumberFormat="1" applyFont="1" applyBorder="1"/>
    <xf numFmtId="3" fontId="7" fillId="0" borderId="8" xfId="1" applyNumberFormat="1" applyFont="1" applyBorder="1" applyAlignment="1">
      <alignment horizontal="right"/>
    </xf>
    <xf numFmtId="178" fontId="7" fillId="0" borderId="37" xfId="1" applyNumberFormat="1" applyFont="1" applyBorder="1"/>
    <xf numFmtId="178" fontId="7" fillId="0" borderId="38" xfId="1" applyNumberFormat="1" applyFont="1" applyBorder="1"/>
    <xf numFmtId="3" fontId="7" fillId="0" borderId="0" xfId="0" applyNumberFormat="1" applyFont="1" applyAlignment="1">
      <alignment horizontal="right"/>
    </xf>
    <xf numFmtId="0" fontId="7" fillId="0" borderId="11" xfId="0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38" fontId="7" fillId="0" borderId="11" xfId="440" applyFont="1" applyFill="1" applyBorder="1" applyAlignment="1">
      <alignment vertical="center"/>
    </xf>
    <xf numFmtId="0" fontId="7" fillId="0" borderId="37" xfId="1" applyFont="1" applyBorder="1" applyAlignment="1">
      <alignment vertical="center"/>
    </xf>
    <xf numFmtId="0" fontId="7" fillId="0" borderId="38" xfId="1" applyFont="1" applyBorder="1" applyAlignment="1">
      <alignment vertical="center"/>
    </xf>
    <xf numFmtId="38" fontId="7" fillId="0" borderId="0" xfId="440" applyFont="1" applyFill="1" applyBorder="1" applyAlignment="1">
      <alignment vertical="center"/>
    </xf>
    <xf numFmtId="38" fontId="7" fillId="0" borderId="8" xfId="440" applyFont="1" applyFill="1" applyBorder="1" applyAlignment="1">
      <alignment vertical="center"/>
    </xf>
    <xf numFmtId="38" fontId="7" fillId="0" borderId="6" xfId="440" applyFont="1" applyFill="1" applyBorder="1" applyAlignment="1">
      <alignment vertical="center"/>
    </xf>
    <xf numFmtId="38" fontId="7" fillId="0" borderId="5" xfId="440" applyFont="1" applyFill="1" applyBorder="1" applyAlignment="1">
      <alignment vertical="center"/>
    </xf>
    <xf numFmtId="38" fontId="7" fillId="0" borderId="37" xfId="440" applyFont="1" applyFill="1" applyBorder="1" applyAlignment="1">
      <alignment vertical="center"/>
    </xf>
    <xf numFmtId="38" fontId="7" fillId="0" borderId="38" xfId="440" applyFont="1" applyFill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1" applyFont="1" applyAlignment="1">
      <alignment vertical="center"/>
    </xf>
    <xf numFmtId="0" fontId="7" fillId="0" borderId="8" xfId="1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6" xfId="1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3" xfId="1" applyFont="1" applyBorder="1" applyAlignment="1">
      <alignment vertical="center"/>
    </xf>
    <xf numFmtId="3" fontId="7" fillId="0" borderId="3" xfId="1" applyNumberFormat="1" applyFont="1" applyBorder="1" applyAlignment="1">
      <alignment vertical="center"/>
    </xf>
    <xf numFmtId="3" fontId="7" fillId="0" borderId="2" xfId="1" applyNumberFormat="1" applyFont="1" applyBorder="1" applyAlignment="1">
      <alignment vertical="center"/>
    </xf>
    <xf numFmtId="223" fontId="7" fillId="0" borderId="11" xfId="440" applyNumberFormat="1" applyFont="1" applyFill="1" applyBorder="1" applyAlignment="1">
      <alignment vertical="center"/>
    </xf>
    <xf numFmtId="223" fontId="7" fillId="0" borderId="0" xfId="440" applyNumberFormat="1" applyFont="1" applyFill="1" applyBorder="1" applyAlignment="1">
      <alignment vertical="center"/>
    </xf>
    <xf numFmtId="223" fontId="7" fillId="0" borderId="6" xfId="440" applyNumberFormat="1" applyFont="1" applyFill="1" applyBorder="1" applyAlignment="1">
      <alignment vertical="center"/>
    </xf>
    <xf numFmtId="223" fontId="7" fillId="0" borderId="5" xfId="440" applyNumberFormat="1" applyFont="1" applyFill="1" applyBorder="1" applyAlignment="1">
      <alignment vertical="center"/>
    </xf>
    <xf numFmtId="178" fontId="7" fillId="0" borderId="0" xfId="1" applyNumberFormat="1" applyFont="1" applyAlignment="1">
      <alignment vertical="center"/>
    </xf>
    <xf numFmtId="178" fontId="7" fillId="0" borderId="8" xfId="1" applyNumberFormat="1" applyFont="1" applyBorder="1" applyAlignment="1">
      <alignment vertical="center"/>
    </xf>
    <xf numFmtId="0" fontId="7" fillId="0" borderId="5" xfId="1" applyFont="1" applyBorder="1" applyAlignment="1">
      <alignment vertical="center"/>
    </xf>
    <xf numFmtId="223" fontId="7" fillId="0" borderId="37" xfId="440" applyNumberFormat="1" applyFont="1" applyFill="1" applyBorder="1" applyAlignment="1">
      <alignment vertical="center"/>
    </xf>
    <xf numFmtId="223" fontId="7" fillId="0" borderId="38" xfId="440" applyNumberFormat="1" applyFont="1" applyFill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223" fontId="7" fillId="0" borderId="10" xfId="440" applyNumberFormat="1" applyFont="1" applyFill="1" applyBorder="1" applyAlignment="1">
      <alignment vertical="center"/>
    </xf>
    <xf numFmtId="223" fontId="7" fillId="0" borderId="33" xfId="440" applyNumberFormat="1" applyFont="1" applyFill="1" applyBorder="1" applyAlignment="1">
      <alignment vertical="center"/>
    </xf>
    <xf numFmtId="38" fontId="7" fillId="0" borderId="10" xfId="1" applyNumberFormat="1" applyFont="1" applyBorder="1" applyAlignment="1">
      <alignment vertical="center"/>
    </xf>
    <xf numFmtId="38" fontId="7" fillId="0" borderId="33" xfId="1" applyNumberFormat="1" applyFont="1" applyBorder="1" applyAlignment="1">
      <alignment vertical="center"/>
    </xf>
    <xf numFmtId="38" fontId="7" fillId="0" borderId="20" xfId="440" applyFont="1" applyFill="1" applyBorder="1" applyAlignment="1">
      <alignment vertical="center"/>
    </xf>
    <xf numFmtId="38" fontId="7" fillId="0" borderId="3" xfId="440" applyFont="1" applyFill="1" applyBorder="1" applyAlignment="1">
      <alignment vertical="center"/>
    </xf>
    <xf numFmtId="0" fontId="7" fillId="0" borderId="10" xfId="0" applyFont="1" applyBorder="1"/>
    <xf numFmtId="0" fontId="7" fillId="0" borderId="10" xfId="1" applyFont="1" applyBorder="1"/>
    <xf numFmtId="0" fontId="7" fillId="0" borderId="18" xfId="0" applyFont="1" applyBorder="1" applyAlignment="1">
      <alignment horizontal="left" vertical="center"/>
    </xf>
    <xf numFmtId="0" fontId="7" fillId="0" borderId="18" xfId="1" applyFont="1" applyBorder="1" applyAlignment="1">
      <alignment horizontal="left" vertical="center"/>
    </xf>
    <xf numFmtId="180" fontId="7" fillId="0" borderId="18" xfId="3" applyNumberFormat="1" applyFont="1" applyFill="1" applyBorder="1" applyAlignment="1">
      <alignment vertical="center"/>
    </xf>
    <xf numFmtId="180" fontId="7" fillId="0" borderId="35" xfId="3" applyNumberFormat="1" applyFont="1" applyFill="1" applyBorder="1" applyAlignment="1">
      <alignment vertical="center"/>
    </xf>
    <xf numFmtId="180" fontId="7" fillId="0" borderId="10" xfId="3" applyNumberFormat="1" applyFont="1" applyFill="1" applyBorder="1" applyAlignment="1">
      <alignment horizontal="left" vertical="center"/>
    </xf>
    <xf numFmtId="180" fontId="7" fillId="0" borderId="10" xfId="3" applyNumberFormat="1" applyFont="1" applyFill="1" applyBorder="1" applyAlignment="1">
      <alignment vertical="center"/>
    </xf>
    <xf numFmtId="180" fontId="7" fillId="0" borderId="33" xfId="3" applyNumberFormat="1" applyFont="1" applyFill="1" applyBorder="1" applyAlignment="1">
      <alignment vertical="center"/>
    </xf>
    <xf numFmtId="0" fontId="7" fillId="0" borderId="10" xfId="0" applyFont="1" applyBorder="1" applyAlignment="1">
      <alignment horizontal="left" vertical="center"/>
    </xf>
    <xf numFmtId="0" fontId="7" fillId="0" borderId="10" xfId="1" applyFont="1" applyBorder="1" applyAlignment="1">
      <alignment horizontal="left" vertical="center"/>
    </xf>
    <xf numFmtId="0" fontId="7" fillId="0" borderId="33" xfId="1" applyFont="1" applyBorder="1" applyAlignment="1">
      <alignment vertical="center"/>
    </xf>
    <xf numFmtId="0" fontId="7" fillId="0" borderId="19" xfId="0" applyFont="1" applyBorder="1" applyAlignment="1">
      <alignment horizontal="left" vertical="center"/>
    </xf>
    <xf numFmtId="0" fontId="7" fillId="0" borderId="19" xfId="1" applyFont="1" applyBorder="1" applyAlignment="1">
      <alignment horizontal="left" vertical="center"/>
    </xf>
    <xf numFmtId="180" fontId="7" fillId="0" borderId="19" xfId="3" applyNumberFormat="1" applyFont="1" applyFill="1" applyBorder="1" applyAlignment="1">
      <alignment vertical="center"/>
    </xf>
    <xf numFmtId="180" fontId="7" fillId="0" borderId="36" xfId="3" applyNumberFormat="1" applyFont="1" applyFill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7" fillId="0" borderId="18" xfId="1" applyFont="1" applyBorder="1" applyAlignment="1">
      <alignment vertical="center"/>
    </xf>
    <xf numFmtId="3" fontId="7" fillId="0" borderId="18" xfId="1" applyNumberFormat="1" applyFont="1" applyBorder="1" applyAlignment="1">
      <alignment vertical="center"/>
    </xf>
    <xf numFmtId="3" fontId="7" fillId="0" borderId="35" xfId="1" applyNumberFormat="1" applyFont="1" applyBorder="1" applyAlignment="1">
      <alignment vertical="center"/>
    </xf>
    <xf numFmtId="38" fontId="7" fillId="0" borderId="10" xfId="440" applyFont="1" applyFill="1" applyBorder="1" applyAlignment="1">
      <alignment vertical="center"/>
    </xf>
    <xf numFmtId="38" fontId="7" fillId="0" borderId="33" xfId="440" applyFont="1" applyFill="1" applyBorder="1" applyAlignment="1">
      <alignment vertical="center"/>
    </xf>
    <xf numFmtId="3" fontId="7" fillId="0" borderId="10" xfId="1" applyNumberFormat="1" applyFont="1" applyBorder="1" applyAlignment="1">
      <alignment vertical="center"/>
    </xf>
    <xf numFmtId="3" fontId="7" fillId="0" borderId="33" xfId="1" applyNumberFormat="1" applyFont="1" applyBorder="1" applyAlignment="1">
      <alignment vertical="center"/>
    </xf>
    <xf numFmtId="0" fontId="7" fillId="0" borderId="37" xfId="1" applyFont="1" applyBorder="1"/>
    <xf numFmtId="0" fontId="7" fillId="0" borderId="38" xfId="1" applyFont="1" applyBorder="1"/>
    <xf numFmtId="38" fontId="7" fillId="0" borderId="0" xfId="0" applyNumberFormat="1" applyFont="1" applyAlignment="1">
      <alignment horizontal="left"/>
    </xf>
    <xf numFmtId="38" fontId="7" fillId="0" borderId="0" xfId="1" applyNumberFormat="1" applyFont="1" applyAlignment="1">
      <alignment horizontal="left"/>
    </xf>
    <xf numFmtId="38" fontId="7" fillId="0" borderId="8" xfId="1" applyNumberFormat="1" applyFont="1" applyBorder="1" applyAlignment="1">
      <alignment horizontal="left"/>
    </xf>
    <xf numFmtId="172" fontId="7" fillId="42" borderId="0" xfId="1" applyNumberFormat="1" applyFont="1" applyFill="1" applyAlignment="1">
      <alignment horizontal="right"/>
    </xf>
    <xf numFmtId="180" fontId="137" fillId="0" borderId="12" xfId="716" applyNumberFormat="1" applyFont="1" applyFill="1" applyBorder="1" applyAlignment="1"/>
    <xf numFmtId="180" fontId="137" fillId="0" borderId="12" xfId="716" applyNumberFormat="1" applyFont="1" applyFill="1" applyBorder="1" applyAlignment="1">
      <alignment horizontal="right"/>
    </xf>
    <xf numFmtId="180" fontId="7" fillId="0" borderId="12" xfId="716" applyNumberFormat="1" applyFont="1" applyFill="1" applyBorder="1" applyAlignment="1">
      <alignment horizontal="right"/>
    </xf>
    <xf numFmtId="180" fontId="126" fillId="0" borderId="0" xfId="716" applyNumberFormat="1" applyFont="1" applyFill="1" applyBorder="1" applyAlignment="1"/>
    <xf numFmtId="180" fontId="7" fillId="0" borderId="9" xfId="716" applyNumberFormat="1" applyFont="1" applyFill="1" applyBorder="1" applyAlignment="1">
      <alignment horizontal="right"/>
    </xf>
    <xf numFmtId="180" fontId="125" fillId="0" borderId="0" xfId="716" applyNumberFormat="1" applyFont="1" applyFill="1" applyBorder="1" applyAlignment="1">
      <alignment horizontal="right"/>
    </xf>
    <xf numFmtId="180" fontId="7" fillId="30" borderId="0" xfId="716" applyNumberFormat="1" applyFont="1" applyFill="1" applyBorder="1" applyAlignment="1">
      <alignment horizontal="right"/>
    </xf>
    <xf numFmtId="180" fontId="144" fillId="0" borderId="0" xfId="716" applyNumberFormat="1" applyFont="1" applyFill="1" applyBorder="1" applyAlignment="1">
      <alignment horizontal="right"/>
    </xf>
    <xf numFmtId="180" fontId="126" fillId="30" borderId="0" xfId="716" applyNumberFormat="1" applyFont="1" applyFill="1" applyBorder="1" applyAlignment="1">
      <alignment horizontal="right"/>
    </xf>
    <xf numFmtId="180" fontId="126" fillId="0" borderId="0" xfId="716" applyNumberFormat="1" applyFont="1" applyFill="1" applyBorder="1" applyAlignment="1">
      <alignment horizontal="right"/>
    </xf>
    <xf numFmtId="180" fontId="126" fillId="0" borderId="0" xfId="716" quotePrefix="1" applyNumberFormat="1" applyFont="1" applyFill="1" applyBorder="1" applyAlignment="1">
      <alignment horizontal="right"/>
    </xf>
    <xf numFmtId="180" fontId="145" fillId="12" borderId="0" xfId="716" applyNumberFormat="1" applyFont="1" applyFill="1" applyBorder="1" applyAlignment="1">
      <alignment horizontal="right"/>
    </xf>
    <xf numFmtId="180" fontId="126" fillId="12" borderId="0" xfId="716" applyNumberFormat="1" applyFont="1" applyFill="1" applyBorder="1" applyAlignment="1">
      <alignment horizontal="right"/>
    </xf>
    <xf numFmtId="180" fontId="126" fillId="0" borderId="9" xfId="716" applyNumberFormat="1" applyFont="1" applyFill="1" applyBorder="1" applyAlignment="1">
      <alignment horizontal="right"/>
    </xf>
    <xf numFmtId="180" fontId="126" fillId="0" borderId="8" xfId="716" applyNumberFormat="1" applyFont="1" applyFill="1" applyBorder="1" applyAlignment="1">
      <alignment horizontal="right"/>
    </xf>
    <xf numFmtId="180" fontId="7" fillId="12" borderId="8" xfId="716" applyNumberFormat="1" applyFont="1" applyFill="1" applyBorder="1" applyAlignment="1">
      <alignment horizontal="right"/>
    </xf>
    <xf numFmtId="180" fontId="123" fillId="0" borderId="0" xfId="716" applyNumberFormat="1" applyFont="1" applyFill="1" applyBorder="1" applyAlignment="1">
      <alignment horizontal="right"/>
    </xf>
    <xf numFmtId="38" fontId="7" fillId="42" borderId="0" xfId="715" applyFont="1" applyFill="1" applyBorder="1" applyAlignment="1">
      <alignment horizontal="right"/>
    </xf>
    <xf numFmtId="14" fontId="7" fillId="0" borderId="0" xfId="1" applyNumberFormat="1" applyFont="1" applyAlignment="1">
      <alignment horizontal="center"/>
    </xf>
    <xf numFmtId="0" fontId="5" fillId="0" borderId="0" xfId="132" applyFont="1" applyAlignment="1">
      <alignment horizontal="centerContinuous"/>
    </xf>
    <xf numFmtId="174" fontId="126" fillId="0" borderId="0" xfId="1" applyNumberFormat="1" applyFont="1"/>
    <xf numFmtId="180" fontId="5" fillId="0" borderId="0" xfId="716" applyNumberFormat="1" applyFont="1" applyFill="1" applyBorder="1" applyAlignment="1">
      <alignment horizontal="right"/>
    </xf>
    <xf numFmtId="38" fontId="121" fillId="0" borderId="0" xfId="1" applyNumberFormat="1" applyFont="1" applyAlignment="1">
      <alignment horizontal="right"/>
    </xf>
    <xf numFmtId="172" fontId="5" fillId="0" borderId="0" xfId="2" applyNumberFormat="1" applyFont="1" applyFill="1" applyBorder="1"/>
    <xf numFmtId="38" fontId="126" fillId="42" borderId="0" xfId="715" applyFont="1" applyFill="1" applyBorder="1" applyAlignment="1">
      <alignment horizontal="right"/>
    </xf>
    <xf numFmtId="0" fontId="5" fillId="14" borderId="0" xfId="132" applyFont="1" applyFill="1" applyAlignment="1">
      <alignment horizontal="left"/>
    </xf>
    <xf numFmtId="180" fontId="123" fillId="42" borderId="22" xfId="3" applyNumberFormat="1" applyFont="1" applyFill="1" applyBorder="1" applyAlignment="1">
      <alignment horizontal="right"/>
    </xf>
    <xf numFmtId="180" fontId="123" fillId="0" borderId="40" xfId="3" applyNumberFormat="1" applyFont="1" applyFill="1" applyBorder="1" applyAlignment="1">
      <alignment horizontal="right"/>
    </xf>
    <xf numFmtId="180" fontId="123" fillId="0" borderId="22" xfId="3" applyNumberFormat="1" applyFont="1" applyFill="1" applyBorder="1" applyAlignment="1">
      <alignment horizontal="right"/>
    </xf>
    <xf numFmtId="180" fontId="123" fillId="42" borderId="0" xfId="3" quotePrefix="1" applyNumberFormat="1" applyFont="1" applyFill="1" applyBorder="1" applyAlignment="1">
      <alignment horizontal="right"/>
    </xf>
    <xf numFmtId="190" fontId="7" fillId="36" borderId="0" xfId="1" applyNumberFormat="1" applyFont="1" applyFill="1" applyAlignment="1">
      <alignment horizontal="right"/>
    </xf>
    <xf numFmtId="172" fontId="150" fillId="0" borderId="0" xfId="132" applyNumberFormat="1" applyFont="1"/>
    <xf numFmtId="180" fontId="150" fillId="0" borderId="0" xfId="3" applyNumberFormat="1" applyFont="1" applyFill="1" applyBorder="1"/>
    <xf numFmtId="172" fontId="149" fillId="0" borderId="0" xfId="132" applyNumberFormat="1" applyFont="1"/>
    <xf numFmtId="172" fontId="150" fillId="44" borderId="0" xfId="132" applyNumberFormat="1" applyFont="1" applyFill="1"/>
    <xf numFmtId="174" fontId="150" fillId="23" borderId="9" xfId="1" applyNumberFormat="1" applyFont="1" applyFill="1" applyBorder="1"/>
    <xf numFmtId="174" fontId="150" fillId="23" borderId="0" xfId="1" applyNumberFormat="1" applyFont="1" applyFill="1"/>
    <xf numFmtId="180" fontId="150" fillId="0" borderId="9" xfId="716" applyNumberFormat="1" applyFont="1" applyFill="1" applyBorder="1" applyAlignment="1">
      <alignment horizontal="right"/>
    </xf>
    <xf numFmtId="180" fontId="150" fillId="0" borderId="0" xfId="716" applyNumberFormat="1" applyFont="1" applyFill="1" applyBorder="1" applyAlignment="1">
      <alignment horizontal="right"/>
    </xf>
    <xf numFmtId="180" fontId="123" fillId="0" borderId="0" xfId="716" applyNumberFormat="1" applyFont="1" applyFill="1" applyBorder="1" applyAlignment="1"/>
    <xf numFmtId="38" fontId="7" fillId="23" borderId="9" xfId="715" applyFont="1" applyFill="1" applyBorder="1" applyAlignment="1">
      <alignment horizontal="right"/>
    </xf>
    <xf numFmtId="174" fontId="7" fillId="23" borderId="0" xfId="1" applyNumberFormat="1" applyFont="1" applyFill="1"/>
    <xf numFmtId="180" fontId="150" fillId="23" borderId="9" xfId="3" applyNumberFormat="1" applyFont="1" applyFill="1" applyBorder="1" applyAlignment="1">
      <alignment horizontal="right"/>
    </xf>
    <xf numFmtId="180" fontId="150" fillId="23" borderId="0" xfId="3" applyNumberFormat="1" applyFont="1" applyFill="1" applyBorder="1" applyAlignment="1">
      <alignment horizontal="right"/>
    </xf>
    <xf numFmtId="172" fontId="7" fillId="36" borderId="9" xfId="1" applyNumberFormat="1" applyFont="1" applyFill="1" applyBorder="1" applyAlignment="1">
      <alignment horizontal="right"/>
    </xf>
    <xf numFmtId="180" fontId="123" fillId="23" borderId="0" xfId="3" applyNumberFormat="1" applyFont="1" applyFill="1" applyBorder="1" applyAlignment="1">
      <alignment horizontal="right"/>
    </xf>
    <xf numFmtId="180" fontId="123" fillId="23" borderId="9" xfId="3" applyNumberFormat="1" applyFont="1" applyFill="1" applyBorder="1" applyAlignment="1">
      <alignment horizontal="right"/>
    </xf>
    <xf numFmtId="180" fontId="150" fillId="0" borderId="9" xfId="3" applyNumberFormat="1" applyFont="1" applyFill="1" applyBorder="1" applyAlignment="1">
      <alignment horizontal="right"/>
    </xf>
    <xf numFmtId="180" fontId="150" fillId="0" borderId="0" xfId="3" applyNumberFormat="1" applyFont="1" applyFill="1" applyBorder="1" applyAlignment="1">
      <alignment horizontal="right"/>
    </xf>
    <xf numFmtId="180" fontId="150" fillId="0" borderId="40" xfId="3" applyNumberFormat="1" applyFont="1" applyFill="1" applyBorder="1" applyAlignment="1">
      <alignment horizontal="right"/>
    </xf>
    <xf numFmtId="180" fontId="150" fillId="0" borderId="22" xfId="3" applyNumberFormat="1" applyFont="1" applyFill="1" applyBorder="1" applyAlignment="1">
      <alignment horizontal="right"/>
    </xf>
    <xf numFmtId="172" fontId="143" fillId="23" borderId="8" xfId="1" applyNumberFormat="1" applyFont="1" applyFill="1" applyBorder="1" applyAlignment="1">
      <alignment horizontal="left"/>
    </xf>
    <xf numFmtId="180" fontId="143" fillId="23" borderId="8" xfId="716" applyNumberFormat="1" applyFont="1" applyFill="1" applyBorder="1" applyAlignment="1"/>
    <xf numFmtId="180" fontId="143" fillId="23" borderId="0" xfId="3" applyNumberFormat="1" applyFont="1" applyFill="1" applyBorder="1" applyAlignment="1">
      <alignment horizontal="right"/>
    </xf>
    <xf numFmtId="180" fontId="143" fillId="23" borderId="0" xfId="716" applyNumberFormat="1" applyFont="1" applyFill="1" applyBorder="1" applyAlignment="1">
      <alignment horizontal="right"/>
    </xf>
    <xf numFmtId="180" fontId="143" fillId="24" borderId="0" xfId="3" applyNumberFormat="1" applyFont="1" applyFill="1" applyBorder="1" applyAlignment="1">
      <alignment horizontal="right"/>
    </xf>
    <xf numFmtId="180" fontId="143" fillId="23" borderId="9" xfId="1" applyNumberFormat="1" applyFont="1" applyFill="1" applyBorder="1"/>
    <xf numFmtId="180" fontId="143" fillId="23" borderId="0" xfId="1" applyNumberFormat="1" applyFont="1" applyFill="1"/>
    <xf numFmtId="180" fontId="143" fillId="23" borderId="8" xfId="1" applyNumberFormat="1" applyFont="1" applyFill="1" applyBorder="1"/>
    <xf numFmtId="180" fontId="143" fillId="23" borderId="8" xfId="716" applyNumberFormat="1" applyFont="1" applyFill="1" applyBorder="1" applyAlignment="1">
      <alignment horizontal="right"/>
    </xf>
    <xf numFmtId="180" fontId="143" fillId="0" borderId="8" xfId="716" applyNumberFormat="1" applyFont="1" applyFill="1" applyBorder="1" applyAlignment="1">
      <alignment horizontal="right"/>
    </xf>
    <xf numFmtId="180" fontId="123" fillId="23" borderId="8" xfId="3" applyNumberFormat="1" applyFont="1" applyFill="1" applyBorder="1" applyAlignment="1">
      <alignment horizontal="right"/>
    </xf>
    <xf numFmtId="180" fontId="143" fillId="23" borderId="8" xfId="3" applyNumberFormat="1" applyFont="1" applyFill="1" applyBorder="1" applyAlignment="1">
      <alignment horizontal="right"/>
    </xf>
    <xf numFmtId="180" fontId="143" fillId="23" borderId="11" xfId="716" applyNumberFormat="1" applyFont="1" applyFill="1" applyBorder="1" applyAlignment="1"/>
    <xf numFmtId="180" fontId="123" fillId="0" borderId="12" xfId="3" applyNumberFormat="1" applyFont="1" applyFill="1" applyBorder="1" applyAlignment="1">
      <alignment horizontal="right"/>
    </xf>
    <xf numFmtId="180" fontId="123" fillId="23" borderId="12" xfId="3" applyNumberFormat="1" applyFont="1" applyFill="1" applyBorder="1" applyAlignment="1">
      <alignment horizontal="right"/>
    </xf>
    <xf numFmtId="226" fontId="7" fillId="0" borderId="0" xfId="717" applyNumberFormat="1" applyFont="1" applyFill="1" applyBorder="1" applyAlignment="1">
      <alignment horizontal="right"/>
    </xf>
    <xf numFmtId="172" fontId="143" fillId="0" borderId="0" xfId="0" applyNumberFormat="1" applyFont="1"/>
    <xf numFmtId="172" fontId="143" fillId="0" borderId="8" xfId="1" applyNumberFormat="1" applyFont="1" applyBorder="1"/>
    <xf numFmtId="172" fontId="143" fillId="0" borderId="12" xfId="1" applyNumberFormat="1" applyFont="1" applyBorder="1" applyAlignment="1">
      <alignment horizontal="right"/>
    </xf>
    <xf numFmtId="180" fontId="143" fillId="0" borderId="0" xfId="3" applyNumberFormat="1" applyFont="1" applyFill="1" applyBorder="1" applyAlignment="1">
      <alignment horizontal="right"/>
    </xf>
    <xf numFmtId="180" fontId="143" fillId="0" borderId="8" xfId="1" applyNumberFormat="1" applyFont="1" applyBorder="1"/>
    <xf numFmtId="180" fontId="143" fillId="0" borderId="8" xfId="3" applyNumberFormat="1" applyFont="1" applyFill="1" applyBorder="1" applyAlignment="1">
      <alignment horizontal="right"/>
    </xf>
    <xf numFmtId="9" fontId="143" fillId="0" borderId="0" xfId="716" applyFont="1" applyFill="1" applyBorder="1" applyAlignment="1"/>
    <xf numFmtId="0" fontId="143" fillId="0" borderId="0" xfId="1" applyFont="1"/>
    <xf numFmtId="180" fontId="143" fillId="0" borderId="8" xfId="716" applyNumberFormat="1" applyFont="1" applyFill="1" applyBorder="1" applyAlignment="1"/>
    <xf numFmtId="180" fontId="143" fillId="12" borderId="0" xfId="716" applyNumberFormat="1" applyFont="1" applyFill="1" applyBorder="1" applyAlignment="1"/>
    <xf numFmtId="180" fontId="123" fillId="42" borderId="8" xfId="3" applyNumberFormat="1" applyFont="1" applyFill="1" applyBorder="1" applyAlignment="1">
      <alignment horizontal="right"/>
    </xf>
    <xf numFmtId="172" fontId="123" fillId="0" borderId="0" xfId="1" quotePrefix="1" applyNumberFormat="1" applyFont="1" applyAlignment="1">
      <alignment horizontal="right"/>
    </xf>
    <xf numFmtId="180" fontId="123" fillId="30" borderId="0" xfId="3" applyNumberFormat="1" applyFont="1" applyFill="1" applyBorder="1" applyAlignment="1">
      <alignment horizontal="right"/>
    </xf>
    <xf numFmtId="172" fontId="143" fillId="0" borderId="8" xfId="1" applyNumberFormat="1" applyFont="1" applyBorder="1" applyAlignment="1">
      <alignment horizontal="left"/>
    </xf>
    <xf numFmtId="180" fontId="123" fillId="12" borderId="22" xfId="716" applyNumberFormat="1" applyFont="1" applyFill="1" applyBorder="1" applyAlignment="1">
      <alignment horizontal="right"/>
    </xf>
    <xf numFmtId="172" fontId="143" fillId="0" borderId="22" xfId="1" applyNumberFormat="1" applyFont="1" applyBorder="1"/>
    <xf numFmtId="172" fontId="143" fillId="0" borderId="32" xfId="1" applyNumberFormat="1" applyFont="1" applyBorder="1" applyAlignment="1">
      <alignment horizontal="left"/>
    </xf>
    <xf numFmtId="172" fontId="143" fillId="0" borderId="39" xfId="1" applyNumberFormat="1" applyFont="1" applyBorder="1"/>
    <xf numFmtId="172" fontId="143" fillId="0" borderId="32" xfId="1" applyNumberFormat="1" applyFont="1" applyBorder="1"/>
    <xf numFmtId="172" fontId="143" fillId="0" borderId="22" xfId="1" applyNumberFormat="1" applyFont="1" applyBorder="1" applyAlignment="1">
      <alignment horizontal="right"/>
    </xf>
    <xf numFmtId="172" fontId="143" fillId="0" borderId="39" xfId="1" applyNumberFormat="1" applyFont="1" applyBorder="1" applyAlignment="1">
      <alignment horizontal="right"/>
    </xf>
    <xf numFmtId="180" fontId="143" fillId="0" borderId="22" xfId="3" applyNumberFormat="1" applyFont="1" applyFill="1" applyBorder="1" applyAlignment="1">
      <alignment horizontal="right"/>
    </xf>
    <xf numFmtId="180" fontId="143" fillId="0" borderId="22" xfId="716" applyNumberFormat="1" applyFont="1" applyFill="1" applyBorder="1" applyAlignment="1">
      <alignment horizontal="right"/>
    </xf>
    <xf numFmtId="180" fontId="143" fillId="0" borderId="40" xfId="716" applyNumberFormat="1" applyFont="1" applyFill="1" applyBorder="1" applyAlignment="1"/>
    <xf numFmtId="9" fontId="143" fillId="0" borderId="22" xfId="1" applyNumberFormat="1" applyFont="1" applyBorder="1"/>
    <xf numFmtId="180" fontId="143" fillId="0" borderId="32" xfId="1" applyNumberFormat="1" applyFont="1" applyBorder="1"/>
    <xf numFmtId="180" fontId="143" fillId="0" borderId="32" xfId="716" applyNumberFormat="1" applyFont="1" applyFill="1" applyBorder="1" applyAlignment="1">
      <alignment horizontal="right"/>
    </xf>
    <xf numFmtId="180" fontId="123" fillId="0" borderId="32" xfId="3" applyNumberFormat="1" applyFont="1" applyFill="1" applyBorder="1" applyAlignment="1">
      <alignment horizontal="right"/>
    </xf>
    <xf numFmtId="0" fontId="143" fillId="0" borderId="22" xfId="1" applyFont="1" applyBorder="1"/>
    <xf numFmtId="180" fontId="143" fillId="0" borderId="32" xfId="3" applyNumberFormat="1" applyFont="1" applyFill="1" applyBorder="1" applyAlignment="1">
      <alignment horizontal="right"/>
    </xf>
    <xf numFmtId="180" fontId="143" fillId="0" borderId="32" xfId="716" applyNumberFormat="1" applyFont="1" applyFill="1" applyBorder="1" applyAlignment="1"/>
    <xf numFmtId="180" fontId="143" fillId="23" borderId="22" xfId="716" applyNumberFormat="1" applyFont="1" applyFill="1" applyBorder="1" applyAlignment="1"/>
    <xf numFmtId="180" fontId="123" fillId="23" borderId="22" xfId="3" applyNumberFormat="1" applyFont="1" applyFill="1" applyBorder="1" applyAlignment="1">
      <alignment horizontal="right"/>
    </xf>
    <xf numFmtId="180" fontId="143" fillId="23" borderId="32" xfId="716" applyNumberFormat="1" applyFont="1" applyFill="1" applyBorder="1" applyAlignment="1"/>
    <xf numFmtId="180" fontId="123" fillId="0" borderId="39" xfId="3" applyNumberFormat="1" applyFont="1" applyFill="1" applyBorder="1" applyAlignment="1">
      <alignment horizontal="right"/>
    </xf>
    <xf numFmtId="180" fontId="143" fillId="12" borderId="22" xfId="716" applyNumberFormat="1" applyFont="1" applyFill="1" applyBorder="1" applyAlignment="1"/>
    <xf numFmtId="180" fontId="123" fillId="23" borderId="32" xfId="3" applyNumberFormat="1" applyFont="1" applyFill="1" applyBorder="1" applyAlignment="1">
      <alignment horizontal="right"/>
    </xf>
    <xf numFmtId="180" fontId="123" fillId="0" borderId="22" xfId="716" applyNumberFormat="1" applyFont="1" applyFill="1" applyBorder="1" applyAlignment="1">
      <alignment horizontal="right"/>
    </xf>
    <xf numFmtId="38" fontId="7" fillId="36" borderId="0" xfId="1" applyNumberFormat="1" applyFont="1" applyFill="1" applyAlignment="1">
      <alignment horizontal="right"/>
    </xf>
    <xf numFmtId="9" fontId="143" fillId="23" borderId="9" xfId="1" applyNumberFormat="1" applyFont="1" applyFill="1" applyBorder="1"/>
    <xf numFmtId="172" fontId="146" fillId="0" borderId="0" xfId="1" applyNumberFormat="1" applyFont="1"/>
    <xf numFmtId="180" fontId="123" fillId="0" borderId="9" xfId="716" applyNumberFormat="1" applyFont="1" applyFill="1" applyBorder="1" applyAlignment="1">
      <alignment horizontal="right"/>
    </xf>
    <xf numFmtId="190" fontId="123" fillId="0" borderId="8" xfId="1" applyNumberFormat="1" applyFont="1" applyBorder="1" applyAlignment="1">
      <alignment horizontal="right"/>
    </xf>
    <xf numFmtId="180" fontId="123" fillId="42" borderId="0" xfId="3" applyNumberFormat="1" applyFont="1" applyFill="1" applyBorder="1" applyAlignment="1">
      <alignment horizontal="right"/>
    </xf>
    <xf numFmtId="180" fontId="143" fillId="23" borderId="0" xfId="3" applyNumberFormat="1" applyFont="1" applyFill="1" applyBorder="1"/>
    <xf numFmtId="180" fontId="143" fillId="23" borderId="12" xfId="1" applyNumberFormat="1" applyFont="1" applyFill="1" applyBorder="1"/>
    <xf numFmtId="38" fontId="143" fillId="23" borderId="0" xfId="440" applyFont="1" applyFill="1" applyBorder="1" applyAlignment="1">
      <alignment horizontal="right"/>
    </xf>
    <xf numFmtId="38" fontId="143" fillId="0" borderId="8" xfId="440" applyFont="1" applyFill="1" applyBorder="1" applyAlignment="1">
      <alignment horizontal="right"/>
    </xf>
    <xf numFmtId="38" fontId="143" fillId="0" borderId="0" xfId="440" applyFont="1" applyFill="1" applyBorder="1" applyAlignment="1">
      <alignment horizontal="right"/>
    </xf>
    <xf numFmtId="172" fontId="146" fillId="23" borderId="0" xfId="1" applyNumberFormat="1" applyFont="1" applyFill="1" applyAlignment="1">
      <alignment horizontal="right"/>
    </xf>
    <xf numFmtId="38" fontId="143" fillId="23" borderId="0" xfId="1" applyNumberFormat="1" applyFont="1" applyFill="1"/>
    <xf numFmtId="172" fontId="143" fillId="33" borderId="0" xfId="1" applyNumberFormat="1" applyFont="1" applyFill="1"/>
    <xf numFmtId="226" fontId="143" fillId="0" borderId="0" xfId="1" applyNumberFormat="1" applyFont="1"/>
    <xf numFmtId="172" fontId="143" fillId="12" borderId="0" xfId="1" applyNumberFormat="1" applyFont="1" applyFill="1"/>
    <xf numFmtId="226" fontId="123" fillId="0" borderId="9" xfId="1" applyNumberFormat="1" applyFont="1" applyBorder="1"/>
    <xf numFmtId="226" fontId="123" fillId="0" borderId="0" xfId="1" applyNumberFormat="1" applyFont="1"/>
    <xf numFmtId="226" fontId="123" fillId="0" borderId="8" xfId="1" applyNumberFormat="1" applyFont="1" applyBorder="1"/>
    <xf numFmtId="226" fontId="143" fillId="0" borderId="8" xfId="1" applyNumberFormat="1" applyFont="1" applyBorder="1"/>
    <xf numFmtId="180" fontId="143" fillId="23" borderId="0" xfId="1" applyNumberFormat="1" applyFont="1" applyFill="1" applyAlignment="1">
      <alignment horizontal="right"/>
    </xf>
    <xf numFmtId="180" fontId="143" fillId="23" borderId="9" xfId="1" applyNumberFormat="1" applyFont="1" applyFill="1" applyBorder="1" applyAlignment="1">
      <alignment horizontal="right"/>
    </xf>
    <xf numFmtId="180" fontId="123" fillId="0" borderId="8" xfId="716" applyNumberFormat="1" applyFont="1" applyFill="1" applyBorder="1" applyAlignment="1">
      <alignment horizontal="right"/>
    </xf>
    <xf numFmtId="0" fontId="123" fillId="0" borderId="8" xfId="3" applyNumberFormat="1" applyFont="1" applyFill="1" applyBorder="1" applyAlignment="1">
      <alignment horizontal="right"/>
    </xf>
    <xf numFmtId="0" fontId="123" fillId="0" borderId="0" xfId="3" applyNumberFormat="1" applyFont="1" applyFill="1" applyBorder="1" applyAlignment="1">
      <alignment horizontal="right"/>
    </xf>
    <xf numFmtId="180" fontId="143" fillId="12" borderId="0" xfId="1" applyNumberFormat="1" applyFont="1" applyFill="1"/>
    <xf numFmtId="180" fontId="123" fillId="12" borderId="0" xfId="716" applyNumberFormat="1" applyFont="1" applyFill="1" applyBorder="1" applyAlignment="1">
      <alignment horizontal="right"/>
    </xf>
    <xf numFmtId="0" fontId="146" fillId="0" borderId="0" xfId="1" applyFont="1"/>
    <xf numFmtId="180" fontId="143" fillId="0" borderId="0" xfId="1" applyNumberFormat="1" applyFont="1" applyAlignment="1">
      <alignment horizontal="right"/>
    </xf>
    <xf numFmtId="260" fontId="143" fillId="12" borderId="0" xfId="1" applyNumberFormat="1" applyFont="1" applyFill="1"/>
    <xf numFmtId="260" fontId="143" fillId="0" borderId="0" xfId="1" applyNumberFormat="1" applyFont="1"/>
    <xf numFmtId="180" fontId="143" fillId="0" borderId="12" xfId="1" applyNumberFormat="1" applyFont="1" applyBorder="1"/>
    <xf numFmtId="180" fontId="123" fillId="0" borderId="0" xfId="1" applyNumberFormat="1" applyFont="1"/>
    <xf numFmtId="180" fontId="123" fillId="0" borderId="8" xfId="1" applyNumberFormat="1" applyFont="1" applyBorder="1"/>
    <xf numFmtId="180" fontId="123" fillId="0" borderId="9" xfId="1" applyNumberFormat="1" applyFont="1" applyBorder="1"/>
    <xf numFmtId="38" fontId="143" fillId="0" borderId="0" xfId="1" applyNumberFormat="1" applyFont="1"/>
    <xf numFmtId="172" fontId="146" fillId="0" borderId="0" xfId="1" applyNumberFormat="1" applyFont="1" applyAlignment="1">
      <alignment horizontal="right"/>
    </xf>
    <xf numFmtId="190" fontId="123" fillId="0" borderId="9" xfId="1" applyNumberFormat="1" applyFont="1" applyBorder="1" applyAlignment="1">
      <alignment horizontal="right"/>
    </xf>
    <xf numFmtId="38" fontId="143" fillId="0" borderId="8" xfId="715" applyFont="1" applyFill="1" applyBorder="1" applyAlignment="1"/>
    <xf numFmtId="9" fontId="123" fillId="0" borderId="0" xfId="716" applyFont="1" applyFill="1" applyBorder="1" applyAlignment="1">
      <alignment horizontal="right"/>
    </xf>
    <xf numFmtId="9" fontId="123" fillId="0" borderId="9" xfId="716" applyFont="1" applyFill="1" applyBorder="1" applyAlignment="1">
      <alignment horizontal="right"/>
    </xf>
    <xf numFmtId="9" fontId="123" fillId="0" borderId="8" xfId="716" applyFont="1" applyFill="1" applyBorder="1" applyAlignment="1">
      <alignment horizontal="right"/>
    </xf>
    <xf numFmtId="9" fontId="123" fillId="12" borderId="0" xfId="716" applyFont="1" applyFill="1" applyBorder="1" applyAlignment="1">
      <alignment horizontal="right"/>
    </xf>
    <xf numFmtId="172" fontId="146" fillId="0" borderId="12" xfId="1" applyNumberFormat="1" applyFont="1" applyBorder="1"/>
    <xf numFmtId="172" fontId="146" fillId="0" borderId="8" xfId="1" applyNumberFormat="1" applyFont="1" applyBorder="1"/>
    <xf numFmtId="172" fontId="146" fillId="0" borderId="12" xfId="1" applyNumberFormat="1" applyFont="1" applyBorder="1" applyAlignment="1">
      <alignment horizontal="right"/>
    </xf>
    <xf numFmtId="38" fontId="146" fillId="0" borderId="0" xfId="715" applyFont="1" applyFill="1" applyBorder="1" applyAlignment="1">
      <alignment horizontal="right"/>
    </xf>
    <xf numFmtId="172" fontId="146" fillId="0" borderId="9" xfId="1" applyNumberFormat="1" applyFont="1" applyBorder="1"/>
    <xf numFmtId="38" fontId="146" fillId="0" borderId="0" xfId="1" applyNumberFormat="1" applyFont="1"/>
    <xf numFmtId="38" fontId="146" fillId="0" borderId="0" xfId="715" applyFont="1" applyFill="1" applyBorder="1" applyAlignment="1"/>
    <xf numFmtId="38" fontId="146" fillId="0" borderId="8" xfId="715" applyFont="1" applyFill="1" applyBorder="1" applyAlignment="1"/>
    <xf numFmtId="172" fontId="146" fillId="0" borderId="8" xfId="1" applyNumberFormat="1" applyFont="1" applyBorder="1" applyAlignment="1">
      <alignment horizontal="right"/>
    </xf>
    <xf numFmtId="172" fontId="127" fillId="0" borderId="0" xfId="1" applyNumberFormat="1" applyFont="1" applyAlignment="1">
      <alignment horizontal="right"/>
    </xf>
    <xf numFmtId="172" fontId="127" fillId="0" borderId="8" xfId="1" applyNumberFormat="1" applyFont="1" applyBorder="1" applyAlignment="1">
      <alignment horizontal="right"/>
    </xf>
    <xf numFmtId="180" fontId="146" fillId="0" borderId="9" xfId="716" applyNumberFormat="1" applyFont="1" applyFill="1" applyBorder="1" applyAlignment="1"/>
    <xf numFmtId="180" fontId="146" fillId="0" borderId="0" xfId="716" applyNumberFormat="1" applyFont="1" applyFill="1" applyBorder="1" applyAlignment="1"/>
    <xf numFmtId="180" fontId="146" fillId="0" borderId="8" xfId="716" applyNumberFormat="1" applyFont="1" applyFill="1" applyBorder="1" applyAlignment="1"/>
    <xf numFmtId="0" fontId="143" fillId="0" borderId="0" xfId="716" applyNumberFormat="1" applyFont="1" applyFill="1" applyBorder="1" applyAlignment="1"/>
    <xf numFmtId="172" fontId="143" fillId="0" borderId="0" xfId="716" applyNumberFormat="1" applyFont="1" applyFill="1" applyBorder="1" applyAlignment="1"/>
    <xf numFmtId="172" fontId="143" fillId="0" borderId="8" xfId="716" applyNumberFormat="1" applyFont="1" applyFill="1" applyBorder="1" applyAlignment="1"/>
    <xf numFmtId="172" fontId="127" fillId="0" borderId="12" xfId="1" applyNumberFormat="1" applyFont="1" applyBorder="1" applyAlignment="1">
      <alignment horizontal="right"/>
    </xf>
    <xf numFmtId="38" fontId="127" fillId="0" borderId="9" xfId="715" applyFont="1" applyFill="1" applyBorder="1" applyAlignment="1"/>
    <xf numFmtId="38" fontId="127" fillId="0" borderId="0" xfId="715" applyFont="1" applyFill="1" applyBorder="1" applyAlignment="1"/>
    <xf numFmtId="38" fontId="127" fillId="0" borderId="8" xfId="715" applyFont="1" applyFill="1" applyBorder="1" applyAlignment="1"/>
    <xf numFmtId="172" fontId="150" fillId="36" borderId="9" xfId="1" applyNumberFormat="1" applyFont="1" applyFill="1" applyBorder="1" applyAlignment="1">
      <alignment horizontal="right"/>
    </xf>
    <xf numFmtId="172" fontId="150" fillId="36" borderId="0" xfId="1" applyNumberFormat="1" applyFont="1" applyFill="1" applyAlignment="1">
      <alignment horizontal="right"/>
    </xf>
    <xf numFmtId="172" fontId="150" fillId="34" borderId="9" xfId="1" applyNumberFormat="1" applyFont="1" applyFill="1" applyBorder="1" applyAlignment="1">
      <alignment horizontal="right"/>
    </xf>
    <xf numFmtId="172" fontId="150" fillId="34" borderId="0" xfId="1" applyNumberFormat="1" applyFont="1" applyFill="1" applyAlignment="1">
      <alignment horizontal="right"/>
    </xf>
    <xf numFmtId="38" fontId="123" fillId="0" borderId="9" xfId="715" applyFont="1" applyFill="1" applyBorder="1" applyAlignment="1"/>
    <xf numFmtId="38" fontId="123" fillId="0" borderId="0" xfId="715" applyFont="1" applyFill="1" applyBorder="1" applyAlignment="1"/>
    <xf numFmtId="38" fontId="150" fillId="36" borderId="9" xfId="1" applyNumberFormat="1" applyFont="1" applyFill="1" applyBorder="1" applyAlignment="1">
      <alignment horizontal="right"/>
    </xf>
    <xf numFmtId="38" fontId="150" fillId="36" borderId="0" xfId="1" applyNumberFormat="1" applyFont="1" applyFill="1" applyAlignment="1">
      <alignment horizontal="right"/>
    </xf>
    <xf numFmtId="190" fontId="5" fillId="0" borderId="9" xfId="1" applyNumberFormat="1" applyFont="1" applyBorder="1" applyAlignment="1">
      <alignment horizontal="right"/>
    </xf>
    <xf numFmtId="190" fontId="5" fillId="0" borderId="0" xfId="1" applyNumberFormat="1" applyFont="1" applyAlignment="1">
      <alignment horizontal="right"/>
    </xf>
    <xf numFmtId="190" fontId="150" fillId="0" borderId="9" xfId="1" applyNumberFormat="1" applyFont="1" applyBorder="1" applyAlignment="1">
      <alignment horizontal="right"/>
    </xf>
    <xf numFmtId="190" fontId="150" fillId="0" borderId="0" xfId="1" applyNumberFormat="1" applyFont="1" applyAlignment="1">
      <alignment horizontal="right"/>
    </xf>
    <xf numFmtId="190" fontId="150" fillId="34" borderId="9" xfId="1" applyNumberFormat="1" applyFont="1" applyFill="1" applyBorder="1" applyAlignment="1">
      <alignment horizontal="right"/>
    </xf>
    <xf numFmtId="190" fontId="150" fillId="34" borderId="0" xfId="1" applyNumberFormat="1" applyFont="1" applyFill="1" applyAlignment="1">
      <alignment horizontal="right"/>
    </xf>
    <xf numFmtId="180" fontId="143" fillId="24" borderId="0" xfId="716" applyNumberFormat="1" applyFont="1" applyFill="1" applyBorder="1" applyAlignment="1">
      <alignment horizontal="right"/>
    </xf>
    <xf numFmtId="9" fontId="143" fillId="23" borderId="8" xfId="716" applyFont="1" applyFill="1" applyBorder="1" applyAlignment="1">
      <alignment horizontal="right"/>
    </xf>
    <xf numFmtId="9" fontId="143" fillId="0" borderId="8" xfId="716" applyFont="1" applyFill="1" applyBorder="1" applyAlignment="1">
      <alignment horizontal="right"/>
    </xf>
    <xf numFmtId="9" fontId="143" fillId="23" borderId="0" xfId="716" applyFont="1" applyFill="1" applyBorder="1" applyAlignment="1">
      <alignment horizontal="right"/>
    </xf>
    <xf numFmtId="180" fontId="143" fillId="0" borderId="6" xfId="1" applyNumberFormat="1" applyFont="1" applyBorder="1" applyAlignment="1">
      <alignment horizontal="right"/>
    </xf>
    <xf numFmtId="180" fontId="143" fillId="0" borderId="0" xfId="715" applyNumberFormat="1" applyFont="1" applyFill="1" applyBorder="1" applyAlignment="1"/>
    <xf numFmtId="172" fontId="143" fillId="23" borderId="6" xfId="1" applyNumberFormat="1" applyFont="1" applyFill="1" applyBorder="1"/>
    <xf numFmtId="172" fontId="143" fillId="23" borderId="6" xfId="0" applyNumberFormat="1" applyFont="1" applyFill="1" applyBorder="1"/>
    <xf numFmtId="172" fontId="143" fillId="23" borderId="5" xfId="1" applyNumberFormat="1" applyFont="1" applyFill="1" applyBorder="1"/>
    <xf numFmtId="172" fontId="143" fillId="23" borderId="13" xfId="1" applyNumberFormat="1" applyFont="1" applyFill="1" applyBorder="1"/>
    <xf numFmtId="180" fontId="143" fillId="23" borderId="6" xfId="716" applyNumberFormat="1" applyFont="1" applyFill="1" applyBorder="1" applyAlignment="1"/>
    <xf numFmtId="180" fontId="143" fillId="23" borderId="6" xfId="3" applyNumberFormat="1" applyFont="1" applyFill="1" applyBorder="1" applyAlignment="1">
      <alignment horizontal="right"/>
    </xf>
    <xf numFmtId="172" fontId="143" fillId="23" borderId="6" xfId="1" applyNumberFormat="1" applyFont="1" applyFill="1" applyBorder="1" applyAlignment="1">
      <alignment horizontal="right"/>
    </xf>
    <xf numFmtId="172" fontId="143" fillId="23" borderId="13" xfId="1" applyNumberFormat="1" applyFont="1" applyFill="1" applyBorder="1" applyAlignment="1">
      <alignment horizontal="right"/>
    </xf>
    <xf numFmtId="180" fontId="143" fillId="23" borderId="6" xfId="716" applyNumberFormat="1" applyFont="1" applyFill="1" applyBorder="1" applyAlignment="1">
      <alignment horizontal="right"/>
    </xf>
    <xf numFmtId="180" fontId="143" fillId="24" borderId="6" xfId="3" applyNumberFormat="1" applyFont="1" applyFill="1" applyBorder="1" applyAlignment="1">
      <alignment horizontal="right"/>
    </xf>
    <xf numFmtId="172" fontId="143" fillId="24" borderId="6" xfId="1" applyNumberFormat="1" applyFont="1" applyFill="1" applyBorder="1" applyAlignment="1">
      <alignment horizontal="right"/>
    </xf>
    <xf numFmtId="180" fontId="143" fillId="23" borderId="6" xfId="1" applyNumberFormat="1" applyFont="1" applyFill="1" applyBorder="1" applyAlignment="1">
      <alignment horizontal="right"/>
    </xf>
    <xf numFmtId="180" fontId="143" fillId="23" borderId="7" xfId="1" applyNumberFormat="1" applyFont="1" applyFill="1" applyBorder="1" applyAlignment="1">
      <alignment horizontal="right"/>
    </xf>
    <xf numFmtId="180" fontId="143" fillId="23" borderId="6" xfId="1" applyNumberFormat="1" applyFont="1" applyFill="1" applyBorder="1"/>
    <xf numFmtId="180" fontId="143" fillId="23" borderId="5" xfId="1" applyNumberFormat="1" applyFont="1" applyFill="1" applyBorder="1"/>
    <xf numFmtId="180" fontId="143" fillId="23" borderId="5" xfId="3" applyNumberFormat="1" applyFont="1" applyFill="1" applyBorder="1" applyAlignment="1">
      <alignment horizontal="right"/>
    </xf>
    <xf numFmtId="180" fontId="123" fillId="23" borderId="6" xfId="3" applyNumberFormat="1" applyFont="1" applyFill="1" applyBorder="1" applyAlignment="1">
      <alignment horizontal="right"/>
    </xf>
    <xf numFmtId="180" fontId="123" fillId="23" borderId="5" xfId="3" applyNumberFormat="1" applyFont="1" applyFill="1" applyBorder="1" applyAlignment="1">
      <alignment horizontal="right"/>
    </xf>
    <xf numFmtId="0" fontId="143" fillId="23" borderId="6" xfId="1" applyFont="1" applyFill="1" applyBorder="1"/>
    <xf numFmtId="180" fontId="143" fillId="23" borderId="7" xfId="3" applyNumberFormat="1" applyFont="1" applyFill="1" applyBorder="1" applyAlignment="1">
      <alignment horizontal="right"/>
    </xf>
    <xf numFmtId="180" fontId="123" fillId="0" borderId="5" xfId="3" applyNumberFormat="1" applyFont="1" applyFill="1" applyBorder="1" applyAlignment="1">
      <alignment horizontal="right"/>
    </xf>
    <xf numFmtId="172" fontId="146" fillId="25" borderId="0" xfId="1" applyNumberFormat="1" applyFont="1" applyFill="1"/>
    <xf numFmtId="180" fontId="143" fillId="0" borderId="6" xfId="3" applyNumberFormat="1" applyFont="1" applyFill="1" applyBorder="1" applyAlignment="1">
      <alignment horizontal="right"/>
    </xf>
    <xf numFmtId="180" fontId="143" fillId="23" borderId="13" xfId="3" applyNumberFormat="1" applyFont="1" applyFill="1" applyBorder="1" applyAlignment="1">
      <alignment horizontal="right"/>
    </xf>
    <xf numFmtId="180" fontId="123" fillId="23" borderId="13" xfId="3" applyNumberFormat="1" applyFont="1" applyFill="1" applyBorder="1" applyAlignment="1">
      <alignment horizontal="right"/>
    </xf>
    <xf numFmtId="180" fontId="123" fillId="23" borderId="7" xfId="3" applyNumberFormat="1" applyFont="1" applyFill="1" applyBorder="1" applyAlignment="1">
      <alignment horizontal="right"/>
    </xf>
    <xf numFmtId="38" fontId="150" fillId="0" borderId="9" xfId="715" applyFont="1" applyFill="1" applyBorder="1" applyAlignment="1">
      <alignment horizontal="right"/>
    </xf>
    <xf numFmtId="38" fontId="150" fillId="0" borderId="0" xfId="715" applyFont="1" applyFill="1" applyBorder="1" applyAlignment="1">
      <alignment horizontal="right"/>
    </xf>
    <xf numFmtId="226" fontId="123" fillId="23" borderId="0" xfId="717" applyNumberFormat="1" applyFont="1" applyFill="1" applyBorder="1" applyAlignment="1">
      <alignment horizontal="right"/>
    </xf>
    <xf numFmtId="172" fontId="126" fillId="25" borderId="3" xfId="1" applyNumberFormat="1" applyFont="1" applyFill="1" applyBorder="1" applyAlignment="1">
      <alignment horizontal="right"/>
    </xf>
    <xf numFmtId="172" fontId="7" fillId="25" borderId="0" xfId="1" applyNumberFormat="1" applyFont="1" applyFill="1" applyAlignment="1">
      <alignment horizontal="right"/>
    </xf>
    <xf numFmtId="9" fontId="150" fillId="23" borderId="9" xfId="3" applyFont="1" applyFill="1" applyBorder="1" applyAlignment="1">
      <alignment horizontal="right"/>
    </xf>
    <xf numFmtId="9" fontId="150" fillId="23" borderId="0" xfId="3" applyFont="1" applyFill="1" applyBorder="1" applyAlignment="1">
      <alignment horizontal="right"/>
    </xf>
    <xf numFmtId="172" fontId="115" fillId="23" borderId="0" xfId="2" applyNumberFormat="1" applyFont="1" applyFill="1" applyBorder="1"/>
    <xf numFmtId="222" fontId="7" fillId="0" borderId="0" xfId="717" applyNumberFormat="1" applyFont="1" applyBorder="1"/>
    <xf numFmtId="222" fontId="137" fillId="0" borderId="0" xfId="717" applyNumberFormat="1" applyFont="1" applyBorder="1"/>
    <xf numFmtId="222" fontId="7" fillId="0" borderId="8" xfId="717" applyNumberFormat="1" applyFont="1" applyBorder="1"/>
    <xf numFmtId="222" fontId="7" fillId="23" borderId="12" xfId="717" applyNumberFormat="1" applyFont="1" applyFill="1" applyBorder="1"/>
    <xf numFmtId="222" fontId="7" fillId="23" borderId="0" xfId="717" applyNumberFormat="1" applyFont="1" applyFill="1" applyBorder="1"/>
    <xf numFmtId="222" fontId="7" fillId="23" borderId="8" xfId="717" applyNumberFormat="1" applyFont="1" applyFill="1" applyBorder="1"/>
    <xf numFmtId="222" fontId="7" fillId="0" borderId="0" xfId="717" applyNumberFormat="1" applyFont="1" applyBorder="1" applyAlignment="1"/>
    <xf numFmtId="222" fontId="7" fillId="24" borderId="0" xfId="717" applyNumberFormat="1" applyFont="1" applyFill="1" applyBorder="1"/>
    <xf numFmtId="222" fontId="7" fillId="0" borderId="0" xfId="717" applyNumberFormat="1" applyFont="1"/>
    <xf numFmtId="222" fontId="7" fillId="23" borderId="9" xfId="717" applyNumberFormat="1" applyFont="1" applyFill="1" applyBorder="1"/>
    <xf numFmtId="222" fontId="7" fillId="0" borderId="0" xfId="717" applyNumberFormat="1" applyFont="1" applyFill="1" applyBorder="1"/>
    <xf numFmtId="222" fontId="7" fillId="0" borderId="8" xfId="717" applyNumberFormat="1" applyFont="1" applyFill="1" applyBorder="1"/>
    <xf numFmtId="222" fontId="7" fillId="0" borderId="12" xfId="717" applyNumberFormat="1" applyFont="1" applyFill="1" applyBorder="1"/>
    <xf numFmtId="222" fontId="137" fillId="0" borderId="0" xfId="717" applyNumberFormat="1" applyFont="1"/>
    <xf numFmtId="222" fontId="7" fillId="0" borderId="9" xfId="717" applyNumberFormat="1" applyFont="1" applyBorder="1"/>
    <xf numFmtId="222" fontId="115" fillId="23" borderId="0" xfId="717" applyNumberFormat="1" applyFont="1" applyFill="1" applyBorder="1"/>
    <xf numFmtId="222" fontId="7" fillId="0" borderId="0" xfId="717" applyNumberFormat="1" applyFont="1" applyFill="1"/>
    <xf numFmtId="222" fontId="115" fillId="0" borderId="0" xfId="717" applyNumberFormat="1" applyFont="1" applyFill="1" applyBorder="1"/>
    <xf numFmtId="222" fontId="7" fillId="0" borderId="12" xfId="717" applyNumberFormat="1" applyFont="1" applyBorder="1"/>
    <xf numFmtId="222" fontId="7" fillId="0" borderId="9" xfId="717" applyNumberFormat="1" applyFont="1" applyFill="1" applyBorder="1"/>
    <xf numFmtId="222" fontId="5" fillId="25" borderId="9" xfId="717" applyNumberFormat="1" applyFont="1" applyFill="1" applyBorder="1" applyAlignment="1">
      <alignment horizontal="right"/>
    </xf>
    <xf numFmtId="222" fontId="129" fillId="25" borderId="0" xfId="717" applyNumberFormat="1" applyFont="1" applyFill="1" applyBorder="1"/>
    <xf numFmtId="222" fontId="137" fillId="25" borderId="0" xfId="717" applyNumberFormat="1" applyFont="1" applyFill="1" applyBorder="1"/>
    <xf numFmtId="222" fontId="129" fillId="25" borderId="8" xfId="717" applyNumberFormat="1" applyFont="1" applyFill="1" applyBorder="1"/>
    <xf numFmtId="222" fontId="129" fillId="25" borderId="12" xfId="717" applyNumberFormat="1" applyFont="1" applyFill="1" applyBorder="1"/>
    <xf numFmtId="222" fontId="129" fillId="25" borderId="0" xfId="717" applyNumberFormat="1" applyFont="1" applyFill="1" applyBorder="1" applyAlignment="1">
      <alignment horizontal="right"/>
    </xf>
    <xf numFmtId="222" fontId="129" fillId="25" borderId="12" xfId="717" applyNumberFormat="1" applyFont="1" applyFill="1" applyBorder="1" applyAlignment="1">
      <alignment horizontal="right"/>
    </xf>
    <xf numFmtId="222" fontId="129" fillId="24" borderId="0" xfId="717" applyNumberFormat="1" applyFont="1" applyFill="1" applyBorder="1" applyAlignment="1">
      <alignment horizontal="right"/>
    </xf>
    <xf numFmtId="222" fontId="129" fillId="25" borderId="9" xfId="717" applyNumberFormat="1" applyFont="1" applyFill="1" applyBorder="1"/>
    <xf numFmtId="222" fontId="129" fillId="32" borderId="8" xfId="717" applyNumberFormat="1" applyFont="1" applyFill="1" applyBorder="1"/>
    <xf numFmtId="222" fontId="129" fillId="32" borderId="0" xfId="717" applyNumberFormat="1" applyFont="1" applyFill="1" applyBorder="1"/>
    <xf numFmtId="222" fontId="129" fillId="25" borderId="8" xfId="717" applyNumberFormat="1" applyFont="1" applyFill="1" applyBorder="1" applyAlignment="1">
      <alignment horizontal="right"/>
    </xf>
    <xf numFmtId="222" fontId="129" fillId="0" borderId="8" xfId="717" applyNumberFormat="1" applyFont="1" applyFill="1" applyBorder="1" applyAlignment="1">
      <alignment horizontal="right"/>
    </xf>
    <xf numFmtId="222" fontId="5" fillId="25" borderId="0" xfId="717" applyNumberFormat="1" applyFont="1" applyFill="1" applyBorder="1" applyAlignment="1">
      <alignment horizontal="right"/>
    </xf>
    <xf numFmtId="222" fontId="5" fillId="25" borderId="8" xfId="717" applyNumberFormat="1" applyFont="1" applyFill="1" applyBorder="1" applyAlignment="1">
      <alignment horizontal="right"/>
    </xf>
    <xf numFmtId="222" fontId="129" fillId="23" borderId="0" xfId="717" applyNumberFormat="1" applyFont="1" applyFill="1" applyBorder="1" applyAlignment="1">
      <alignment horizontal="right"/>
    </xf>
    <xf numFmtId="222" fontId="129" fillId="0" borderId="12" xfId="717" applyNumberFormat="1" applyFont="1" applyFill="1" applyBorder="1"/>
    <xf numFmtId="222" fontId="5" fillId="0" borderId="8" xfId="717" applyNumberFormat="1" applyFont="1" applyFill="1" applyBorder="1" applyAlignment="1">
      <alignment horizontal="right"/>
    </xf>
    <xf numFmtId="222" fontId="137" fillId="0" borderId="0" xfId="717" applyNumberFormat="1" applyFont="1" applyFill="1" applyBorder="1"/>
    <xf numFmtId="222" fontId="137" fillId="12" borderId="0" xfId="717" applyNumberFormat="1" applyFont="1" applyFill="1" applyBorder="1"/>
    <xf numFmtId="222" fontId="5" fillId="25" borderId="12" xfId="717" applyNumberFormat="1" applyFont="1" applyFill="1" applyBorder="1" applyAlignment="1">
      <alignment horizontal="right"/>
    </xf>
    <xf numFmtId="222" fontId="121" fillId="25" borderId="0" xfId="717" applyNumberFormat="1" applyFont="1" applyFill="1" applyBorder="1"/>
    <xf numFmtId="222" fontId="120" fillId="25" borderId="0" xfId="717" applyNumberFormat="1" applyFont="1" applyFill="1" applyBorder="1"/>
    <xf numFmtId="222" fontId="142" fillId="25" borderId="0" xfId="717" applyNumberFormat="1" applyFont="1" applyFill="1" applyBorder="1"/>
    <xf numFmtId="222" fontId="5" fillId="25" borderId="0" xfId="717" applyNumberFormat="1" applyFont="1" applyFill="1" applyBorder="1"/>
    <xf numFmtId="222" fontId="121" fillId="25" borderId="8" xfId="717" applyNumberFormat="1" applyFont="1" applyFill="1" applyBorder="1"/>
    <xf numFmtId="222" fontId="5" fillId="37" borderId="0" xfId="717" applyNumberFormat="1" applyFont="1" applyFill="1" applyBorder="1" applyAlignment="1">
      <alignment horizontal="right"/>
    </xf>
    <xf numFmtId="222" fontId="5" fillId="25" borderId="8" xfId="717" applyNumberFormat="1" applyFont="1" applyFill="1" applyBorder="1"/>
    <xf numFmtId="222" fontId="121" fillId="0" borderId="9" xfId="717" applyNumberFormat="1" applyFont="1" applyFill="1" applyBorder="1" applyAlignment="1">
      <alignment horizontal="right"/>
    </xf>
    <xf numFmtId="222" fontId="7" fillId="25" borderId="0" xfId="717" applyNumberFormat="1" applyFont="1" applyFill="1" applyBorder="1" applyAlignment="1">
      <alignment horizontal="right"/>
    </xf>
    <xf numFmtId="222" fontId="121" fillId="0" borderId="8" xfId="717" applyNumberFormat="1" applyFont="1" applyFill="1" applyBorder="1" applyAlignment="1">
      <alignment horizontal="right"/>
    </xf>
    <xf numFmtId="222" fontId="121" fillId="25" borderId="0" xfId="717" applyNumberFormat="1" applyFont="1" applyFill="1" applyBorder="1" applyAlignment="1">
      <alignment horizontal="right"/>
    </xf>
    <xf numFmtId="222" fontId="121" fillId="0" borderId="0" xfId="717" applyNumberFormat="1" applyFont="1" applyFill="1" applyBorder="1" applyAlignment="1">
      <alignment horizontal="right"/>
    </xf>
    <xf numFmtId="0" fontId="151" fillId="45" borderId="0" xfId="0" applyFont="1" applyFill="1"/>
    <xf numFmtId="0" fontId="151" fillId="45" borderId="0" xfId="1" applyFont="1" applyFill="1"/>
    <xf numFmtId="0" fontId="151" fillId="45" borderId="8" xfId="1" applyFont="1" applyFill="1" applyBorder="1"/>
    <xf numFmtId="0" fontId="123" fillId="0" borderId="0" xfId="0" applyFont="1"/>
    <xf numFmtId="180" fontId="123" fillId="0" borderId="8" xfId="3" applyNumberFormat="1" applyFont="1" applyFill="1" applyBorder="1"/>
    <xf numFmtId="38" fontId="7" fillId="32" borderId="0" xfId="441" applyNumberFormat="1" applyFont="1" applyFill="1"/>
    <xf numFmtId="38" fontId="123" fillId="32" borderId="0" xfId="440" applyFont="1" applyFill="1" applyBorder="1"/>
    <xf numFmtId="0" fontId="123" fillId="32" borderId="0" xfId="0" applyFont="1" applyFill="1"/>
    <xf numFmtId="0" fontId="123" fillId="32" borderId="0" xfId="1" applyFont="1" applyFill="1"/>
    <xf numFmtId="180" fontId="123" fillId="32" borderId="0" xfId="3" applyNumberFormat="1" applyFont="1" applyFill="1" applyBorder="1"/>
    <xf numFmtId="180" fontId="123" fillId="32" borderId="8" xfId="3" applyNumberFormat="1" applyFont="1" applyFill="1" applyBorder="1"/>
    <xf numFmtId="3" fontId="123" fillId="32" borderId="0" xfId="440" applyNumberFormat="1" applyFont="1" applyFill="1" applyBorder="1"/>
    <xf numFmtId="38" fontId="123" fillId="32" borderId="0" xfId="1" applyNumberFormat="1" applyFont="1" applyFill="1"/>
    <xf numFmtId="0" fontId="7" fillId="35" borderId="0" xfId="0" applyFont="1" applyFill="1"/>
    <xf numFmtId="0" fontId="7" fillId="35" borderId="0" xfId="1" applyFont="1" applyFill="1"/>
    <xf numFmtId="0" fontId="123" fillId="35" borderId="0" xfId="1" applyFont="1" applyFill="1"/>
    <xf numFmtId="38" fontId="7" fillId="35" borderId="0" xfId="440" applyFont="1" applyFill="1" applyBorder="1"/>
    <xf numFmtId="38" fontId="7" fillId="35" borderId="0" xfId="440" quotePrefix="1" applyFont="1" applyFill="1" applyBorder="1"/>
    <xf numFmtId="38" fontId="7" fillId="35" borderId="8" xfId="440" applyFont="1" applyFill="1" applyBorder="1"/>
    <xf numFmtId="0" fontId="123" fillId="35" borderId="0" xfId="0" applyFont="1" applyFill="1"/>
    <xf numFmtId="38" fontId="123" fillId="35" borderId="0" xfId="440" applyFont="1" applyFill="1" applyBorder="1"/>
    <xf numFmtId="180" fontId="123" fillId="35" borderId="0" xfId="3" applyNumberFormat="1" applyFont="1" applyFill="1" applyBorder="1"/>
    <xf numFmtId="180" fontId="123" fillId="35" borderId="8" xfId="3" applyNumberFormat="1" applyFont="1" applyFill="1" applyBorder="1"/>
    <xf numFmtId="224" fontId="132" fillId="0" borderId="0" xfId="132" applyNumberFormat="1" applyFont="1" applyAlignment="1">
      <alignment horizontal="center"/>
    </xf>
    <xf numFmtId="38" fontId="7" fillId="38" borderId="11" xfId="440" applyFont="1" applyFill="1" applyBorder="1"/>
    <xf numFmtId="180" fontId="7" fillId="38" borderId="11" xfId="3" applyNumberFormat="1" applyFont="1" applyFill="1" applyBorder="1"/>
    <xf numFmtId="180" fontId="7" fillId="38" borderId="37" xfId="3" applyNumberFormat="1" applyFont="1" applyFill="1" applyBorder="1"/>
    <xf numFmtId="180" fontId="7" fillId="38" borderId="38" xfId="3" applyNumberFormat="1" applyFont="1" applyFill="1" applyBorder="1"/>
    <xf numFmtId="38" fontId="7" fillId="38" borderId="0" xfId="440" applyFont="1" applyFill="1" applyBorder="1"/>
    <xf numFmtId="180" fontId="7" fillId="38" borderId="0" xfId="3" applyNumberFormat="1" applyFont="1" applyFill="1" applyBorder="1"/>
    <xf numFmtId="180" fontId="7" fillId="38" borderId="8" xfId="3" applyNumberFormat="1" applyFont="1" applyFill="1" applyBorder="1"/>
    <xf numFmtId="9" fontId="123" fillId="0" borderId="0" xfId="3" applyFont="1" applyFill="1" applyBorder="1"/>
    <xf numFmtId="38" fontId="123" fillId="34" borderId="0" xfId="440" applyFont="1" applyFill="1" applyBorder="1"/>
    <xf numFmtId="0" fontId="123" fillId="44" borderId="0" xfId="1" applyFont="1" applyFill="1"/>
    <xf numFmtId="0" fontId="123" fillId="44" borderId="0" xfId="132" applyFont="1" applyFill="1" applyAlignment="1">
      <alignment horizontal="right"/>
    </xf>
    <xf numFmtId="232" fontId="127" fillId="44" borderId="0" xfId="132" applyNumberFormat="1" applyFont="1" applyFill="1" applyAlignment="1">
      <alignment horizontal="center"/>
    </xf>
    <xf numFmtId="224" fontId="127" fillId="44" borderId="0" xfId="132" applyNumberFormat="1" applyFont="1" applyFill="1" applyAlignment="1">
      <alignment horizontal="center"/>
    </xf>
    <xf numFmtId="233" fontId="123" fillId="44" borderId="0" xfId="1" applyNumberFormat="1" applyFont="1" applyFill="1" applyAlignment="1">
      <alignment horizontal="right"/>
    </xf>
    <xf numFmtId="0" fontId="123" fillId="44" borderId="0" xfId="1" applyFont="1" applyFill="1" applyAlignment="1">
      <alignment horizontal="right"/>
    </xf>
    <xf numFmtId="233" fontId="123" fillId="44" borderId="0" xfId="1" quotePrefix="1" applyNumberFormat="1" applyFont="1" applyFill="1" applyAlignment="1">
      <alignment horizontal="right"/>
    </xf>
    <xf numFmtId="3" fontId="123" fillId="44" borderId="37" xfId="440" applyNumberFormat="1" applyFont="1" applyFill="1" applyBorder="1"/>
    <xf numFmtId="3" fontId="123" fillId="44" borderId="3" xfId="440" applyNumberFormat="1" applyFont="1" applyFill="1" applyBorder="1"/>
    <xf numFmtId="3" fontId="123" fillId="44" borderId="6" xfId="440" applyNumberFormat="1" applyFont="1" applyFill="1" applyBorder="1"/>
    <xf numFmtId="3" fontId="123" fillId="44" borderId="0" xfId="440" applyNumberFormat="1" applyFont="1" applyFill="1" applyBorder="1"/>
    <xf numFmtId="3" fontId="152" fillId="44" borderId="0" xfId="440" applyNumberFormat="1" applyFont="1" applyFill="1" applyBorder="1"/>
    <xf numFmtId="9" fontId="123" fillId="44" borderId="0" xfId="3" applyFont="1" applyFill="1" applyBorder="1"/>
    <xf numFmtId="223" fontId="123" fillId="44" borderId="0" xfId="440" applyNumberFormat="1" applyFont="1" applyFill="1" applyBorder="1"/>
    <xf numFmtId="38" fontId="152" fillId="44" borderId="0" xfId="440" applyFont="1" applyFill="1" applyBorder="1"/>
    <xf numFmtId="38" fontId="152" fillId="44" borderId="6" xfId="440" applyFont="1" applyFill="1" applyBorder="1"/>
    <xf numFmtId="3" fontId="123" fillId="44" borderId="0" xfId="1" applyNumberFormat="1" applyFont="1" applyFill="1"/>
    <xf numFmtId="3" fontId="123" fillId="44" borderId="37" xfId="1" applyNumberFormat="1" applyFont="1" applyFill="1" applyBorder="1"/>
    <xf numFmtId="3" fontId="123" fillId="44" borderId="0" xfId="1" applyNumberFormat="1" applyFont="1" applyFill="1" applyAlignment="1">
      <alignment horizontal="right"/>
    </xf>
    <xf numFmtId="178" fontId="123" fillId="44" borderId="0" xfId="1" applyNumberFormat="1" applyFont="1" applyFill="1"/>
    <xf numFmtId="178" fontId="123" fillId="44" borderId="0" xfId="3" applyNumberFormat="1" applyFont="1" applyFill="1" applyBorder="1"/>
    <xf numFmtId="178" fontId="123" fillId="44" borderId="0" xfId="440" applyNumberFormat="1" applyFont="1" applyFill="1" applyBorder="1"/>
    <xf numFmtId="178" fontId="123" fillId="44" borderId="6" xfId="440" applyNumberFormat="1" applyFont="1" applyFill="1" applyBorder="1"/>
    <xf numFmtId="178" fontId="152" fillId="44" borderId="37" xfId="3" applyNumberFormat="1" applyFont="1" applyFill="1" applyBorder="1"/>
    <xf numFmtId="178" fontId="123" fillId="44" borderId="6" xfId="3" applyNumberFormat="1" applyFont="1" applyFill="1" applyBorder="1"/>
    <xf numFmtId="178" fontId="123" fillId="44" borderId="37" xfId="3" applyNumberFormat="1" applyFont="1" applyFill="1" applyBorder="1"/>
    <xf numFmtId="0" fontId="153" fillId="44" borderId="0" xfId="1" applyFont="1" applyFill="1"/>
    <xf numFmtId="38" fontId="123" fillId="44" borderId="0" xfId="440" applyFont="1" applyFill="1" applyBorder="1"/>
    <xf numFmtId="180" fontId="123" fillId="44" borderId="0" xfId="3" applyNumberFormat="1" applyFont="1" applyFill="1" applyBorder="1"/>
    <xf numFmtId="180" fontId="123" fillId="44" borderId="37" xfId="3" applyNumberFormat="1" applyFont="1" applyFill="1" applyBorder="1"/>
    <xf numFmtId="180" fontId="123" fillId="44" borderId="6" xfId="3" applyNumberFormat="1" applyFont="1" applyFill="1" applyBorder="1"/>
    <xf numFmtId="3" fontId="152" fillId="44" borderId="3" xfId="440" applyNumberFormat="1" applyFont="1" applyFill="1" applyBorder="1"/>
    <xf numFmtId="223" fontId="123" fillId="44" borderId="37" xfId="440" applyNumberFormat="1" applyFont="1" applyFill="1" applyBorder="1"/>
    <xf numFmtId="223" fontId="123" fillId="44" borderId="6" xfId="440" applyNumberFormat="1" applyFont="1" applyFill="1" applyBorder="1"/>
    <xf numFmtId="38" fontId="123" fillId="44" borderId="3" xfId="440" applyFont="1" applyFill="1" applyBorder="1"/>
    <xf numFmtId="38" fontId="123" fillId="44" borderId="0" xfId="1" applyNumberFormat="1" applyFont="1" applyFill="1"/>
    <xf numFmtId="38" fontId="123" fillId="44" borderId="3" xfId="1" applyNumberFormat="1" applyFont="1" applyFill="1" applyBorder="1"/>
    <xf numFmtId="0" fontId="123" fillId="44" borderId="3" xfId="1" applyFont="1" applyFill="1" applyBorder="1"/>
    <xf numFmtId="9" fontId="123" fillId="44" borderId="6" xfId="3" applyFont="1" applyFill="1" applyBorder="1"/>
    <xf numFmtId="9" fontId="123" fillId="44" borderId="37" xfId="3" applyFont="1" applyFill="1" applyBorder="1"/>
    <xf numFmtId="0" fontId="154" fillId="44" borderId="0" xfId="1" applyFont="1" applyFill="1"/>
    <xf numFmtId="38" fontId="123" fillId="44" borderId="6" xfId="440" applyFont="1" applyFill="1" applyBorder="1"/>
    <xf numFmtId="38" fontId="123" fillId="44" borderId="37" xfId="440" applyFont="1" applyFill="1" applyBorder="1"/>
    <xf numFmtId="178" fontId="123" fillId="44" borderId="6" xfId="1" applyNumberFormat="1" applyFont="1" applyFill="1" applyBorder="1"/>
    <xf numFmtId="3" fontId="123" fillId="44" borderId="6" xfId="1" applyNumberFormat="1" applyFont="1" applyFill="1" applyBorder="1"/>
    <xf numFmtId="178" fontId="123" fillId="44" borderId="37" xfId="1" applyNumberFormat="1" applyFont="1" applyFill="1" applyBorder="1"/>
    <xf numFmtId="0" fontId="123" fillId="44" borderId="37" xfId="1" applyFont="1" applyFill="1" applyBorder="1" applyAlignment="1">
      <alignment vertical="center"/>
    </xf>
    <xf numFmtId="38" fontId="123" fillId="44" borderId="0" xfId="440" applyFont="1" applyFill="1" applyBorder="1" applyAlignment="1">
      <alignment vertical="center"/>
    </xf>
    <xf numFmtId="38" fontId="123" fillId="44" borderId="6" xfId="440" applyFont="1" applyFill="1" applyBorder="1" applyAlignment="1">
      <alignment vertical="center"/>
    </xf>
    <xf numFmtId="38" fontId="123" fillId="44" borderId="37" xfId="440" applyFont="1" applyFill="1" applyBorder="1" applyAlignment="1">
      <alignment vertical="center"/>
    </xf>
    <xf numFmtId="0" fontId="123" fillId="44" borderId="0" xfId="1" applyFont="1" applyFill="1" applyAlignment="1">
      <alignment vertical="center"/>
    </xf>
    <xf numFmtId="3" fontId="123" fillId="44" borderId="3" xfId="1" applyNumberFormat="1" applyFont="1" applyFill="1" applyBorder="1" applyAlignment="1">
      <alignment vertical="center"/>
    </xf>
    <xf numFmtId="223" fontId="123" fillId="44" borderId="6" xfId="440" applyNumberFormat="1" applyFont="1" applyFill="1" applyBorder="1" applyAlignment="1">
      <alignment vertical="center"/>
    </xf>
    <xf numFmtId="178" fontId="123" fillId="44" borderId="0" xfId="1" applyNumberFormat="1" applyFont="1" applyFill="1" applyAlignment="1">
      <alignment vertical="center"/>
    </xf>
    <xf numFmtId="0" fontId="123" fillId="44" borderId="6" xfId="1" applyFont="1" applyFill="1" applyBorder="1" applyAlignment="1">
      <alignment vertical="center"/>
    </xf>
    <xf numFmtId="223" fontId="123" fillId="44" borderId="37" xfId="440" applyNumberFormat="1" applyFont="1" applyFill="1" applyBorder="1" applyAlignment="1">
      <alignment vertical="center"/>
    </xf>
    <xf numFmtId="223" fontId="123" fillId="44" borderId="10" xfId="440" applyNumberFormat="1" applyFont="1" applyFill="1" applyBorder="1" applyAlignment="1">
      <alignment vertical="center"/>
    </xf>
    <xf numFmtId="38" fontId="123" fillId="44" borderId="10" xfId="1" applyNumberFormat="1" applyFont="1" applyFill="1" applyBorder="1" applyAlignment="1">
      <alignment vertical="center"/>
    </xf>
    <xf numFmtId="3" fontId="123" fillId="44" borderId="20" xfId="1" applyNumberFormat="1" applyFont="1" applyFill="1" applyBorder="1" applyAlignment="1">
      <alignment horizontal="right" vertical="center"/>
    </xf>
    <xf numFmtId="38" fontId="123" fillId="44" borderId="20" xfId="440" applyFont="1" applyFill="1" applyBorder="1" applyAlignment="1">
      <alignment horizontal="right" vertical="center"/>
    </xf>
    <xf numFmtId="223" fontId="123" fillId="44" borderId="3" xfId="440" applyNumberFormat="1" applyFont="1" applyFill="1" applyBorder="1" applyAlignment="1">
      <alignment horizontal="right" vertical="center"/>
    </xf>
    <xf numFmtId="3" fontId="123" fillId="44" borderId="10" xfId="1" applyNumberFormat="1" applyFont="1" applyFill="1" applyBorder="1"/>
    <xf numFmtId="180" fontId="123" fillId="44" borderId="18" xfId="3" applyNumberFormat="1" applyFont="1" applyFill="1" applyBorder="1" applyAlignment="1">
      <alignment vertical="center"/>
    </xf>
    <xf numFmtId="180" fontId="123" fillId="44" borderId="10" xfId="3" applyNumberFormat="1" applyFont="1" applyFill="1" applyBorder="1" applyAlignment="1">
      <alignment vertical="center"/>
    </xf>
    <xf numFmtId="0" fontId="123" fillId="44" borderId="10" xfId="1" applyFont="1" applyFill="1" applyBorder="1" applyAlignment="1">
      <alignment vertical="center"/>
    </xf>
    <xf numFmtId="180" fontId="123" fillId="44" borderId="19" xfId="3" applyNumberFormat="1" applyFont="1" applyFill="1" applyBorder="1" applyAlignment="1">
      <alignment vertical="center"/>
    </xf>
    <xf numFmtId="3" fontId="123" fillId="44" borderId="18" xfId="1" applyNumberFormat="1" applyFont="1" applyFill="1" applyBorder="1" applyAlignment="1">
      <alignment vertical="center"/>
    </xf>
    <xf numFmtId="38" fontId="123" fillId="44" borderId="10" xfId="440" applyFont="1" applyFill="1" applyBorder="1" applyAlignment="1">
      <alignment vertical="center"/>
    </xf>
    <xf numFmtId="3" fontId="123" fillId="44" borderId="10" xfId="1" applyNumberFormat="1" applyFont="1" applyFill="1" applyBorder="1" applyAlignment="1">
      <alignment vertical="center"/>
    </xf>
    <xf numFmtId="0" fontId="123" fillId="44" borderId="37" xfId="1" applyFont="1" applyFill="1" applyBorder="1"/>
    <xf numFmtId="0" fontId="123" fillId="44" borderId="6" xfId="1" applyFont="1" applyFill="1" applyBorder="1"/>
    <xf numFmtId="38" fontId="123" fillId="44" borderId="0" xfId="1" applyNumberFormat="1" applyFont="1" applyFill="1" applyAlignment="1">
      <alignment horizontal="left"/>
    </xf>
    <xf numFmtId="38" fontId="150" fillId="0" borderId="0" xfId="440" applyFont="1" applyFill="1" applyBorder="1"/>
    <xf numFmtId="184" fontId="7" fillId="0" borderId="0" xfId="440" applyNumberFormat="1" applyFont="1" applyFill="1" applyBorder="1"/>
    <xf numFmtId="180" fontId="123" fillId="0" borderId="8" xfId="716" applyNumberFormat="1" applyFont="1" applyFill="1" applyBorder="1" applyAlignment="1"/>
    <xf numFmtId="184" fontId="150" fillId="0" borderId="0" xfId="440" applyNumberFormat="1" applyFont="1" applyFill="1" applyBorder="1"/>
    <xf numFmtId="184" fontId="123" fillId="0" borderId="8" xfId="440" applyNumberFormat="1" applyFont="1" applyFill="1" applyBorder="1"/>
    <xf numFmtId="180" fontId="123" fillId="44" borderId="0" xfId="716" applyNumberFormat="1" applyFont="1" applyFill="1" applyBorder="1" applyAlignment="1"/>
    <xf numFmtId="0" fontId="7" fillId="47" borderId="0" xfId="0" applyFont="1" applyFill="1"/>
    <xf numFmtId="0" fontId="7" fillId="47" borderId="0" xfId="1" applyFont="1" applyFill="1"/>
    <xf numFmtId="0" fontId="123" fillId="47" borderId="0" xfId="1" applyFont="1" applyFill="1"/>
    <xf numFmtId="38" fontId="7" fillId="47" borderId="0" xfId="440" applyFont="1" applyFill="1" applyBorder="1"/>
    <xf numFmtId="38" fontId="123" fillId="47" borderId="0" xfId="440" applyFont="1" applyFill="1" applyBorder="1"/>
    <xf numFmtId="38" fontId="7" fillId="47" borderId="8" xfId="440" applyFont="1" applyFill="1" applyBorder="1"/>
    <xf numFmtId="0" fontId="123" fillId="47" borderId="0" xfId="0" applyFont="1" applyFill="1"/>
    <xf numFmtId="180" fontId="123" fillId="47" borderId="0" xfId="3" applyNumberFormat="1" applyFont="1" applyFill="1" applyBorder="1"/>
    <xf numFmtId="180" fontId="123" fillId="47" borderId="8" xfId="3" applyNumberFormat="1" applyFont="1" applyFill="1" applyBorder="1"/>
    <xf numFmtId="0" fontId="123" fillId="34" borderId="0" xfId="1" applyFont="1" applyFill="1"/>
    <xf numFmtId="0" fontId="7" fillId="34" borderId="0" xfId="1" applyFont="1" applyFill="1" applyAlignment="1">
      <alignment horizontal="left" indent="2"/>
    </xf>
    <xf numFmtId="0" fontId="123" fillId="34" borderId="0" xfId="0" applyFont="1" applyFill="1"/>
    <xf numFmtId="180" fontId="123" fillId="34" borderId="0" xfId="3" applyNumberFormat="1" applyFont="1" applyFill="1" applyBorder="1"/>
    <xf numFmtId="180" fontId="123" fillId="34" borderId="8" xfId="3" applyNumberFormat="1" applyFont="1" applyFill="1" applyBorder="1"/>
    <xf numFmtId="0" fontId="7" fillId="34" borderId="0" xfId="1" applyFont="1" applyFill="1" applyAlignment="1">
      <alignment horizontal="left" indent="1"/>
    </xf>
    <xf numFmtId="0" fontId="7" fillId="34" borderId="0" xfId="1" applyFont="1" applyFill="1" applyAlignment="1">
      <alignment horizontal="left" indent="3"/>
    </xf>
    <xf numFmtId="180" fontId="123" fillId="34" borderId="0" xfId="716" applyNumberFormat="1" applyFont="1" applyFill="1" applyBorder="1" applyAlignment="1"/>
    <xf numFmtId="180" fontId="123" fillId="34" borderId="8" xfId="716" applyNumberFormat="1" applyFont="1" applyFill="1" applyBorder="1" applyAlignment="1"/>
    <xf numFmtId="38" fontId="7" fillId="36" borderId="8" xfId="440" applyFont="1" applyFill="1" applyBorder="1"/>
    <xf numFmtId="38" fontId="7" fillId="36" borderId="0" xfId="440" applyFont="1" applyFill="1" applyBorder="1"/>
    <xf numFmtId="0" fontId="7" fillId="48" borderId="0" xfId="0" applyFont="1" applyFill="1"/>
    <xf numFmtId="0" fontId="7" fillId="48" borderId="0" xfId="1" applyFont="1" applyFill="1"/>
    <xf numFmtId="0" fontId="123" fillId="48" borderId="0" xfId="1" applyFont="1" applyFill="1"/>
    <xf numFmtId="38" fontId="7" fillId="48" borderId="0" xfId="440" applyFont="1" applyFill="1" applyBorder="1"/>
    <xf numFmtId="38" fontId="123" fillId="48" borderId="0" xfId="440" applyFont="1" applyFill="1" applyBorder="1"/>
    <xf numFmtId="38" fontId="7" fillId="48" borderId="8" xfId="440" applyFont="1" applyFill="1" applyBorder="1"/>
    <xf numFmtId="38" fontId="7" fillId="47" borderId="0" xfId="440" quotePrefix="1" applyFont="1" applyFill="1" applyBorder="1"/>
    <xf numFmtId="38" fontId="150" fillId="48" borderId="0" xfId="440" applyFont="1" applyFill="1" applyBorder="1"/>
    <xf numFmtId="38" fontId="150" fillId="47" borderId="0" xfId="440" applyFont="1" applyFill="1" applyBorder="1"/>
    <xf numFmtId="38" fontId="155" fillId="32" borderId="0" xfId="440" applyFont="1" applyFill="1" applyBorder="1"/>
    <xf numFmtId="38" fontId="150" fillId="32" borderId="0" xfId="440" applyFont="1" applyFill="1" applyBorder="1"/>
    <xf numFmtId="180" fontId="123" fillId="0" borderId="0" xfId="3" applyNumberFormat="1" applyFont="1"/>
    <xf numFmtId="180" fontId="123" fillId="0" borderId="0" xfId="3" applyNumberFormat="1" applyFont="1" applyBorder="1"/>
    <xf numFmtId="180" fontId="123" fillId="0" borderId="12" xfId="3" applyNumberFormat="1" applyFont="1" applyBorder="1"/>
    <xf numFmtId="180" fontId="123" fillId="0" borderId="12" xfId="3" applyNumberFormat="1" applyFont="1" applyFill="1" applyBorder="1"/>
    <xf numFmtId="38" fontId="123" fillId="0" borderId="0" xfId="440" applyFont="1"/>
    <xf numFmtId="180" fontId="150" fillId="0" borderId="0" xfId="3" applyNumberFormat="1" applyFont="1" applyBorder="1"/>
    <xf numFmtId="0" fontId="151" fillId="49" borderId="0" xfId="1" applyFont="1" applyFill="1" applyAlignment="1">
      <alignment horizontal="center"/>
    </xf>
    <xf numFmtId="0" fontId="151" fillId="49" borderId="12" xfId="1" applyFont="1" applyFill="1" applyBorder="1" applyAlignment="1">
      <alignment horizontal="center"/>
    </xf>
    <xf numFmtId="38" fontId="7" fillId="0" borderId="12" xfId="440" applyFont="1" applyFill="1" applyBorder="1"/>
    <xf numFmtId="40" fontId="7" fillId="0" borderId="12" xfId="440" applyNumberFormat="1" applyFont="1" applyFill="1" applyBorder="1"/>
    <xf numFmtId="38" fontId="7" fillId="32" borderId="12" xfId="440" applyFont="1" applyFill="1" applyBorder="1"/>
    <xf numFmtId="38" fontId="7" fillId="21" borderId="0" xfId="440" applyFont="1" applyFill="1" applyBorder="1"/>
    <xf numFmtId="38" fontId="7" fillId="21" borderId="8" xfId="440" applyFont="1" applyFill="1" applyBorder="1"/>
    <xf numFmtId="38" fontId="7" fillId="21" borderId="12" xfId="440" applyFont="1" applyFill="1" applyBorder="1"/>
    <xf numFmtId="9" fontId="123" fillId="0" borderId="0" xfId="3" applyFont="1" applyBorder="1"/>
    <xf numFmtId="0" fontId="7" fillId="44" borderId="8" xfId="1" applyFont="1" applyFill="1" applyBorder="1"/>
    <xf numFmtId="0" fontId="151" fillId="44" borderId="8" xfId="1" applyFont="1" applyFill="1" applyBorder="1" applyAlignment="1">
      <alignment horizontal="center"/>
    </xf>
    <xf numFmtId="38" fontId="7" fillId="44" borderId="8" xfId="440" applyFont="1" applyFill="1" applyBorder="1"/>
    <xf numFmtId="180" fontId="123" fillId="44" borderId="8" xfId="3" applyNumberFormat="1" applyFont="1" applyFill="1" applyBorder="1"/>
    <xf numFmtId="40" fontId="7" fillId="44" borderId="8" xfId="440" applyNumberFormat="1" applyFont="1" applyFill="1" applyBorder="1"/>
    <xf numFmtId="180" fontId="7" fillId="44" borderId="8" xfId="3" applyNumberFormat="1" applyFont="1" applyFill="1" applyBorder="1"/>
    <xf numFmtId="223" fontId="7" fillId="44" borderId="8" xfId="440" applyNumberFormat="1" applyFont="1" applyFill="1" applyBorder="1"/>
    <xf numFmtId="9" fontId="7" fillId="44" borderId="8" xfId="3" applyFont="1" applyFill="1" applyBorder="1"/>
    <xf numFmtId="38" fontId="7" fillId="44" borderId="8" xfId="1" applyNumberFormat="1" applyFont="1" applyFill="1" applyBorder="1"/>
    <xf numFmtId="0" fontId="156" fillId="44" borderId="8" xfId="1" applyFont="1" applyFill="1" applyBorder="1" applyAlignment="1">
      <alignment horizontal="center"/>
    </xf>
    <xf numFmtId="0" fontId="7" fillId="44" borderId="0" xfId="1" applyFont="1" applyFill="1"/>
    <xf numFmtId="0" fontId="156" fillId="44" borderId="0" xfId="1" applyFont="1" applyFill="1" applyAlignment="1">
      <alignment horizontal="center"/>
    </xf>
    <xf numFmtId="0" fontId="151" fillId="44" borderId="0" xfId="1" applyFont="1" applyFill="1" applyAlignment="1">
      <alignment horizontal="center"/>
    </xf>
    <xf numFmtId="38" fontId="7" fillId="44" borderId="0" xfId="440" applyFont="1" applyFill="1" applyBorder="1"/>
    <xf numFmtId="40" fontId="7" fillId="44" borderId="0" xfId="440" applyNumberFormat="1" applyFont="1" applyFill="1" applyBorder="1"/>
    <xf numFmtId="180" fontId="7" fillId="44" borderId="0" xfId="3" applyNumberFormat="1" applyFont="1" applyFill="1" applyBorder="1"/>
    <xf numFmtId="223" fontId="7" fillId="44" borderId="0" xfId="440" applyNumberFormat="1" applyFont="1" applyFill="1" applyBorder="1"/>
    <xf numFmtId="9" fontId="7" fillId="44" borderId="0" xfId="3" applyFont="1" applyFill="1" applyBorder="1"/>
    <xf numFmtId="38" fontId="7" fillId="44" borderId="0" xfId="1" applyNumberFormat="1" applyFont="1" applyFill="1"/>
    <xf numFmtId="9" fontId="123" fillId="44" borderId="8" xfId="3" applyFont="1" applyFill="1" applyBorder="1"/>
    <xf numFmtId="38" fontId="7" fillId="0" borderId="20" xfId="440" applyFont="1" applyBorder="1"/>
    <xf numFmtId="180" fontId="7" fillId="0" borderId="20" xfId="3" applyNumberFormat="1" applyFont="1" applyBorder="1"/>
    <xf numFmtId="180" fontId="7" fillId="44" borderId="20" xfId="3" applyNumberFormat="1" applyFont="1" applyFill="1" applyBorder="1"/>
    <xf numFmtId="180" fontId="7" fillId="44" borderId="34" xfId="3" applyNumberFormat="1" applyFont="1" applyFill="1" applyBorder="1"/>
    <xf numFmtId="180" fontId="7" fillId="0" borderId="42" xfId="3" applyNumberFormat="1" applyFont="1" applyBorder="1"/>
    <xf numFmtId="38" fontId="7" fillId="0" borderId="23" xfId="440" applyFont="1" applyBorder="1"/>
    <xf numFmtId="180" fontId="7" fillId="0" borderId="23" xfId="3" applyNumberFormat="1" applyFont="1" applyBorder="1"/>
    <xf numFmtId="180" fontId="7" fillId="44" borderId="23" xfId="3" applyNumberFormat="1" applyFont="1" applyFill="1" applyBorder="1"/>
    <xf numFmtId="180" fontId="7" fillId="44" borderId="43" xfId="3" applyNumberFormat="1" applyFont="1" applyFill="1" applyBorder="1"/>
    <xf numFmtId="180" fontId="7" fillId="0" borderId="44" xfId="3" applyNumberFormat="1" applyFont="1" applyBorder="1"/>
    <xf numFmtId="180" fontId="123" fillId="0" borderId="12" xfId="716" applyNumberFormat="1" applyFont="1" applyFill="1" applyBorder="1" applyAlignment="1"/>
    <xf numFmtId="38" fontId="7" fillId="46" borderId="37" xfId="440" applyFont="1" applyFill="1" applyBorder="1"/>
    <xf numFmtId="38" fontId="123" fillId="46" borderId="37" xfId="440" applyFont="1" applyFill="1" applyBorder="1"/>
    <xf numFmtId="38" fontId="7" fillId="46" borderId="38" xfId="440" applyFont="1" applyFill="1" applyBorder="1"/>
    <xf numFmtId="180" fontId="123" fillId="46" borderId="45" xfId="716" applyNumberFormat="1" applyFont="1" applyFill="1" applyBorder="1" applyAlignment="1"/>
    <xf numFmtId="180" fontId="123" fillId="44" borderId="45" xfId="716" applyNumberFormat="1" applyFont="1" applyFill="1" applyBorder="1" applyAlignment="1"/>
    <xf numFmtId="180" fontId="123" fillId="46" borderId="46" xfId="716" applyNumberFormat="1" applyFont="1" applyFill="1" applyBorder="1" applyAlignment="1"/>
    <xf numFmtId="180" fontId="123" fillId="0" borderId="45" xfId="716" applyNumberFormat="1" applyFont="1" applyFill="1" applyBorder="1" applyAlignment="1"/>
    <xf numFmtId="180" fontId="123" fillId="32" borderId="12" xfId="3" applyNumberFormat="1" applyFont="1" applyFill="1" applyBorder="1"/>
    <xf numFmtId="38" fontId="123" fillId="32" borderId="0" xfId="440" applyFont="1" applyFill="1"/>
    <xf numFmtId="180" fontId="123" fillId="32" borderId="0" xfId="3" applyNumberFormat="1" applyFont="1" applyFill="1"/>
    <xf numFmtId="38" fontId="7" fillId="21" borderId="0" xfId="440" applyFont="1" applyFill="1"/>
    <xf numFmtId="0" fontId="123" fillId="21" borderId="0" xfId="1" applyFont="1" applyFill="1"/>
    <xf numFmtId="180" fontId="123" fillId="21" borderId="0" xfId="3" applyNumberFormat="1" applyFont="1" applyFill="1"/>
    <xf numFmtId="180" fontId="123" fillId="21" borderId="0" xfId="3" applyNumberFormat="1" applyFont="1" applyFill="1" applyBorder="1"/>
    <xf numFmtId="180" fontId="123" fillId="21" borderId="8" xfId="3" applyNumberFormat="1" applyFont="1" applyFill="1" applyBorder="1"/>
    <xf numFmtId="180" fontId="123" fillId="21" borderId="12" xfId="3" applyNumberFormat="1" applyFont="1" applyFill="1" applyBorder="1"/>
    <xf numFmtId="38" fontId="112" fillId="0" borderId="0" xfId="440" applyFont="1" applyFill="1" applyBorder="1"/>
    <xf numFmtId="38" fontId="112" fillId="0" borderId="0" xfId="440" applyFont="1"/>
    <xf numFmtId="38" fontId="7" fillId="0" borderId="0" xfId="440" applyFont="1" applyFill="1"/>
    <xf numFmtId="38" fontId="7" fillId="34" borderId="0" xfId="440" applyFont="1" applyFill="1"/>
    <xf numFmtId="38" fontId="7" fillId="34" borderId="12" xfId="440" applyFont="1" applyFill="1" applyBorder="1"/>
    <xf numFmtId="180" fontId="123" fillId="34" borderId="0" xfId="3" applyNumberFormat="1" applyFont="1" applyFill="1"/>
    <xf numFmtId="180" fontId="123" fillId="34" borderId="12" xfId="3" applyNumberFormat="1" applyFont="1" applyFill="1" applyBorder="1"/>
    <xf numFmtId="180" fontId="123" fillId="0" borderId="0" xfId="3" applyNumberFormat="1" applyFont="1" applyFill="1"/>
    <xf numFmtId="223" fontId="7" fillId="47" borderId="0" xfId="440" applyNumberFormat="1" applyFont="1" applyFill="1"/>
    <xf numFmtId="223" fontId="7" fillId="47" borderId="0" xfId="440" applyNumberFormat="1" applyFont="1" applyFill="1" applyBorder="1"/>
    <xf numFmtId="223" fontId="7" fillId="47" borderId="8" xfId="440" applyNumberFormat="1" applyFont="1" applyFill="1" applyBorder="1"/>
    <xf numFmtId="223" fontId="7" fillId="47" borderId="12" xfId="440" applyNumberFormat="1" applyFont="1" applyFill="1" applyBorder="1"/>
    <xf numFmtId="0" fontId="157" fillId="45" borderId="0" xfId="1" applyFont="1" applyFill="1"/>
    <xf numFmtId="223" fontId="157" fillId="45" borderId="0" xfId="440" applyNumberFormat="1" applyFont="1" applyFill="1"/>
    <xf numFmtId="223" fontId="157" fillId="45" borderId="0" xfId="440" applyNumberFormat="1" applyFont="1" applyFill="1" applyBorder="1"/>
    <xf numFmtId="223" fontId="157" fillId="45" borderId="8" xfId="440" applyNumberFormat="1" applyFont="1" applyFill="1" applyBorder="1"/>
    <xf numFmtId="223" fontId="157" fillId="45" borderId="12" xfId="440" applyNumberFormat="1" applyFont="1" applyFill="1" applyBorder="1"/>
    <xf numFmtId="169" fontId="7" fillId="0" borderId="0" xfId="717" applyFont="1"/>
    <xf numFmtId="169" fontId="7" fillId="44" borderId="0" xfId="717" applyFont="1" applyFill="1" applyBorder="1"/>
    <xf numFmtId="169" fontId="7" fillId="44" borderId="8" xfId="717" applyFont="1" applyFill="1" applyBorder="1"/>
    <xf numFmtId="169" fontId="7" fillId="0" borderId="12" xfId="717" applyFont="1" applyBorder="1"/>
    <xf numFmtId="222" fontId="7" fillId="44" borderId="0" xfId="717" applyNumberFormat="1" applyFont="1" applyFill="1" applyBorder="1"/>
    <xf numFmtId="222" fontId="7" fillId="44" borderId="8" xfId="717" applyNumberFormat="1" applyFont="1" applyFill="1" applyBorder="1"/>
    <xf numFmtId="9" fontId="123" fillId="0" borderId="0" xfId="3" applyFont="1"/>
    <xf numFmtId="180" fontId="7" fillId="0" borderId="0" xfId="3" applyNumberFormat="1" applyFont="1" applyFill="1"/>
    <xf numFmtId="222" fontId="7" fillId="47" borderId="0" xfId="717" applyNumberFormat="1" applyFont="1" applyFill="1"/>
    <xf numFmtId="222" fontId="7" fillId="47" borderId="0" xfId="717" applyNumberFormat="1" applyFont="1" applyFill="1" applyBorder="1"/>
    <xf numFmtId="222" fontId="7" fillId="47" borderId="8" xfId="717" applyNumberFormat="1" applyFont="1" applyFill="1" applyBorder="1"/>
    <xf numFmtId="222" fontId="7" fillId="47" borderId="12" xfId="717" applyNumberFormat="1" applyFont="1" applyFill="1" applyBorder="1"/>
    <xf numFmtId="222" fontId="7" fillId="0" borderId="47" xfId="717" applyNumberFormat="1" applyFont="1" applyBorder="1"/>
    <xf numFmtId="222" fontId="7" fillId="30" borderId="47" xfId="717" applyNumberFormat="1" applyFont="1" applyFill="1" applyBorder="1"/>
    <xf numFmtId="222" fontId="7" fillId="44" borderId="47" xfId="717" applyNumberFormat="1" applyFont="1" applyFill="1" applyBorder="1"/>
    <xf numFmtId="222" fontId="7" fillId="44" borderId="48" xfId="717" applyNumberFormat="1" applyFont="1" applyFill="1" applyBorder="1"/>
    <xf numFmtId="222" fontId="7" fillId="0" borderId="49" xfId="717" applyNumberFormat="1" applyFont="1" applyBorder="1"/>
    <xf numFmtId="180" fontId="150" fillId="0" borderId="12" xfId="716" applyNumberFormat="1" applyFont="1" applyBorder="1" applyAlignment="1"/>
    <xf numFmtId="38" fontId="150" fillId="0" borderId="0" xfId="440" applyFont="1" applyBorder="1"/>
    <xf numFmtId="0" fontId="112" fillId="0" borderId="0" xfId="1" applyFont="1"/>
    <xf numFmtId="223" fontId="150" fillId="0" borderId="0" xfId="440" applyNumberFormat="1" applyFont="1" applyBorder="1"/>
    <xf numFmtId="38" fontId="7" fillId="48" borderId="12" xfId="440" applyFont="1" applyFill="1" applyBorder="1"/>
    <xf numFmtId="226" fontId="7" fillId="0" borderId="0" xfId="717" applyNumberFormat="1" applyFont="1" applyFill="1" applyBorder="1"/>
    <xf numFmtId="184" fontId="150" fillId="48" borderId="12" xfId="440" applyNumberFormat="1" applyFont="1" applyFill="1" applyBorder="1"/>
    <xf numFmtId="184" fontId="150" fillId="48" borderId="0" xfId="440" applyNumberFormat="1" applyFont="1" applyFill="1" applyBorder="1"/>
    <xf numFmtId="0" fontId="158" fillId="50" borderId="0" xfId="1" applyFont="1" applyFill="1"/>
    <xf numFmtId="0" fontId="158" fillId="50" borderId="8" xfId="1" applyFont="1" applyFill="1" applyBorder="1"/>
    <xf numFmtId="9" fontId="158" fillId="50" borderId="0" xfId="716" applyFont="1" applyFill="1" applyBorder="1" applyAlignment="1"/>
    <xf numFmtId="180" fontId="123" fillId="0" borderId="0" xfId="716" applyNumberFormat="1" applyFont="1" applyAlignment="1"/>
    <xf numFmtId="180" fontId="123" fillId="0" borderId="0" xfId="716" applyNumberFormat="1" applyFont="1" applyBorder="1" applyAlignment="1"/>
    <xf numFmtId="180" fontId="123" fillId="44" borderId="8" xfId="716" applyNumberFormat="1" applyFont="1" applyFill="1" applyBorder="1" applyAlignment="1"/>
    <xf numFmtId="180" fontId="123" fillId="0" borderId="12" xfId="716" applyNumberFormat="1" applyFont="1" applyBorder="1" applyAlignment="1"/>
    <xf numFmtId="180" fontId="150" fillId="34" borderId="0" xfId="3" applyNumberFormat="1" applyFont="1" applyFill="1" applyBorder="1"/>
    <xf numFmtId="226" fontId="158" fillId="50" borderId="12" xfId="717" applyNumberFormat="1" applyFont="1" applyFill="1" applyBorder="1"/>
    <xf numFmtId="226" fontId="7" fillId="0" borderId="0" xfId="717" applyNumberFormat="1" applyFont="1" applyFill="1" applyBorder="1" applyAlignment="1"/>
    <xf numFmtId="226" fontId="7" fillId="0" borderId="0" xfId="717" applyNumberFormat="1" applyFont="1" applyFill="1"/>
    <xf numFmtId="226" fontId="7" fillId="44" borderId="0" xfId="717" applyNumberFormat="1" applyFont="1" applyFill="1" applyBorder="1" applyAlignment="1"/>
    <xf numFmtId="226" fontId="7" fillId="44" borderId="8" xfId="717" applyNumberFormat="1" applyFont="1" applyFill="1" applyBorder="1" applyAlignment="1"/>
    <xf numFmtId="226" fontId="7" fillId="0" borderId="12" xfId="717" applyNumberFormat="1" applyFont="1" applyFill="1" applyBorder="1" applyAlignment="1"/>
    <xf numFmtId="226" fontId="7" fillId="0" borderId="8" xfId="717" applyNumberFormat="1" applyFont="1" applyFill="1" applyBorder="1" applyAlignment="1"/>
    <xf numFmtId="180" fontId="150" fillId="34" borderId="12" xfId="3" applyNumberFormat="1" applyFont="1" applyFill="1" applyBorder="1"/>
    <xf numFmtId="3" fontId="7" fillId="32" borderId="8" xfId="440" applyNumberFormat="1" applyFont="1" applyFill="1" applyBorder="1"/>
    <xf numFmtId="3" fontId="123" fillId="0" borderId="0" xfId="1" applyNumberFormat="1" applyFont="1"/>
    <xf numFmtId="3" fontId="123" fillId="0" borderId="0" xfId="440" applyNumberFormat="1" applyFont="1" applyFill="1" applyBorder="1"/>
    <xf numFmtId="9" fontId="123" fillId="0" borderId="0" xfId="716" applyFont="1" applyFill="1" applyBorder="1" applyAlignment="1"/>
    <xf numFmtId="180" fontId="123" fillId="32" borderId="0" xfId="716" applyNumberFormat="1" applyFont="1" applyFill="1" applyBorder="1" applyAlignment="1"/>
    <xf numFmtId="180" fontId="123" fillId="32" borderId="8" xfId="716" applyNumberFormat="1" applyFont="1" applyFill="1" applyBorder="1" applyAlignment="1"/>
    <xf numFmtId="3" fontId="7" fillId="21" borderId="0" xfId="0" applyNumberFormat="1" applyFont="1" applyFill="1"/>
    <xf numFmtId="3" fontId="7" fillId="21" borderId="0" xfId="440" applyNumberFormat="1" applyFont="1" applyFill="1" applyBorder="1"/>
    <xf numFmtId="3" fontId="7" fillId="33" borderId="0" xfId="0" applyNumberFormat="1" applyFont="1" applyFill="1"/>
    <xf numFmtId="0" fontId="7" fillId="33" borderId="0" xfId="1" applyFont="1" applyFill="1"/>
    <xf numFmtId="3" fontId="7" fillId="33" borderId="0" xfId="440" applyNumberFormat="1" applyFont="1" applyFill="1" applyBorder="1"/>
    <xf numFmtId="180" fontId="7" fillId="33" borderId="0" xfId="3" applyNumberFormat="1" applyFont="1" applyFill="1" applyBorder="1"/>
    <xf numFmtId="38" fontId="7" fillId="33" borderId="0" xfId="440" applyFont="1" applyFill="1" applyBorder="1"/>
    <xf numFmtId="38" fontId="123" fillId="33" borderId="0" xfId="440" applyFont="1" applyFill="1" applyBorder="1"/>
    <xf numFmtId="38" fontId="7" fillId="33" borderId="8" xfId="440" applyFont="1" applyFill="1" applyBorder="1"/>
    <xf numFmtId="3" fontId="7" fillId="47" borderId="0" xfId="0" applyNumberFormat="1" applyFont="1" applyFill="1"/>
    <xf numFmtId="3" fontId="7" fillId="47" borderId="0" xfId="440" applyNumberFormat="1" applyFont="1" applyFill="1" applyBorder="1"/>
    <xf numFmtId="3" fontId="123" fillId="21" borderId="0" xfId="440" applyNumberFormat="1" applyFont="1" applyFill="1" applyBorder="1"/>
    <xf numFmtId="3" fontId="7" fillId="21" borderId="8" xfId="440" applyNumberFormat="1" applyFont="1" applyFill="1" applyBorder="1"/>
    <xf numFmtId="180" fontId="123" fillId="21" borderId="45" xfId="3" applyNumberFormat="1" applyFont="1" applyFill="1" applyBorder="1"/>
    <xf numFmtId="3" fontId="123" fillId="21" borderId="45" xfId="0" applyNumberFormat="1" applyFont="1" applyFill="1" applyBorder="1"/>
    <xf numFmtId="0" fontId="123" fillId="21" borderId="45" xfId="1" applyFont="1" applyFill="1" applyBorder="1"/>
    <xf numFmtId="3" fontId="123" fillId="21" borderId="45" xfId="440" applyNumberFormat="1" applyFont="1" applyFill="1" applyBorder="1"/>
    <xf numFmtId="180" fontId="123" fillId="21" borderId="46" xfId="3" applyNumberFormat="1" applyFont="1" applyFill="1" applyBorder="1"/>
    <xf numFmtId="180" fontId="123" fillId="0" borderId="45" xfId="3" applyNumberFormat="1" applyFont="1" applyFill="1" applyBorder="1"/>
    <xf numFmtId="180" fontId="123" fillId="21" borderId="0" xfId="716" applyNumberFormat="1" applyFont="1" applyFill="1" applyBorder="1" applyAlignment="1"/>
    <xf numFmtId="180" fontId="123" fillId="21" borderId="8" xfId="716" applyNumberFormat="1" applyFont="1" applyFill="1" applyBorder="1" applyAlignment="1"/>
    <xf numFmtId="3" fontId="7" fillId="51" borderId="0" xfId="0" applyNumberFormat="1" applyFont="1" applyFill="1"/>
    <xf numFmtId="0" fontId="7" fillId="51" borderId="0" xfId="1" applyFont="1" applyFill="1"/>
    <xf numFmtId="3" fontId="7" fillId="51" borderId="0" xfId="440" applyNumberFormat="1" applyFont="1" applyFill="1" applyBorder="1"/>
    <xf numFmtId="38" fontId="7" fillId="51" borderId="0" xfId="440" applyFont="1" applyFill="1" applyBorder="1"/>
    <xf numFmtId="38" fontId="123" fillId="51" borderId="0" xfId="440" applyFont="1" applyFill="1" applyBorder="1"/>
    <xf numFmtId="226" fontId="7" fillId="47" borderId="0" xfId="717" applyNumberFormat="1" applyFont="1" applyFill="1" applyBorder="1"/>
    <xf numFmtId="226" fontId="7" fillId="47" borderId="8" xfId="717" applyNumberFormat="1" applyFont="1" applyFill="1" applyBorder="1"/>
    <xf numFmtId="226" fontId="7" fillId="0" borderId="0" xfId="717" quotePrefix="1" applyNumberFormat="1" applyFont="1" applyFill="1" applyBorder="1" applyAlignment="1">
      <alignment horizontal="left"/>
    </xf>
    <xf numFmtId="172" fontId="143" fillId="23" borderId="3" xfId="0" applyNumberFormat="1" applyFont="1" applyFill="1" applyBorder="1"/>
    <xf numFmtId="3" fontId="5" fillId="0" borderId="0" xfId="1" applyNumberFormat="1" applyFont="1"/>
    <xf numFmtId="3" fontId="5" fillId="0" borderId="0" xfId="0" applyNumberFormat="1" applyFont="1"/>
    <xf numFmtId="3" fontId="5" fillId="0" borderId="0" xfId="440" applyNumberFormat="1" applyFont="1" applyFill="1" applyBorder="1"/>
    <xf numFmtId="38" fontId="5" fillId="0" borderId="0" xfId="440" applyFont="1" applyFill="1" applyBorder="1"/>
    <xf numFmtId="38" fontId="127" fillId="0" borderId="0" xfId="440" applyFont="1" applyFill="1" applyBorder="1"/>
    <xf numFmtId="38" fontId="5" fillId="0" borderId="8" xfId="440" applyFont="1" applyFill="1" applyBorder="1"/>
    <xf numFmtId="3" fontId="7" fillId="44" borderId="0" xfId="0" applyNumberFormat="1" applyFont="1" applyFill="1"/>
    <xf numFmtId="3" fontId="7" fillId="44" borderId="0" xfId="440" applyNumberFormat="1" applyFont="1" applyFill="1" applyBorder="1"/>
    <xf numFmtId="184" fontId="150" fillId="44" borderId="8" xfId="440" applyNumberFormat="1" applyFont="1" applyFill="1" applyBorder="1"/>
    <xf numFmtId="184" fontId="150" fillId="44" borderId="0" xfId="440" applyNumberFormat="1" applyFont="1" applyFill="1" applyBorder="1"/>
    <xf numFmtId="184" fontId="7" fillId="44" borderId="0" xfId="440" applyNumberFormat="1" applyFont="1" applyFill="1" applyBorder="1"/>
    <xf numFmtId="184" fontId="123" fillId="44" borderId="0" xfId="440" applyNumberFormat="1" applyFont="1" applyFill="1" applyBorder="1"/>
    <xf numFmtId="216" fontId="129" fillId="25" borderId="0" xfId="717" applyNumberFormat="1" applyFont="1" applyFill="1" applyBorder="1" applyAlignment="1">
      <alignment horizontal="right"/>
    </xf>
    <xf numFmtId="228" fontId="7" fillId="52" borderId="0" xfId="132" applyNumberFormat="1" applyFont="1" applyFill="1" applyAlignment="1">
      <alignment horizontal="left" indent="1"/>
    </xf>
    <xf numFmtId="172" fontId="7" fillId="52" borderId="0" xfId="132" applyNumberFormat="1" applyFont="1" applyFill="1"/>
    <xf numFmtId="228" fontId="7" fillId="52" borderId="0" xfId="132" applyNumberFormat="1" applyFont="1" applyFill="1"/>
    <xf numFmtId="172" fontId="5" fillId="52" borderId="0" xfId="132" applyNumberFormat="1" applyFont="1" applyFill="1"/>
    <xf numFmtId="0" fontId="5" fillId="52" borderId="0" xfId="132" applyFont="1" applyFill="1"/>
    <xf numFmtId="172" fontId="134" fillId="52" borderId="0" xfId="132" applyNumberFormat="1" applyFont="1" applyFill="1"/>
    <xf numFmtId="221" fontId="7" fillId="52" borderId="0" xfId="3" applyNumberFormat="1" applyFont="1" applyFill="1" applyBorder="1"/>
    <xf numFmtId="173" fontId="7" fillId="52" borderId="0" xfId="3" applyNumberFormat="1" applyFont="1" applyFill="1" applyBorder="1"/>
    <xf numFmtId="173" fontId="7" fillId="52" borderId="8" xfId="3" applyNumberFormat="1" applyFont="1" applyFill="1" applyBorder="1"/>
    <xf numFmtId="172" fontId="5" fillId="52" borderId="11" xfId="1" applyNumberFormat="1" applyFont="1" applyFill="1" applyBorder="1"/>
    <xf numFmtId="172" fontId="134" fillId="52" borderId="11" xfId="132" applyNumberFormat="1" applyFont="1" applyFill="1" applyBorder="1"/>
    <xf numFmtId="172" fontId="5" fillId="52" borderId="11" xfId="132" applyNumberFormat="1" applyFont="1" applyFill="1" applyBorder="1"/>
    <xf numFmtId="172" fontId="5" fillId="52" borderId="37" xfId="132" applyNumberFormat="1" applyFont="1" applyFill="1" applyBorder="1"/>
    <xf numFmtId="172" fontId="5" fillId="52" borderId="38" xfId="132" applyNumberFormat="1" applyFont="1" applyFill="1" applyBorder="1"/>
    <xf numFmtId="180" fontId="150" fillId="0" borderId="12" xfId="3" applyNumberFormat="1" applyFont="1" applyBorder="1"/>
    <xf numFmtId="172" fontId="123" fillId="0" borderId="0" xfId="132" applyNumberFormat="1" applyFont="1"/>
    <xf numFmtId="172" fontId="5" fillId="52" borderId="8" xfId="132" applyNumberFormat="1" applyFont="1" applyFill="1" applyBorder="1"/>
    <xf numFmtId="169" fontId="7" fillId="0" borderId="8" xfId="717" applyFont="1" applyFill="1" applyBorder="1"/>
    <xf numFmtId="174" fontId="150" fillId="0" borderId="6" xfId="132" applyNumberFormat="1" applyFont="1" applyBorder="1"/>
    <xf numFmtId="180" fontId="7" fillId="52" borderId="0" xfId="716" applyNumberFormat="1" applyFont="1" applyFill="1" applyBorder="1" applyAlignment="1"/>
    <xf numFmtId="180" fontId="7" fillId="52" borderId="8" xfId="716" applyNumberFormat="1" applyFont="1" applyFill="1" applyBorder="1" applyAlignment="1"/>
    <xf numFmtId="224" fontId="133" fillId="0" borderId="0" xfId="132" applyNumberFormat="1" applyFont="1" applyAlignment="1">
      <alignment horizontal="right"/>
    </xf>
    <xf numFmtId="172" fontId="7" fillId="12" borderId="0" xfId="132" applyNumberFormat="1" applyFont="1" applyFill="1"/>
    <xf numFmtId="172" fontId="7" fillId="12" borderId="8" xfId="132" applyNumberFormat="1" applyFont="1" applyFill="1" applyBorder="1"/>
    <xf numFmtId="172" fontId="7" fillId="0" borderId="8" xfId="50" applyNumberFormat="1" applyFont="1" applyFill="1" applyBorder="1"/>
    <xf numFmtId="0" fontId="159" fillId="0" borderId="0" xfId="0" applyFont="1"/>
    <xf numFmtId="0" fontId="160" fillId="0" borderId="0" xfId="0" applyFont="1"/>
    <xf numFmtId="9" fontId="7" fillId="0" borderId="0" xfId="716" applyFont="1" applyBorder="1" applyAlignment="1"/>
    <xf numFmtId="3" fontId="111" fillId="0" borderId="0" xfId="441" applyNumberFormat="1" applyFont="1"/>
    <xf numFmtId="180" fontId="150" fillId="12" borderId="0" xfId="3" applyNumberFormat="1" applyFont="1" applyFill="1" applyBorder="1" applyAlignment="1">
      <alignment horizontal="right"/>
    </xf>
    <xf numFmtId="190" fontId="150" fillId="12" borderId="0" xfId="1" applyNumberFormat="1" applyFont="1" applyFill="1" applyAlignment="1">
      <alignment horizontal="right"/>
    </xf>
    <xf numFmtId="180" fontId="5" fillId="12" borderId="0" xfId="716" applyNumberFormat="1" applyFont="1" applyFill="1" applyBorder="1" applyAlignment="1"/>
    <xf numFmtId="180" fontId="123" fillId="42" borderId="0" xfId="716" applyNumberFormat="1" applyFont="1" applyFill="1" applyBorder="1" applyAlignment="1"/>
    <xf numFmtId="180" fontId="145" fillId="42" borderId="0" xfId="716" applyNumberFormat="1" applyFont="1" applyFill="1" applyBorder="1" applyAlignment="1">
      <alignment horizontal="right"/>
    </xf>
    <xf numFmtId="180" fontId="145" fillId="42" borderId="0" xfId="3" applyNumberFormat="1" applyFont="1" applyFill="1" applyBorder="1" applyAlignment="1">
      <alignment horizontal="right"/>
    </xf>
    <xf numFmtId="172" fontId="123" fillId="23" borderId="0" xfId="1" applyNumberFormat="1" applyFont="1" applyFill="1"/>
    <xf numFmtId="172" fontId="123" fillId="23" borderId="0" xfId="1" quotePrefix="1" applyNumberFormat="1" applyFont="1" applyFill="1" applyAlignment="1">
      <alignment horizontal="right"/>
    </xf>
    <xf numFmtId="172" fontId="123" fillId="42" borderId="0" xfId="1" quotePrefix="1" applyNumberFormat="1" applyFont="1" applyFill="1" applyAlignment="1">
      <alignment horizontal="right"/>
    </xf>
    <xf numFmtId="172" fontId="123" fillId="23" borderId="0" xfId="1" applyNumberFormat="1" applyFont="1" applyFill="1" applyAlignment="1">
      <alignment horizontal="right"/>
    </xf>
    <xf numFmtId="226" fontId="7" fillId="21" borderId="9" xfId="717" applyNumberFormat="1" applyFont="1" applyFill="1" applyBorder="1" applyAlignment="1">
      <alignment horizontal="right"/>
    </xf>
    <xf numFmtId="226" fontId="7" fillId="21" borderId="0" xfId="717" applyNumberFormat="1" applyFont="1" applyFill="1" applyBorder="1" applyAlignment="1">
      <alignment horizontal="right"/>
    </xf>
    <xf numFmtId="226" fontId="7" fillId="21" borderId="8" xfId="717" applyNumberFormat="1" applyFont="1" applyFill="1" applyBorder="1" applyAlignment="1">
      <alignment horizontal="right"/>
    </xf>
    <xf numFmtId="226" fontId="7" fillId="0" borderId="9" xfId="717" applyNumberFormat="1" applyFont="1" applyFill="1" applyBorder="1" applyAlignment="1">
      <alignment horizontal="right"/>
    </xf>
    <xf numFmtId="226" fontId="7" fillId="0" borderId="8" xfId="717" applyNumberFormat="1" applyFont="1" applyFill="1" applyBorder="1" applyAlignment="1">
      <alignment horizontal="right"/>
    </xf>
    <xf numFmtId="180" fontId="143" fillId="21" borderId="0" xfId="716" applyNumberFormat="1" applyFont="1" applyFill="1" applyBorder="1" applyAlignment="1">
      <alignment horizontal="right"/>
    </xf>
    <xf numFmtId="180" fontId="123" fillId="21" borderId="0" xfId="716" applyNumberFormat="1" applyFont="1" applyFill="1" applyBorder="1" applyAlignment="1">
      <alignment horizontal="right"/>
    </xf>
    <xf numFmtId="180" fontId="143" fillId="21" borderId="0" xfId="716" applyNumberFormat="1" applyFont="1" applyFill="1" applyBorder="1" applyAlignment="1"/>
    <xf numFmtId="180" fontId="143" fillId="21" borderId="8" xfId="716" applyNumberFormat="1" applyFont="1" applyFill="1" applyBorder="1" applyAlignment="1"/>
    <xf numFmtId="180" fontId="143" fillId="21" borderId="12" xfId="716" applyNumberFormat="1" applyFont="1" applyFill="1" applyBorder="1" applyAlignment="1"/>
    <xf numFmtId="180" fontId="143" fillId="21" borderId="12" xfId="716" applyNumberFormat="1" applyFont="1" applyFill="1" applyBorder="1" applyAlignment="1">
      <alignment horizontal="right"/>
    </xf>
    <xf numFmtId="180" fontId="143" fillId="21" borderId="0" xfId="716" quotePrefix="1" applyNumberFormat="1" applyFont="1" applyFill="1" applyBorder="1" applyAlignment="1">
      <alignment horizontal="right"/>
    </xf>
    <xf numFmtId="180" fontId="143" fillId="21" borderId="9" xfId="716" applyNumberFormat="1" applyFont="1" applyFill="1" applyBorder="1" applyAlignment="1"/>
    <xf numFmtId="180" fontId="143" fillId="21" borderId="8" xfId="716" applyNumberFormat="1" applyFont="1" applyFill="1" applyBorder="1" applyAlignment="1">
      <alignment horizontal="right"/>
    </xf>
    <xf numFmtId="180" fontId="123" fillId="21" borderId="8" xfId="716" applyNumberFormat="1" applyFont="1" applyFill="1" applyBorder="1" applyAlignment="1">
      <alignment horizontal="right"/>
    </xf>
    <xf numFmtId="180" fontId="143" fillId="0" borderId="12" xfId="716" applyNumberFormat="1" applyFont="1" applyFill="1" applyBorder="1" applyAlignment="1"/>
    <xf numFmtId="180" fontId="123" fillId="21" borderId="12" xfId="716" applyNumberFormat="1" applyFont="1" applyFill="1" applyBorder="1" applyAlignment="1">
      <alignment horizontal="right"/>
    </xf>
    <xf numFmtId="180" fontId="123" fillId="21" borderId="9" xfId="716" applyNumberFormat="1" applyFont="1" applyFill="1" applyBorder="1" applyAlignment="1">
      <alignment horizontal="right"/>
    </xf>
    <xf numFmtId="173" fontId="7" fillId="0" borderId="0" xfId="1" applyNumberFormat="1" applyFont="1"/>
    <xf numFmtId="226" fontId="7" fillId="23" borderId="6" xfId="717" applyNumberFormat="1" applyFont="1" applyFill="1" applyBorder="1" applyAlignment="1">
      <alignment horizontal="right"/>
    </xf>
    <xf numFmtId="172" fontId="137" fillId="36" borderId="0" xfId="1" applyNumberFormat="1" applyFont="1" applyFill="1" applyAlignment="1">
      <alignment horizontal="right"/>
    </xf>
    <xf numFmtId="174" fontId="126" fillId="34" borderId="0" xfId="1" applyNumberFormat="1" applyFont="1" applyFill="1" applyAlignment="1">
      <alignment horizontal="right"/>
    </xf>
    <xf numFmtId="187" fontId="7" fillId="0" borderId="0" xfId="715" applyNumberFormat="1" applyFont="1" applyFill="1" applyBorder="1" applyAlignment="1">
      <alignment horizontal="right"/>
    </xf>
    <xf numFmtId="264" fontId="7" fillId="23" borderId="0" xfId="717" applyNumberFormat="1" applyFont="1" applyFill="1" applyBorder="1" applyAlignment="1">
      <alignment horizontal="right"/>
    </xf>
    <xf numFmtId="10" fontId="150" fillId="0" borderId="0" xfId="716" applyNumberFormat="1" applyFont="1" applyBorder="1" applyAlignment="1"/>
    <xf numFmtId="169" fontId="123" fillId="21" borderId="0" xfId="717" applyFont="1" applyFill="1" applyBorder="1" applyAlignment="1">
      <alignment horizontal="right"/>
    </xf>
    <xf numFmtId="223" fontId="7" fillId="33" borderId="0" xfId="440" applyNumberFormat="1" applyFont="1" applyFill="1" applyBorder="1"/>
    <xf numFmtId="223" fontId="7" fillId="33" borderId="8" xfId="440" applyNumberFormat="1" applyFont="1" applyFill="1" applyBorder="1"/>
    <xf numFmtId="40" fontId="150" fillId="33" borderId="12" xfId="440" applyNumberFormat="1" applyFont="1" applyFill="1" applyBorder="1"/>
    <xf numFmtId="40" fontId="150" fillId="33" borderId="0" xfId="440" applyNumberFormat="1" applyFont="1" applyFill="1" applyBorder="1"/>
    <xf numFmtId="38" fontId="7" fillId="33" borderId="0" xfId="440" applyFont="1" applyFill="1"/>
    <xf numFmtId="38" fontId="7" fillId="33" borderId="12" xfId="440" applyFont="1" applyFill="1" applyBorder="1"/>
    <xf numFmtId="226" fontId="7" fillId="33" borderId="0" xfId="717" applyNumberFormat="1" applyFont="1" applyFill="1" applyBorder="1"/>
    <xf numFmtId="226" fontId="7" fillId="33" borderId="8" xfId="717" applyNumberFormat="1" applyFont="1" applyFill="1" applyBorder="1"/>
    <xf numFmtId="226" fontId="150" fillId="33" borderId="12" xfId="717" applyNumberFormat="1" applyFont="1" applyFill="1" applyBorder="1"/>
    <xf numFmtId="226" fontId="150" fillId="33" borderId="0" xfId="717" applyNumberFormat="1" applyFont="1" applyFill="1" applyBorder="1"/>
    <xf numFmtId="38" fontId="7" fillId="33" borderId="0" xfId="440" applyFont="1" applyFill="1" applyBorder="1" applyAlignment="1">
      <alignment horizontal="right" vertical="center"/>
    </xf>
    <xf numFmtId="38" fontId="7" fillId="33" borderId="0" xfId="440" applyFont="1" applyFill="1" applyBorder="1" applyAlignment="1">
      <alignment vertical="center"/>
    </xf>
    <xf numFmtId="38" fontId="150" fillId="33" borderId="8" xfId="440" applyFont="1" applyFill="1" applyBorder="1"/>
    <xf numFmtId="38" fontId="150" fillId="33" borderId="0" xfId="440" applyFont="1" applyFill="1" applyBorder="1"/>
    <xf numFmtId="38" fontId="150" fillId="33" borderId="0" xfId="440" applyFont="1" applyFill="1" applyBorder="1" applyAlignment="1">
      <alignment vertical="center"/>
    </xf>
    <xf numFmtId="0" fontId="111" fillId="0" borderId="20" xfId="441" applyFont="1" applyBorder="1" applyAlignment="1">
      <alignment horizontal="center"/>
    </xf>
    <xf numFmtId="235" fontId="111" fillId="0" borderId="20" xfId="441" applyNumberFormat="1" applyFont="1" applyBorder="1" applyAlignment="1">
      <alignment horizontal="left"/>
    </xf>
    <xf numFmtId="14" fontId="7" fillId="21" borderId="0" xfId="441" applyNumberFormat="1" applyFont="1" applyFill="1" applyAlignment="1">
      <alignment horizontal="left"/>
    </xf>
    <xf numFmtId="0" fontId="111" fillId="21" borderId="0" xfId="441" applyFont="1" applyFill="1" applyAlignment="1">
      <alignment horizontal="right"/>
    </xf>
    <xf numFmtId="0" fontId="7" fillId="53" borderId="0" xfId="0" applyFont="1" applyFill="1"/>
    <xf numFmtId="0" fontId="7" fillId="53" borderId="0" xfId="1" applyFont="1" applyFill="1"/>
    <xf numFmtId="0" fontId="123" fillId="53" borderId="0" xfId="1" applyFont="1" applyFill="1"/>
    <xf numFmtId="0" fontId="7" fillId="53" borderId="8" xfId="1" applyFont="1" applyFill="1" applyBorder="1"/>
    <xf numFmtId="38" fontId="7" fillId="53" borderId="0" xfId="1" applyNumberFormat="1" applyFont="1" applyFill="1"/>
    <xf numFmtId="3" fontId="7" fillId="47" borderId="0" xfId="1" applyNumberFormat="1" applyFont="1" applyFill="1"/>
    <xf numFmtId="0" fontId="160" fillId="0" borderId="0" xfId="0" applyFont="1" applyAlignment="1">
      <alignment vertical="top"/>
    </xf>
    <xf numFmtId="3" fontId="160" fillId="0" borderId="0" xfId="0" applyNumberFormat="1" applyFont="1"/>
    <xf numFmtId="38" fontId="160" fillId="0" borderId="0" xfId="0" applyNumberFormat="1" applyFont="1"/>
    <xf numFmtId="226" fontId="123" fillId="0" borderId="0" xfId="717" applyNumberFormat="1" applyFont="1" applyFill="1" applyBorder="1"/>
    <xf numFmtId="222" fontId="7" fillId="48" borderId="47" xfId="717" applyNumberFormat="1" applyFont="1" applyFill="1" applyBorder="1"/>
    <xf numFmtId="222" fontId="7" fillId="48" borderId="0" xfId="717" applyNumberFormat="1" applyFont="1" applyFill="1" applyBorder="1"/>
    <xf numFmtId="180" fontId="5" fillId="0" borderId="0" xfId="716" quotePrefix="1" applyNumberFormat="1" applyFont="1" applyFill="1" applyBorder="1" applyAlignment="1">
      <alignment horizontal="right"/>
    </xf>
    <xf numFmtId="180" fontId="7" fillId="0" borderId="0" xfId="716" quotePrefix="1" applyNumberFormat="1" applyFont="1" applyFill="1" applyBorder="1" applyAlignment="1">
      <alignment horizontal="right"/>
    </xf>
    <xf numFmtId="0" fontId="160" fillId="23" borderId="0" xfId="0" applyFont="1" applyFill="1"/>
    <xf numFmtId="0" fontId="123" fillId="0" borderId="23" xfId="441" applyFont="1" applyBorder="1" applyAlignment="1">
      <alignment horizontal="left"/>
    </xf>
    <xf numFmtId="9" fontId="7" fillId="0" borderId="8" xfId="716" applyFont="1" applyBorder="1" applyAlignment="1"/>
    <xf numFmtId="0" fontId="114" fillId="0" borderId="0" xfId="725" applyFont="1" applyAlignment="1">
      <alignment horizontal="left" vertical="center" indent="1"/>
    </xf>
    <xf numFmtId="0" fontId="7" fillId="0" borderId="0" xfId="726" applyFont="1" applyAlignment="1">
      <alignment horizontal="left" vertical="center" indent="3"/>
    </xf>
    <xf numFmtId="263" fontId="105" fillId="0" borderId="0" xfId="723" applyNumberFormat="1" applyAlignment="1">
      <alignment horizontal="left" vertical="center"/>
    </xf>
    <xf numFmtId="262" fontId="105" fillId="0" borderId="0" xfId="723" applyNumberFormat="1" applyAlignment="1">
      <alignment horizontal="left" vertical="center"/>
    </xf>
    <xf numFmtId="0" fontId="105" fillId="0" borderId="0" xfId="723" applyAlignment="1">
      <alignment horizontal="left" vertical="center"/>
    </xf>
    <xf numFmtId="3" fontId="105" fillId="0" borderId="0" xfId="723" applyNumberFormat="1" applyAlignment="1">
      <alignment horizontal="left" vertical="center"/>
    </xf>
    <xf numFmtId="180" fontId="7" fillId="53" borderId="0" xfId="1" applyNumberFormat="1" applyFont="1" applyFill="1"/>
    <xf numFmtId="38" fontId="7" fillId="54" borderId="0" xfId="715" applyFont="1" applyFill="1" applyBorder="1" applyAlignment="1">
      <alignment horizontal="right"/>
    </xf>
    <xf numFmtId="9" fontId="7" fillId="54" borderId="0" xfId="132" applyNumberFormat="1" applyFont="1" applyFill="1" applyAlignment="1">
      <alignment horizontal="right"/>
    </xf>
    <xf numFmtId="38" fontId="7" fillId="53" borderId="0" xfId="715" applyFont="1" applyFill="1" applyBorder="1" applyAlignment="1"/>
    <xf numFmtId="10" fontId="5" fillId="54" borderId="0" xfId="716" applyNumberFormat="1" applyFont="1" applyFill="1" applyBorder="1" applyAlignment="1">
      <alignment horizontal="center"/>
    </xf>
    <xf numFmtId="0" fontId="111" fillId="53" borderId="0" xfId="441" applyFont="1" applyFill="1"/>
    <xf numFmtId="0" fontId="111" fillId="53" borderId="0" xfId="441" applyFont="1" applyFill="1" applyAlignment="1">
      <alignment horizontal="right"/>
    </xf>
    <xf numFmtId="0" fontId="111" fillId="53" borderId="20" xfId="441" applyFont="1" applyFill="1" applyBorder="1" applyAlignment="1">
      <alignment horizontal="center"/>
    </xf>
    <xf numFmtId="3" fontId="111" fillId="53" borderId="20" xfId="48" applyNumberFormat="1" applyFont="1" applyFill="1" applyBorder="1" applyAlignment="1">
      <alignment horizontal="right"/>
    </xf>
    <xf numFmtId="180" fontId="111" fillId="53" borderId="0" xfId="3" applyNumberFormat="1" applyFont="1" applyFill="1" applyBorder="1" applyAlignment="1">
      <alignment horizontal="right"/>
    </xf>
    <xf numFmtId="3" fontId="111" fillId="53" borderId="10" xfId="441" applyNumberFormat="1" applyFont="1" applyFill="1" applyBorder="1" applyAlignment="1">
      <alignment horizontal="center"/>
    </xf>
    <xf numFmtId="3" fontId="111" fillId="53" borderId="0" xfId="441" applyNumberFormat="1" applyFont="1" applyFill="1" applyAlignment="1">
      <alignment horizontal="right"/>
    </xf>
    <xf numFmtId="3" fontId="111" fillId="53" borderId="23" xfId="441" applyNumberFormat="1" applyFont="1" applyFill="1" applyBorder="1" applyAlignment="1">
      <alignment horizontal="right"/>
    </xf>
    <xf numFmtId="3" fontId="111" fillId="53" borderId="0" xfId="48" quotePrefix="1" applyNumberFormat="1" applyFont="1" applyFill="1" applyBorder="1" applyAlignment="1">
      <alignment horizontal="right"/>
    </xf>
    <xf numFmtId="180" fontId="111" fillId="53" borderId="23" xfId="3" applyNumberFormat="1" applyFont="1" applyFill="1" applyBorder="1" applyAlignment="1">
      <alignment horizontal="right"/>
    </xf>
    <xf numFmtId="9" fontId="111" fillId="53" borderId="0" xfId="441" applyNumberFormat="1" applyFont="1" applyFill="1"/>
    <xf numFmtId="180" fontId="111" fillId="53" borderId="0" xfId="716" applyNumberFormat="1" applyFont="1" applyFill="1" applyBorder="1" applyAlignment="1"/>
    <xf numFmtId="235" fontId="115" fillId="53" borderId="0" xfId="441" applyNumberFormat="1" applyFont="1" applyFill="1"/>
    <xf numFmtId="169" fontId="137" fillId="23" borderId="0" xfId="717" applyFont="1" applyFill="1" applyBorder="1"/>
    <xf numFmtId="169" fontId="137" fillId="23" borderId="8" xfId="717" applyFont="1" applyFill="1" applyBorder="1"/>
    <xf numFmtId="169" fontId="137" fillId="23" borderId="12" xfId="717" applyFont="1" applyFill="1" applyBorder="1"/>
    <xf numFmtId="169" fontId="137" fillId="23" borderId="0" xfId="717" applyFont="1" applyFill="1" applyBorder="1" applyAlignment="1">
      <alignment horizontal="right"/>
    </xf>
    <xf numFmtId="169" fontId="137" fillId="23" borderId="12" xfId="717" applyFont="1" applyFill="1" applyBorder="1" applyAlignment="1">
      <alignment horizontal="right"/>
    </xf>
    <xf numFmtId="169" fontId="137" fillId="24" borderId="0" xfId="717" applyFont="1" applyFill="1" applyBorder="1" applyAlignment="1">
      <alignment horizontal="right"/>
    </xf>
    <xf numFmtId="169" fontId="137" fillId="0" borderId="0" xfId="717" applyFont="1" applyFill="1" applyBorder="1" applyAlignment="1">
      <alignment horizontal="right"/>
    </xf>
    <xf numFmtId="169" fontId="137" fillId="23" borderId="9" xfId="717" applyFont="1" applyFill="1" applyBorder="1"/>
    <xf numFmtId="169" fontId="137" fillId="0" borderId="8" xfId="717" applyFont="1" applyFill="1" applyBorder="1" applyAlignment="1">
      <alignment horizontal="right"/>
    </xf>
    <xf numFmtId="169" fontId="7" fillId="0" borderId="0" xfId="717" applyFont="1" applyFill="1" applyBorder="1" applyAlignment="1">
      <alignment horizontal="right"/>
    </xf>
    <xf numFmtId="169" fontId="7" fillId="0" borderId="8" xfId="717" applyFont="1" applyFill="1" applyBorder="1" applyAlignment="1">
      <alignment horizontal="right"/>
    </xf>
    <xf numFmtId="169" fontId="137" fillId="0" borderId="12" xfId="717" applyFont="1" applyFill="1" applyBorder="1"/>
    <xf numFmtId="169" fontId="137" fillId="0" borderId="8" xfId="717" applyFont="1" applyFill="1" applyBorder="1"/>
    <xf numFmtId="169" fontId="7" fillId="0" borderId="12" xfId="717" applyFont="1" applyFill="1" applyBorder="1" applyAlignment="1">
      <alignment horizontal="right"/>
    </xf>
    <xf numFmtId="169" fontId="7" fillId="0" borderId="9" xfId="717" applyFont="1" applyFill="1" applyBorder="1" applyAlignment="1">
      <alignment horizontal="right"/>
    </xf>
    <xf numFmtId="169" fontId="7" fillId="12" borderId="0" xfId="717" applyFont="1" applyFill="1" applyBorder="1" applyAlignment="1">
      <alignment horizontal="right"/>
    </xf>
    <xf numFmtId="180" fontId="123" fillId="48" borderId="0" xfId="3" applyNumberFormat="1" applyFont="1" applyFill="1" applyBorder="1" applyAlignment="1">
      <alignment horizontal="right"/>
    </xf>
    <xf numFmtId="38" fontId="150" fillId="12" borderId="0" xfId="715" applyFont="1" applyFill="1" applyBorder="1" applyAlignment="1">
      <alignment horizontal="right"/>
    </xf>
    <xf numFmtId="172" fontId="126" fillId="30" borderId="0" xfId="1" applyNumberFormat="1" applyFont="1" applyFill="1" applyAlignment="1">
      <alignment horizontal="right"/>
    </xf>
    <xf numFmtId="190" fontId="150" fillId="48" borderId="0" xfId="1" applyNumberFormat="1" applyFont="1" applyFill="1" applyAlignment="1">
      <alignment horizontal="right"/>
    </xf>
    <xf numFmtId="190" fontId="126" fillId="48" borderId="0" xfId="1" applyNumberFormat="1" applyFont="1" applyFill="1" applyAlignment="1">
      <alignment horizontal="right"/>
    </xf>
    <xf numFmtId="172" fontId="5" fillId="23" borderId="0" xfId="2" applyNumberFormat="1" applyFont="1" applyFill="1" applyBorder="1"/>
    <xf numFmtId="3" fontId="150" fillId="32" borderId="0" xfId="440" applyNumberFormat="1" applyFont="1" applyFill="1" applyBorder="1"/>
    <xf numFmtId="172" fontId="143" fillId="23" borderId="0" xfId="1" applyNumberFormat="1" applyFont="1" applyFill="1" applyAlignment="1">
      <alignment horizontal="left"/>
    </xf>
    <xf numFmtId="172" fontId="143" fillId="0" borderId="0" xfId="1" applyNumberFormat="1" applyFont="1" applyAlignment="1">
      <alignment horizontal="left"/>
    </xf>
    <xf numFmtId="0" fontId="108" fillId="40" borderId="0" xfId="724" quotePrefix="1" applyFont="1" applyFill="1" applyAlignment="1">
      <alignment horizontal="left" vertical="center"/>
    </xf>
    <xf numFmtId="14" fontId="7" fillId="12" borderId="9" xfId="1" applyNumberFormat="1" applyFont="1" applyFill="1" applyBorder="1" applyAlignment="1">
      <alignment horizontal="center"/>
    </xf>
    <xf numFmtId="14" fontId="7" fillId="12" borderId="0" xfId="1" applyNumberFormat="1" applyFont="1" applyFill="1" applyAlignment="1">
      <alignment horizontal="center"/>
    </xf>
    <xf numFmtId="14" fontId="7" fillId="12" borderId="8" xfId="1" applyNumberFormat="1" applyFont="1" applyFill="1" applyBorder="1" applyAlignment="1">
      <alignment horizontal="center"/>
    </xf>
    <xf numFmtId="0" fontId="5" fillId="31" borderId="9" xfId="132" applyFont="1" applyFill="1" applyBorder="1" applyAlignment="1">
      <alignment horizontal="center"/>
    </xf>
    <xf numFmtId="0" fontId="5" fillId="31" borderId="0" xfId="132" applyFont="1" applyFill="1" applyAlignment="1">
      <alignment horizontal="center"/>
    </xf>
    <xf numFmtId="0" fontId="5" fillId="31" borderId="8" xfId="132" applyFont="1" applyFill="1" applyBorder="1" applyAlignment="1">
      <alignment horizontal="center"/>
    </xf>
    <xf numFmtId="0" fontId="5" fillId="14" borderId="0" xfId="132" applyFont="1" applyFill="1" applyAlignment="1">
      <alignment horizontal="center"/>
    </xf>
    <xf numFmtId="0" fontId="5" fillId="14" borderId="8" xfId="132" applyFont="1" applyFill="1" applyBorder="1" applyAlignment="1">
      <alignment horizontal="center"/>
    </xf>
    <xf numFmtId="232" fontId="5" fillId="14" borderId="9" xfId="1" applyNumberFormat="1" applyFont="1" applyFill="1" applyBorder="1" applyAlignment="1">
      <alignment horizontal="center"/>
    </xf>
    <xf numFmtId="232" fontId="5" fillId="14" borderId="0" xfId="1" applyNumberFormat="1" applyFont="1" applyFill="1" applyAlignment="1">
      <alignment horizontal="center"/>
    </xf>
    <xf numFmtId="237" fontId="5" fillId="14" borderId="9" xfId="1" applyNumberFormat="1" applyFont="1" applyFill="1" applyBorder="1" applyAlignment="1">
      <alignment horizontal="center"/>
    </xf>
    <xf numFmtId="237" fontId="5" fillId="14" borderId="0" xfId="1" applyNumberFormat="1" applyFont="1" applyFill="1" applyAlignment="1">
      <alignment horizontal="center"/>
    </xf>
    <xf numFmtId="237" fontId="5" fillId="14" borderId="8" xfId="1" applyNumberFormat="1" applyFont="1" applyFill="1" applyBorder="1" applyAlignment="1">
      <alignment horizontal="center"/>
    </xf>
    <xf numFmtId="14" fontId="7" fillId="0" borderId="0" xfId="1" applyNumberFormat="1" applyFont="1" applyAlignment="1">
      <alignment horizontal="center"/>
    </xf>
    <xf numFmtId="0" fontId="7" fillId="0" borderId="8" xfId="1" applyFont="1" applyBorder="1" applyAlignment="1">
      <alignment horizontal="center"/>
    </xf>
    <xf numFmtId="0" fontId="5" fillId="14" borderId="9" xfId="132" applyFont="1" applyFill="1" applyBorder="1" applyAlignment="1">
      <alignment horizontal="center"/>
    </xf>
    <xf numFmtId="0" fontId="5" fillId="14" borderId="9" xfId="1" applyFont="1" applyFill="1" applyBorder="1" applyAlignment="1">
      <alignment horizontal="center"/>
    </xf>
    <xf numFmtId="0" fontId="5" fillId="14" borderId="8" xfId="1" applyFont="1" applyFill="1" applyBorder="1" applyAlignment="1">
      <alignment horizontal="center"/>
    </xf>
    <xf numFmtId="0" fontId="5" fillId="14" borderId="0" xfId="1" applyFont="1" applyFill="1" applyAlignment="1">
      <alignment horizontal="center"/>
    </xf>
  </cellXfs>
  <cellStyles count="727">
    <cellStyle name="$ 1 decimal" xfId="4" xr:uid="{00000000-0005-0000-0000-000000000000}"/>
    <cellStyle name="$norm" xfId="5" xr:uid="{00000000-0005-0000-0000-000001000000}"/>
    <cellStyle name="$normbold" xfId="6" xr:uid="{00000000-0005-0000-0000-000002000000}"/>
    <cellStyle name="?_GS_Cash " xfId="7" xr:uid="{00000000-0005-0000-0000-000003000000}"/>
    <cellStyle name="_%(SignOnly)" xfId="442" xr:uid="{00000000-0005-0000-0000-000007000000}"/>
    <cellStyle name="_%(SignSpaceOnly)" xfId="443" xr:uid="{00000000-0005-0000-0000-000008000000}"/>
    <cellStyle name="_7203 Toyota" xfId="11" xr:uid="{00000000-0005-0000-0000-000009000000}"/>
    <cellStyle name="_Comma" xfId="444" xr:uid="{00000000-0005-0000-0000-00000A000000}"/>
    <cellStyle name="_Comma_01 adj for merger plan" xfId="445" xr:uid="{00000000-0005-0000-0000-00000B000000}"/>
    <cellStyle name="_Comma_Ability to Pay Analysis" xfId="446" xr:uid="{00000000-0005-0000-0000-00000C000000}"/>
    <cellStyle name="_Comma_AFL" xfId="447" xr:uid="{00000000-0005-0000-0000-00000D000000}"/>
    <cellStyle name="_Comma_AIZ" xfId="448" xr:uid="{00000000-0005-0000-0000-00000E000000}"/>
    <cellStyle name="_Comma_AIZ04-Quantum2" xfId="449" xr:uid="{00000000-0005-0000-0000-00000F000000}"/>
    <cellStyle name="_Comma_AMP" xfId="450" xr:uid="{00000000-0005-0000-0000-000010000000}"/>
    <cellStyle name="_Comma_Book1" xfId="451" xr:uid="{00000000-0005-0000-0000-000011000000}"/>
    <cellStyle name="_Comma_Book3" xfId="452" xr:uid="{00000000-0005-0000-0000-000012000000}"/>
    <cellStyle name="_Comma_CNO" xfId="453" xr:uid="{00000000-0005-0000-0000-000013000000}"/>
    <cellStyle name="_Comma_CNO04" xfId="454" xr:uid="{00000000-0005-0000-0000-000014000000}"/>
    <cellStyle name="_Comma_DCF Alexander Forbes" xfId="455" xr:uid="{00000000-0005-0000-0000-000015000000}"/>
    <cellStyle name="_Comma_fmbi counties" xfId="456" xr:uid="{00000000-0005-0000-0000-000016000000}"/>
    <cellStyle name="_Comma_FMBI MBHI Graphs" xfId="457" xr:uid="{00000000-0005-0000-0000-000017000000}"/>
    <cellStyle name="_Comma_FMBI MBHI Graphs 07102001" xfId="458" xr:uid="{00000000-0005-0000-0000-000018000000}"/>
    <cellStyle name="_Comma_FMBI MBHI Graphs_7601" xfId="459" xr:uid="{00000000-0005-0000-0000-000019000000}"/>
    <cellStyle name="_Comma_genworth model" xfId="460" xr:uid="{00000000-0005-0000-0000-00001A000000}"/>
    <cellStyle name="_Comma_Insurance Brokerage CSC_1Q2002" xfId="461" xr:uid="{00000000-0005-0000-0000-00001B000000}"/>
    <cellStyle name="_Comma_JP_LNC_spread_monitor (2)" xfId="462" xr:uid="{00000000-0005-0000-0000-00001C000000}"/>
    <cellStyle name="_Comma_NFP" xfId="463" xr:uid="{00000000-0005-0000-0000-00001D000000}"/>
    <cellStyle name="_Comma_NFS" xfId="464" xr:uid="{00000000-0005-0000-0000-00001E000000}"/>
    <cellStyle name="_Comma_Overview3" xfId="465" xr:uid="{00000000-0005-0000-0000-00001F000000}"/>
    <cellStyle name="_Comma_phil data" xfId="466" xr:uid="{00000000-0005-0000-0000-000020000000}"/>
    <cellStyle name="_Comma_Price Performance Charts" xfId="467" xr:uid="{00000000-0005-0000-0000-000021000000}"/>
    <cellStyle name="_Comma_Quarterly Review by Company" xfId="468" xr:uid="{00000000-0005-0000-0000-000022000000}"/>
    <cellStyle name="_Comma_SFG Data File" xfId="469" xr:uid="{00000000-0005-0000-0000-000023000000}"/>
    <cellStyle name="_Comma_Sheet1" xfId="470" xr:uid="{00000000-0005-0000-0000-000024000000}"/>
    <cellStyle name="_Comma_Stock-QTR1 FDS" xfId="471" xr:uid="{00000000-0005-0000-0000-000025000000}"/>
    <cellStyle name="_Comma_Updated Valuation Changes" xfId="472" xr:uid="{00000000-0005-0000-0000-000026000000}"/>
    <cellStyle name="_Comma_Valuation Graphs" xfId="473" xr:uid="{00000000-0005-0000-0000-000027000000}"/>
    <cellStyle name="_Comma_xratio - historical mkt val" xfId="474" xr:uid="{00000000-0005-0000-0000-000028000000}"/>
    <cellStyle name="_Currency" xfId="475" xr:uid="{00000000-0005-0000-0000-000029000000}"/>
    <cellStyle name="_Currency_01 adj for merger plan" xfId="476" xr:uid="{00000000-0005-0000-0000-00002A000000}"/>
    <cellStyle name="_Currency_Ability to Pay Analysis" xfId="477" xr:uid="{00000000-0005-0000-0000-00002B000000}"/>
    <cellStyle name="_Currency_AFL" xfId="478" xr:uid="{00000000-0005-0000-0000-00002C000000}"/>
    <cellStyle name="_Currency_AIZ" xfId="479" xr:uid="{00000000-0005-0000-0000-00002D000000}"/>
    <cellStyle name="_Currency_AMP" xfId="480" xr:uid="{00000000-0005-0000-0000-00002E000000}"/>
    <cellStyle name="_Currency_Balance Sheet" xfId="481" xr:uid="{00000000-0005-0000-0000-00002F000000}"/>
    <cellStyle name="_Currency_Book1" xfId="482" xr:uid="{00000000-0005-0000-0000-000030000000}"/>
    <cellStyle name="_Currency_Book29" xfId="483" xr:uid="{00000000-0005-0000-0000-000031000000}"/>
    <cellStyle name="_Currency_Book3" xfId="484" xr:uid="{00000000-0005-0000-0000-000032000000}"/>
    <cellStyle name="_Currency_Book3_1" xfId="485" xr:uid="{00000000-0005-0000-0000-000033000000}"/>
    <cellStyle name="_Currency_CNO" xfId="486" xr:uid="{00000000-0005-0000-0000-000034000000}"/>
    <cellStyle name="_Currency_DCF Alexander Forbes" xfId="487" xr:uid="{00000000-0005-0000-0000-000035000000}"/>
    <cellStyle name="_Currency_fmbi counties" xfId="488" xr:uid="{00000000-0005-0000-0000-000036000000}"/>
    <cellStyle name="_Currency_FMBI MBHI Graphs" xfId="489" xr:uid="{00000000-0005-0000-0000-000037000000}"/>
    <cellStyle name="_Currency_FMBI MBHI Graphs 07102001" xfId="490" xr:uid="{00000000-0005-0000-0000-000038000000}"/>
    <cellStyle name="_Currency_FMBI MBHI Graphs_7601" xfId="491" xr:uid="{00000000-0005-0000-0000-000039000000}"/>
    <cellStyle name="_Currency_GNW" xfId="492" xr:uid="{00000000-0005-0000-0000-00003A000000}"/>
    <cellStyle name="_Currency_Insurance Brokerage CSC_1Q2002" xfId="493" xr:uid="{00000000-0005-0000-0000-00003B000000}"/>
    <cellStyle name="_Currency_JP" xfId="494" xr:uid="{00000000-0005-0000-0000-00003C000000}"/>
    <cellStyle name="_Currency_LNC" xfId="495" xr:uid="{00000000-0005-0000-0000-00003D000000}"/>
    <cellStyle name="_Currency_MET" xfId="496" xr:uid="{00000000-0005-0000-0000-00003E000000}"/>
    <cellStyle name="_Currency_MET04" xfId="497" xr:uid="{00000000-0005-0000-0000-00003F000000}"/>
    <cellStyle name="_Currency_NFS" xfId="498" xr:uid="{00000000-0005-0000-0000-000040000000}"/>
    <cellStyle name="_Currency_Overview3" xfId="499" xr:uid="{00000000-0005-0000-0000-000041000000}"/>
    <cellStyle name="_Currency_phil data" xfId="500" xr:uid="{00000000-0005-0000-0000-000042000000}"/>
    <cellStyle name="_Currency_Price Performance Charts" xfId="501" xr:uid="{00000000-0005-0000-0000-000043000000}"/>
    <cellStyle name="_Currency_PRU" xfId="502" xr:uid="{00000000-0005-0000-0000-000044000000}"/>
    <cellStyle name="_Currency_PRU04" xfId="503" xr:uid="{00000000-0005-0000-0000-000045000000}"/>
    <cellStyle name="_Currency_RiskReward" xfId="504" xr:uid="{00000000-0005-0000-0000-000046000000}"/>
    <cellStyle name="_Currency_SFG" xfId="505" xr:uid="{00000000-0005-0000-0000-000047000000}"/>
    <cellStyle name="_Currency_Sheet1" xfId="506" xr:uid="{00000000-0005-0000-0000-000048000000}"/>
    <cellStyle name="_Currency_Stock-QTR1 FDS" xfId="507" xr:uid="{00000000-0005-0000-0000-000049000000}"/>
    <cellStyle name="_Currency_TMK" xfId="508" xr:uid="{00000000-0005-0000-0000-00004A000000}"/>
    <cellStyle name="_Currency_Updated Valuation Changes" xfId="509" xr:uid="{00000000-0005-0000-0000-00004B000000}"/>
    <cellStyle name="_Currency_Valuation Graphs" xfId="510" xr:uid="{00000000-0005-0000-0000-00004C000000}"/>
    <cellStyle name="_Currency_xratio - historical mkt val" xfId="511" xr:uid="{00000000-0005-0000-0000-00004D000000}"/>
    <cellStyle name="_CurrencySpace" xfId="512" xr:uid="{00000000-0005-0000-0000-00004E000000}"/>
    <cellStyle name="_CurrencySpace_01 adj for merger plan" xfId="513" xr:uid="{00000000-0005-0000-0000-00004F000000}"/>
    <cellStyle name="_CurrencySpace_Ability to Pay Analysis" xfId="514" xr:uid="{00000000-0005-0000-0000-000050000000}"/>
    <cellStyle name="_CurrencySpace_AFL" xfId="515" xr:uid="{00000000-0005-0000-0000-000051000000}"/>
    <cellStyle name="_CurrencySpace_AIZ" xfId="516" xr:uid="{00000000-0005-0000-0000-000052000000}"/>
    <cellStyle name="_CurrencySpace_AMP" xfId="517" xr:uid="{00000000-0005-0000-0000-000053000000}"/>
    <cellStyle name="_CurrencySpace_Balance Sheet" xfId="518" xr:uid="{00000000-0005-0000-0000-000054000000}"/>
    <cellStyle name="_CurrencySpace_Book1" xfId="519" xr:uid="{00000000-0005-0000-0000-000055000000}"/>
    <cellStyle name="_CurrencySpace_Book29" xfId="520" xr:uid="{00000000-0005-0000-0000-000056000000}"/>
    <cellStyle name="_CurrencySpace_Book3" xfId="521" xr:uid="{00000000-0005-0000-0000-000057000000}"/>
    <cellStyle name="_CurrencySpace_Book3_1" xfId="522" xr:uid="{00000000-0005-0000-0000-000058000000}"/>
    <cellStyle name="_CurrencySpace_CNO" xfId="523" xr:uid="{00000000-0005-0000-0000-000059000000}"/>
    <cellStyle name="_CurrencySpace_DCF Alexander Forbes" xfId="524" xr:uid="{00000000-0005-0000-0000-00005A000000}"/>
    <cellStyle name="_CurrencySpace_fmbi counties" xfId="525" xr:uid="{00000000-0005-0000-0000-00005B000000}"/>
    <cellStyle name="_CurrencySpace_FMBI MBHI Graphs" xfId="526" xr:uid="{00000000-0005-0000-0000-00005C000000}"/>
    <cellStyle name="_CurrencySpace_FMBI MBHI Graphs 07102001" xfId="527" xr:uid="{00000000-0005-0000-0000-00005D000000}"/>
    <cellStyle name="_CurrencySpace_FMBI MBHI Graphs_7601" xfId="528" xr:uid="{00000000-0005-0000-0000-00005E000000}"/>
    <cellStyle name="_CurrencySpace_GNW" xfId="529" xr:uid="{00000000-0005-0000-0000-00005F000000}"/>
    <cellStyle name="_CurrencySpace_Insurance Brokerage CSC_1Q2002" xfId="530" xr:uid="{00000000-0005-0000-0000-000060000000}"/>
    <cellStyle name="_CurrencySpace_JP" xfId="531" xr:uid="{00000000-0005-0000-0000-000061000000}"/>
    <cellStyle name="_CurrencySpace_LNC" xfId="532" xr:uid="{00000000-0005-0000-0000-000062000000}"/>
    <cellStyle name="_CurrencySpace_MET" xfId="533" xr:uid="{00000000-0005-0000-0000-000063000000}"/>
    <cellStyle name="_CurrencySpace_MET04" xfId="534" xr:uid="{00000000-0005-0000-0000-000064000000}"/>
    <cellStyle name="_CurrencySpace_NFS" xfId="535" xr:uid="{00000000-0005-0000-0000-000065000000}"/>
    <cellStyle name="_CurrencySpace_Overview3" xfId="536" xr:uid="{00000000-0005-0000-0000-000066000000}"/>
    <cellStyle name="_CurrencySpace_phil data" xfId="537" xr:uid="{00000000-0005-0000-0000-000067000000}"/>
    <cellStyle name="_CurrencySpace_Price Performance Charts" xfId="538" xr:uid="{00000000-0005-0000-0000-000068000000}"/>
    <cellStyle name="_CurrencySpace_PRU" xfId="539" xr:uid="{00000000-0005-0000-0000-000069000000}"/>
    <cellStyle name="_CurrencySpace_PRU04" xfId="540" xr:uid="{00000000-0005-0000-0000-00006A000000}"/>
    <cellStyle name="_CurrencySpace_RiskReward" xfId="541" xr:uid="{00000000-0005-0000-0000-00006B000000}"/>
    <cellStyle name="_CurrencySpace_SFG" xfId="542" xr:uid="{00000000-0005-0000-0000-00006C000000}"/>
    <cellStyle name="_CurrencySpace_Sheet1" xfId="543" xr:uid="{00000000-0005-0000-0000-00006D000000}"/>
    <cellStyle name="_CurrencySpace_Stock-QTR1 FDS" xfId="544" xr:uid="{00000000-0005-0000-0000-00006E000000}"/>
    <cellStyle name="_CurrencySpace_TMK" xfId="545" xr:uid="{00000000-0005-0000-0000-00006F000000}"/>
    <cellStyle name="_CurrencySpace_Updated Valuation Changes" xfId="546" xr:uid="{00000000-0005-0000-0000-000070000000}"/>
    <cellStyle name="_CurrencySpace_Valuation Graphs" xfId="547" xr:uid="{00000000-0005-0000-0000-000071000000}"/>
    <cellStyle name="_CurrencySpace_xratio - historical mkt val" xfId="548" xr:uid="{00000000-0005-0000-0000-000072000000}"/>
    <cellStyle name="_Dollar" xfId="549" xr:uid="{00000000-0005-0000-0000-000073000000}"/>
    <cellStyle name="_Euro" xfId="550" xr:uid="{00000000-0005-0000-0000-000074000000}"/>
    <cellStyle name="—_GS_Cash " xfId="12" xr:uid="{00000000-0005-0000-0000-000075000000}"/>
    <cellStyle name="_Heading" xfId="551" xr:uid="{00000000-0005-0000-0000-000076000000}"/>
    <cellStyle name="_Heading_prestemp" xfId="552" xr:uid="{00000000-0005-0000-0000-000077000000}"/>
    <cellStyle name="_Highlight" xfId="553" xr:uid="{00000000-0005-0000-0000-000078000000}"/>
    <cellStyle name="_Multiple" xfId="554" xr:uid="{00000000-0005-0000-0000-000079000000}"/>
    <cellStyle name="_Multiple_01 adj for merger plan" xfId="555" xr:uid="{00000000-0005-0000-0000-00007A000000}"/>
    <cellStyle name="_Multiple_Ability to Pay Analysis" xfId="556" xr:uid="{00000000-0005-0000-0000-00007B000000}"/>
    <cellStyle name="_Multiple_AFL" xfId="557" xr:uid="{00000000-0005-0000-0000-00007C000000}"/>
    <cellStyle name="_Multiple_AIZ" xfId="558" xr:uid="{00000000-0005-0000-0000-00007D000000}"/>
    <cellStyle name="_Multiple_AMP" xfId="559" xr:uid="{00000000-0005-0000-0000-00007E000000}"/>
    <cellStyle name="_Multiple_Balance Sheet" xfId="560" xr:uid="{00000000-0005-0000-0000-00007F000000}"/>
    <cellStyle name="_Multiple_Book1" xfId="561" xr:uid="{00000000-0005-0000-0000-000080000000}"/>
    <cellStyle name="_Multiple_Book29" xfId="562" xr:uid="{00000000-0005-0000-0000-000081000000}"/>
    <cellStyle name="_Multiple_Book3" xfId="563" xr:uid="{00000000-0005-0000-0000-000082000000}"/>
    <cellStyle name="_Multiple_Book3_1" xfId="564" xr:uid="{00000000-0005-0000-0000-000083000000}"/>
    <cellStyle name="_Multiple_CNO" xfId="565" xr:uid="{00000000-0005-0000-0000-000084000000}"/>
    <cellStyle name="_Multiple_DCF Alexander Forbes" xfId="566" xr:uid="{00000000-0005-0000-0000-000085000000}"/>
    <cellStyle name="_Multiple_fmbi counties" xfId="567" xr:uid="{00000000-0005-0000-0000-000086000000}"/>
    <cellStyle name="_Multiple_FMBI MBHI Graphs" xfId="568" xr:uid="{00000000-0005-0000-0000-000087000000}"/>
    <cellStyle name="_Multiple_FMBI MBHI Graphs 07102001" xfId="569" xr:uid="{00000000-0005-0000-0000-000088000000}"/>
    <cellStyle name="_Multiple_FMBI MBHI Graphs_7601" xfId="570" xr:uid="{00000000-0005-0000-0000-000089000000}"/>
    <cellStyle name="_Multiple_GNW" xfId="571" xr:uid="{00000000-0005-0000-0000-00008A000000}"/>
    <cellStyle name="_Multiple_Insurance Brokerage CSC_1Q2002" xfId="572" xr:uid="{00000000-0005-0000-0000-00008B000000}"/>
    <cellStyle name="_Multiple_JP" xfId="573" xr:uid="{00000000-0005-0000-0000-00008C000000}"/>
    <cellStyle name="_Multiple_LNC" xfId="574" xr:uid="{00000000-0005-0000-0000-00008D000000}"/>
    <cellStyle name="_Multiple_MET" xfId="575" xr:uid="{00000000-0005-0000-0000-00008E000000}"/>
    <cellStyle name="_Multiple_MET04" xfId="576" xr:uid="{00000000-0005-0000-0000-00008F000000}"/>
    <cellStyle name="_Multiple_NFS" xfId="577" xr:uid="{00000000-0005-0000-0000-000090000000}"/>
    <cellStyle name="_Multiple_Overview3" xfId="578" xr:uid="{00000000-0005-0000-0000-000091000000}"/>
    <cellStyle name="_Multiple_phil data" xfId="579" xr:uid="{00000000-0005-0000-0000-000092000000}"/>
    <cellStyle name="_Multiple_Price Performance Charts" xfId="580" xr:uid="{00000000-0005-0000-0000-000093000000}"/>
    <cellStyle name="_Multiple_PRU" xfId="581" xr:uid="{00000000-0005-0000-0000-000094000000}"/>
    <cellStyle name="_Multiple_PRU04" xfId="582" xr:uid="{00000000-0005-0000-0000-000095000000}"/>
    <cellStyle name="_Multiple_RiskReward" xfId="583" xr:uid="{00000000-0005-0000-0000-000096000000}"/>
    <cellStyle name="_Multiple_SFG" xfId="584" xr:uid="{00000000-0005-0000-0000-000097000000}"/>
    <cellStyle name="_Multiple_Sheet1" xfId="585" xr:uid="{00000000-0005-0000-0000-000098000000}"/>
    <cellStyle name="_Multiple_Stock-QTR1 FDS" xfId="586" xr:uid="{00000000-0005-0000-0000-000099000000}"/>
    <cellStyle name="_Multiple_TMK" xfId="587" xr:uid="{00000000-0005-0000-0000-00009A000000}"/>
    <cellStyle name="_Multiple_Updated Valuation Changes" xfId="588" xr:uid="{00000000-0005-0000-0000-00009B000000}"/>
    <cellStyle name="_Multiple_Valuation Graphs" xfId="589" xr:uid="{00000000-0005-0000-0000-00009C000000}"/>
    <cellStyle name="_Multiple_xratio - historical mkt val" xfId="590" xr:uid="{00000000-0005-0000-0000-00009D000000}"/>
    <cellStyle name="_MultipleSpace" xfId="591" xr:uid="{00000000-0005-0000-0000-00009E000000}"/>
    <cellStyle name="_MultipleSpace_01 adj for merger plan" xfId="592" xr:uid="{00000000-0005-0000-0000-00009F000000}"/>
    <cellStyle name="_MultipleSpace_Ability to Pay Analysis" xfId="593" xr:uid="{00000000-0005-0000-0000-0000A0000000}"/>
    <cellStyle name="_MultipleSpace_AFL" xfId="594" xr:uid="{00000000-0005-0000-0000-0000A1000000}"/>
    <cellStyle name="_MultipleSpace_AIZ" xfId="595" xr:uid="{00000000-0005-0000-0000-0000A2000000}"/>
    <cellStyle name="_MultipleSpace_AMP" xfId="596" xr:uid="{00000000-0005-0000-0000-0000A3000000}"/>
    <cellStyle name="_MultipleSpace_Balance Sheet" xfId="597" xr:uid="{00000000-0005-0000-0000-0000A4000000}"/>
    <cellStyle name="_MultipleSpace_Book1" xfId="598" xr:uid="{00000000-0005-0000-0000-0000A5000000}"/>
    <cellStyle name="_MultipleSpace_Book29" xfId="599" xr:uid="{00000000-0005-0000-0000-0000A6000000}"/>
    <cellStyle name="_MultipleSpace_Book3" xfId="600" xr:uid="{00000000-0005-0000-0000-0000A7000000}"/>
    <cellStyle name="_MultipleSpace_Book3_1" xfId="601" xr:uid="{00000000-0005-0000-0000-0000A8000000}"/>
    <cellStyle name="_MultipleSpace_CNO" xfId="602" xr:uid="{00000000-0005-0000-0000-0000A9000000}"/>
    <cellStyle name="_MultipleSpace_DCF Alexander Forbes" xfId="603" xr:uid="{00000000-0005-0000-0000-0000AA000000}"/>
    <cellStyle name="_MultipleSpace_fmbi counties" xfId="604" xr:uid="{00000000-0005-0000-0000-0000AB000000}"/>
    <cellStyle name="_MultipleSpace_FMBI MBHI Graphs" xfId="605" xr:uid="{00000000-0005-0000-0000-0000AC000000}"/>
    <cellStyle name="_MultipleSpace_FMBI MBHI Graphs 07102001" xfId="606" xr:uid="{00000000-0005-0000-0000-0000AD000000}"/>
    <cellStyle name="_MultipleSpace_FMBI MBHI Graphs_7601" xfId="607" xr:uid="{00000000-0005-0000-0000-0000AE000000}"/>
    <cellStyle name="_MultipleSpace_GNW" xfId="608" xr:uid="{00000000-0005-0000-0000-0000AF000000}"/>
    <cellStyle name="_MultipleSpace_Insurance Brokerage CSC_1Q2002" xfId="609" xr:uid="{00000000-0005-0000-0000-0000B0000000}"/>
    <cellStyle name="_MultipleSpace_JP" xfId="610" xr:uid="{00000000-0005-0000-0000-0000B1000000}"/>
    <cellStyle name="_MultipleSpace_LNC" xfId="611" xr:uid="{00000000-0005-0000-0000-0000B2000000}"/>
    <cellStyle name="_MultipleSpace_MET" xfId="612" xr:uid="{00000000-0005-0000-0000-0000B3000000}"/>
    <cellStyle name="_MultipleSpace_MET04" xfId="613" xr:uid="{00000000-0005-0000-0000-0000B4000000}"/>
    <cellStyle name="_MultipleSpace_NFS" xfId="614" xr:uid="{00000000-0005-0000-0000-0000B5000000}"/>
    <cellStyle name="_MultipleSpace_Overview3" xfId="615" xr:uid="{00000000-0005-0000-0000-0000B6000000}"/>
    <cellStyle name="_MultipleSpace_phil data" xfId="616" xr:uid="{00000000-0005-0000-0000-0000B7000000}"/>
    <cellStyle name="_MultipleSpace_Price Performance Charts" xfId="617" xr:uid="{00000000-0005-0000-0000-0000B8000000}"/>
    <cellStyle name="_MultipleSpace_PRU" xfId="618" xr:uid="{00000000-0005-0000-0000-0000B9000000}"/>
    <cellStyle name="_MultipleSpace_PRU04" xfId="619" xr:uid="{00000000-0005-0000-0000-0000BA000000}"/>
    <cellStyle name="_MultipleSpace_RiskReward" xfId="620" xr:uid="{00000000-0005-0000-0000-0000BB000000}"/>
    <cellStyle name="_MultipleSpace_SFG" xfId="621" xr:uid="{00000000-0005-0000-0000-0000BC000000}"/>
    <cellStyle name="_MultipleSpace_Sheet1" xfId="622" xr:uid="{00000000-0005-0000-0000-0000BD000000}"/>
    <cellStyle name="_MultipleSpace_Stock-QTR1 FDS" xfId="623" xr:uid="{00000000-0005-0000-0000-0000BE000000}"/>
    <cellStyle name="_MultipleSpace_TMK" xfId="624" xr:uid="{00000000-0005-0000-0000-0000BF000000}"/>
    <cellStyle name="_MultipleSpace_Updated Valuation Changes" xfId="625" xr:uid="{00000000-0005-0000-0000-0000C0000000}"/>
    <cellStyle name="_MultipleSpace_Valuation Graphs" xfId="626" xr:uid="{00000000-0005-0000-0000-0000C1000000}"/>
    <cellStyle name="_MultipleSpace_xratio - historical mkt val" xfId="627" xr:uid="{00000000-0005-0000-0000-0000C2000000}"/>
    <cellStyle name="_Percent" xfId="628" xr:uid="{00000000-0005-0000-0000-0000C3000000}"/>
    <cellStyle name="_Percent_DCF Alexander Forbes" xfId="629" xr:uid="{00000000-0005-0000-0000-0000C4000000}"/>
    <cellStyle name="_Percent_FMBI MBHI Graphs" xfId="630" xr:uid="{00000000-0005-0000-0000-0000C5000000}"/>
    <cellStyle name="_Percent_FMBI MBHI Graphs 07102001" xfId="631" xr:uid="{00000000-0005-0000-0000-0000C6000000}"/>
    <cellStyle name="_Percent_FMBI MBHI Graphs_7601" xfId="632" xr:uid="{00000000-0005-0000-0000-0000C7000000}"/>
    <cellStyle name="_PercentSpace" xfId="633" xr:uid="{00000000-0005-0000-0000-0000C8000000}"/>
    <cellStyle name="_PercentSpace_01 adj for merger plan" xfId="634" xr:uid="{00000000-0005-0000-0000-0000C9000000}"/>
    <cellStyle name="_PercentSpace_DCF Alexander Forbes" xfId="635" xr:uid="{00000000-0005-0000-0000-0000CA000000}"/>
    <cellStyle name="_PercentSpace_FMBI MBHI Graphs" xfId="636" xr:uid="{00000000-0005-0000-0000-0000CB000000}"/>
    <cellStyle name="_PercentSpace_FMBI MBHI Graphs 07102001" xfId="637" xr:uid="{00000000-0005-0000-0000-0000CC000000}"/>
    <cellStyle name="_PercentSpace_FMBI MBHI Graphs_7601" xfId="638" xr:uid="{00000000-0005-0000-0000-0000CD000000}"/>
    <cellStyle name="—_Results_DCF ANALYSIS_HPI " xfId="13" xr:uid="{00000000-0005-0000-0000-0000CE000000}"/>
    <cellStyle name="—_Results_Rmb_HPI " xfId="14" xr:uid="{00000000-0005-0000-0000-0000CF000000}"/>
    <cellStyle name="—_Results_SH_HPI " xfId="15" xr:uid="{00000000-0005-0000-0000-0000D0000000}"/>
    <cellStyle name="_SubHeading" xfId="639" xr:uid="{00000000-0005-0000-0000-0000D1000000}"/>
    <cellStyle name="_SubHeading_Ability to Pay Analysis" xfId="640" xr:uid="{00000000-0005-0000-0000-0000D2000000}"/>
    <cellStyle name="_SubHeading_BankUnited Model" xfId="641" xr:uid="{00000000-0005-0000-0000-0000D3000000}"/>
    <cellStyle name="_SubHeading_fmbi counties" xfId="642" xr:uid="{00000000-0005-0000-0000-0000D4000000}"/>
    <cellStyle name="_SubHeading_FMBI MBHI Graphs" xfId="643" xr:uid="{00000000-0005-0000-0000-0000D5000000}"/>
    <cellStyle name="_SubHeading_FMBI MBHI Graphs 07102001" xfId="644" xr:uid="{00000000-0005-0000-0000-0000D6000000}"/>
    <cellStyle name="_SubHeading_FMBI MBHI Graphs_7601" xfId="645" xr:uid="{00000000-0005-0000-0000-0000D7000000}"/>
    <cellStyle name="_SubHeading_prestemp" xfId="646" xr:uid="{00000000-0005-0000-0000-0000D8000000}"/>
    <cellStyle name="_SubHeading_prestemp_Insurance Brokerage CSC_1Q2002" xfId="647" xr:uid="{00000000-0005-0000-0000-0000D9000000}"/>
    <cellStyle name="_SubHeading_prestemp_Overview3" xfId="648" xr:uid="{00000000-0005-0000-0000-0000DA000000}"/>
    <cellStyle name="_SubHeading_prestemp_Updated Valuation Changes" xfId="649" xr:uid="{00000000-0005-0000-0000-0000DB000000}"/>
    <cellStyle name="_SubHeading_xratio - historical mkt val" xfId="650" xr:uid="{00000000-0005-0000-0000-0000DC000000}"/>
    <cellStyle name="_Table" xfId="651" xr:uid="{00000000-0005-0000-0000-0000DD000000}"/>
    <cellStyle name="_Table_Ability to Pay Analysis" xfId="652" xr:uid="{00000000-0005-0000-0000-0000DE000000}"/>
    <cellStyle name="_Table_BankUnited Model" xfId="653" xr:uid="{00000000-0005-0000-0000-0000DF000000}"/>
    <cellStyle name="_Table_fmbi counties" xfId="654" xr:uid="{00000000-0005-0000-0000-0000E0000000}"/>
    <cellStyle name="_Table_xratio - historical mkt val" xfId="655" xr:uid="{00000000-0005-0000-0000-0000E1000000}"/>
    <cellStyle name="_TableHead" xfId="656" xr:uid="{00000000-0005-0000-0000-0000E2000000}"/>
    <cellStyle name="_TableRowHead" xfId="657" xr:uid="{00000000-0005-0000-0000-0000E3000000}"/>
    <cellStyle name="_TableSuperHead" xfId="658" xr:uid="{00000000-0005-0000-0000-0000E4000000}"/>
    <cellStyle name="_TableSuperHead_Ability to Pay Analysis" xfId="659" xr:uid="{00000000-0005-0000-0000-0000E5000000}"/>
    <cellStyle name="_TableSuperHead_BankUnited Model" xfId="660" xr:uid="{00000000-0005-0000-0000-0000E6000000}"/>
    <cellStyle name="_TableSuperHead_fmbi counties" xfId="661" xr:uid="{00000000-0005-0000-0000-0000E7000000}"/>
    <cellStyle name="_TableSuperHead_xratio - historical mkt val" xfId="662" xr:uid="{00000000-0005-0000-0000-0000E8000000}"/>
    <cellStyle name="’Ê‰Ý [0.00]_GE 3 MINIMUM" xfId="16" xr:uid="{00000000-0005-0000-0000-0000E9000000}"/>
    <cellStyle name="’Ê‰Ý_GE 3 MINIMUM" xfId="17" xr:uid="{00000000-0005-0000-0000-0000EA000000}"/>
    <cellStyle name="\0,000" xfId="8" xr:uid="{00000000-0005-0000-0000-000004000000}"/>
    <cellStyle name="\0,000.0" xfId="9" xr:uid="{00000000-0005-0000-0000-000005000000}"/>
    <cellStyle name="\0,000_1812BS-c" xfId="10" xr:uid="{00000000-0005-0000-0000-000006000000}"/>
    <cellStyle name="§Q\?1@" xfId="18" xr:uid="{00000000-0005-0000-0000-0000EB000000}"/>
    <cellStyle name="§Q\òm1@À" xfId="19" xr:uid="{00000000-0005-0000-0000-0000EC000000}"/>
    <cellStyle name="•W€_GE 3 MINIMUM" xfId="20" xr:uid="{00000000-0005-0000-0000-0000ED000000}"/>
    <cellStyle name="0%" xfId="21" xr:uid="{00000000-0005-0000-0000-0000EE000000}"/>
    <cellStyle name="0.0" xfId="22" xr:uid="{00000000-0005-0000-0000-0000EF000000}"/>
    <cellStyle name="0.0%" xfId="23" xr:uid="{00000000-0005-0000-0000-0000F0000000}"/>
    <cellStyle name="0.00" xfId="24" xr:uid="{00000000-0005-0000-0000-0000F1000000}"/>
    <cellStyle name="0.00%" xfId="25" xr:uid="{00000000-0005-0000-0000-0000F2000000}"/>
    <cellStyle name="0.00_1812BS-c" xfId="26" xr:uid="{00000000-0005-0000-0000-0000F3000000}"/>
    <cellStyle name="94/3" xfId="27" xr:uid="{00000000-0005-0000-0000-0000F4000000}"/>
    <cellStyle name="Actual data" xfId="28" xr:uid="{00000000-0005-0000-0000-0000F5000000}"/>
    <cellStyle name="Actual year" xfId="29" xr:uid="{00000000-0005-0000-0000-0000F6000000}"/>
    <cellStyle name="Actuals Cells" xfId="30" xr:uid="{00000000-0005-0000-0000-0000F7000000}"/>
    <cellStyle name="AFE" xfId="663" xr:uid="{00000000-0005-0000-0000-0000F8000000}"/>
    <cellStyle name="afl" xfId="664" xr:uid="{00000000-0005-0000-0000-0000F9000000}"/>
    <cellStyle name="Andre's Title" xfId="665" xr:uid="{00000000-0005-0000-0000-0000FA000000}"/>
    <cellStyle name="AUV" xfId="31" xr:uid="{00000000-0005-0000-0000-0000FB000000}"/>
    <cellStyle name="BalanceSheet" xfId="32" xr:uid="{00000000-0005-0000-0000-0000FC000000}"/>
    <cellStyle name="Bank1" xfId="33" xr:uid="{00000000-0005-0000-0000-0000FD000000}"/>
    <cellStyle name="Blank" xfId="34" xr:uid="{00000000-0005-0000-0000-0000FE000000}"/>
    <cellStyle name="Blue" xfId="35" xr:uid="{00000000-0005-0000-0000-0000FF000000}"/>
    <cellStyle name="Blue Title" xfId="666" xr:uid="{00000000-0005-0000-0000-000000010000}"/>
    <cellStyle name="bps" xfId="36" xr:uid="{00000000-0005-0000-0000-000001010000}"/>
    <cellStyle name="Calc Cells" xfId="37" xr:uid="{00000000-0005-0000-0000-000002010000}"/>
    <cellStyle name="Case" xfId="667" xr:uid="{00000000-0005-0000-0000-000003010000}"/>
    <cellStyle name="CashFlow" xfId="38" xr:uid="{00000000-0005-0000-0000-000004010000}"/>
    <cellStyle name="Changeable" xfId="39" xr:uid="{00000000-0005-0000-0000-000005010000}"/>
    <cellStyle name="Co. Names" xfId="668" xr:uid="{00000000-0005-0000-0000-000006010000}"/>
    <cellStyle name="Co. Names - Bold" xfId="669" xr:uid="{00000000-0005-0000-0000-000007010000}"/>
    <cellStyle name="Co. Names_Blend" xfId="670" xr:uid="{00000000-0005-0000-0000-000008010000}"/>
    <cellStyle name="Col Head" xfId="671" xr:uid="{00000000-0005-0000-0000-000009010000}"/>
    <cellStyle name="Comma  - Style1" xfId="40" xr:uid="{00000000-0005-0000-0000-00000B010000}"/>
    <cellStyle name="Comma  - Style2" xfId="41" xr:uid="{00000000-0005-0000-0000-00000C010000}"/>
    <cellStyle name="Comma  - Style3" xfId="42" xr:uid="{00000000-0005-0000-0000-00000D010000}"/>
    <cellStyle name="Comma  - Style4" xfId="43" xr:uid="{00000000-0005-0000-0000-00000E010000}"/>
    <cellStyle name="Comma  - Style5" xfId="44" xr:uid="{00000000-0005-0000-0000-00000F010000}"/>
    <cellStyle name="Comma  - Style6" xfId="45" xr:uid="{00000000-0005-0000-0000-000010010000}"/>
    <cellStyle name="Comma  - Style7" xfId="46" xr:uid="{00000000-0005-0000-0000-000011010000}"/>
    <cellStyle name="Comma  - Style8" xfId="47" xr:uid="{00000000-0005-0000-0000-000012010000}"/>
    <cellStyle name="Comma [0] 2" xfId="48" xr:uid="{00000000-0005-0000-0000-000014010000}"/>
    <cellStyle name="Comma [0] 3" xfId="49" xr:uid="{00000000-0005-0000-0000-000015010000}"/>
    <cellStyle name="Comma [0] 4" xfId="50" xr:uid="{00000000-0005-0000-0000-000016010000}"/>
    <cellStyle name="Comma [0] 5" xfId="440" xr:uid="{00000000-0005-0000-0000-000017010000}"/>
    <cellStyle name="Comma 2" xfId="2" xr:uid="{00000000-0005-0000-0000-000018010000}"/>
    <cellStyle name="Comma(1)" xfId="51" xr:uid="{00000000-0005-0000-0000-000019010000}"/>
    <cellStyle name="Comma(2)" xfId="52" xr:uid="{00000000-0005-0000-0000-00001A010000}"/>
    <cellStyle name="comma(3)" xfId="53" xr:uid="{00000000-0005-0000-0000-00001B010000}"/>
    <cellStyle name="Comma0" xfId="672" xr:uid="{00000000-0005-0000-0000-00001D010000}"/>
    <cellStyle name="Company name" xfId="54" xr:uid="{00000000-0005-0000-0000-00001E010000}"/>
    <cellStyle name="CompanyTitle" xfId="673" xr:uid="{00000000-0005-0000-0000-00001F010000}"/>
    <cellStyle name="Currency [1]" xfId="55" xr:uid="{00000000-0005-0000-0000-000020010000}"/>
    <cellStyle name="Currency [2]" xfId="674" xr:uid="{00000000-0005-0000-0000-000021010000}"/>
    <cellStyle name="Currency 2" xfId="56" xr:uid="{00000000-0005-0000-0000-000022010000}"/>
    <cellStyle name="Currency(1)" xfId="57" xr:uid="{00000000-0005-0000-0000-000023010000}"/>
    <cellStyle name="Currency0" xfId="675" xr:uid="{00000000-0005-0000-0000-000024010000}"/>
    <cellStyle name="date" xfId="676" xr:uid="{00000000-0005-0000-0000-000025010000}"/>
    <cellStyle name="Dates" xfId="58" xr:uid="{00000000-0005-0000-0000-000026010000}"/>
    <cellStyle name="DateYear" xfId="59" xr:uid="{00000000-0005-0000-0000-000027010000}"/>
    <cellStyle name="decimal 1" xfId="60" xr:uid="{00000000-0005-0000-0000-000028010000}"/>
    <cellStyle name="Decimal.1" xfId="61" xr:uid="{00000000-0005-0000-0000-000029010000}"/>
    <cellStyle name="default" xfId="677" xr:uid="{00000000-0005-0000-0000-00002A010000}"/>
    <cellStyle name="Dollar" xfId="62" xr:uid="{00000000-0005-0000-0000-00002B010000}"/>
    <cellStyle name="Dollars" xfId="63" xr:uid="{00000000-0005-0000-0000-00002C010000}"/>
    <cellStyle name="DollarWhole" xfId="64" xr:uid="{00000000-0005-0000-0000-00002D010000}"/>
    <cellStyle name="DRI bold" xfId="65" xr:uid="{00000000-0005-0000-0000-00002E010000}"/>
    <cellStyle name="DRI norm" xfId="66" xr:uid="{00000000-0005-0000-0000-00002F010000}"/>
    <cellStyle name="emp" xfId="678" xr:uid="{00000000-0005-0000-0000-000030010000}"/>
    <cellStyle name="EPS" xfId="67" xr:uid="{00000000-0005-0000-0000-000031010000}"/>
    <cellStyle name="Euro" xfId="68" xr:uid="{00000000-0005-0000-0000-000032010000}"/>
    <cellStyle name="External File Cells" xfId="69" xr:uid="{00000000-0005-0000-0000-000033010000}"/>
    <cellStyle name="Fit" xfId="679" xr:uid="{00000000-0005-0000-0000-000034010000}"/>
    <cellStyle name="Fixed" xfId="680" xr:uid="{00000000-0005-0000-0000-000035010000}"/>
    <cellStyle name="Footnotes" xfId="681" xr:uid="{00000000-0005-0000-0000-000036010000}"/>
    <cellStyle name="Forecast Cells" xfId="70" xr:uid="{00000000-0005-0000-0000-000037010000}"/>
    <cellStyle name="G1_1999 figures" xfId="71" xr:uid="{00000000-0005-0000-0000-000038010000}"/>
    <cellStyle name="GrowthRate" xfId="72" xr:uid="{00000000-0005-0000-0000-000039010000}"/>
    <cellStyle name="h" xfId="73" xr:uid="{00000000-0005-0000-0000-00003A010000}"/>
    <cellStyle name="H_1998_col_head" xfId="74" xr:uid="{00000000-0005-0000-0000-00003B010000}"/>
    <cellStyle name="H_1998_col_head_7267EM31March05" xfId="75" xr:uid="{00000000-0005-0000-0000-00003C010000}"/>
    <cellStyle name="H_1998_col_head_7267EM31March05_7267 Honda" xfId="76" xr:uid="{00000000-0005-0000-0000-00003D010000}"/>
    <cellStyle name="H_1999_col_head" xfId="77" xr:uid="{00000000-0005-0000-0000-00003E010000}"/>
    <cellStyle name="h_7267 Honda" xfId="78" xr:uid="{00000000-0005-0000-0000-00003F010000}"/>
    <cellStyle name="h_APPB MODEL" xfId="79" xr:uid="{00000000-0005-0000-0000-000040010000}"/>
    <cellStyle name="h_APPB MODEL_7267 Honda" xfId="80" xr:uid="{00000000-0005-0000-0000-000041010000}"/>
    <cellStyle name="h_Buyback" xfId="81" xr:uid="{00000000-0005-0000-0000-000042010000}"/>
    <cellStyle name="h_Concept detail" xfId="82" xr:uid="{00000000-0005-0000-0000-000043010000}"/>
    <cellStyle name="h_E v A - Dec 01" xfId="83" xr:uid="{00000000-0005-0000-0000-000044010000}"/>
    <cellStyle name="h_EAT MODEL" xfId="84" xr:uid="{00000000-0005-0000-0000-000045010000}"/>
    <cellStyle name="h_EAT MODEL_7267 Honda" xfId="85" xr:uid="{00000000-0005-0000-0000-000046010000}"/>
    <cellStyle name="h_Geo" xfId="86" xr:uid="{00000000-0005-0000-0000-000047010000}"/>
    <cellStyle name="h_MCD MODEL" xfId="87" xr:uid="{00000000-0005-0000-0000-000048010000}"/>
    <cellStyle name="h_Model" xfId="88" xr:uid="{00000000-0005-0000-0000-000049010000}"/>
    <cellStyle name="h_NEW SSS" xfId="89" xr:uid="{00000000-0005-0000-0000-00004A010000}"/>
    <cellStyle name="h_Rev Drivers" xfId="90" xr:uid="{00000000-0005-0000-0000-00004B010000}"/>
    <cellStyle name="h_SBUX MODEL" xfId="91" xr:uid="{00000000-0005-0000-0000-00004C010000}"/>
    <cellStyle name="h_WEN MODEL" xfId="92" xr:uid="{00000000-0005-0000-0000-00004D010000}"/>
    <cellStyle name="h_WEN MODEL_7267 Honda" xfId="93" xr:uid="{00000000-0005-0000-0000-00004E010000}"/>
    <cellStyle name="h_WEN MODEL_APPB MODEL" xfId="94" xr:uid="{00000000-0005-0000-0000-00004F010000}"/>
    <cellStyle name="h_WEN MODEL_APPB MODEL_7267 Honda" xfId="95" xr:uid="{00000000-0005-0000-0000-000050010000}"/>
    <cellStyle name="h_WEN MODEL_Buyback" xfId="96" xr:uid="{00000000-0005-0000-0000-000051010000}"/>
    <cellStyle name="h_WEN MODEL_Buyback_7267 Honda" xfId="97" xr:uid="{00000000-0005-0000-0000-000052010000}"/>
    <cellStyle name="h_WEN MODEL_Concept detail" xfId="98" xr:uid="{00000000-0005-0000-0000-000053010000}"/>
    <cellStyle name="h_WEN MODEL_Concept detail_7267 Honda" xfId="99" xr:uid="{00000000-0005-0000-0000-000054010000}"/>
    <cellStyle name="h_WEN MODEL_EAT MODEL" xfId="100" xr:uid="{00000000-0005-0000-0000-000055010000}"/>
    <cellStyle name="h_WEN MODEL_EAT MODEL_7267 Honda" xfId="101" xr:uid="{00000000-0005-0000-0000-000056010000}"/>
    <cellStyle name="h_WEN MODEL_Geo" xfId="102" xr:uid="{00000000-0005-0000-0000-000057010000}"/>
    <cellStyle name="h_WEN MODEL_Geo_7267 Honda" xfId="103" xr:uid="{00000000-0005-0000-0000-000058010000}"/>
    <cellStyle name="h_WEN MODEL_MCD MODEL" xfId="104" xr:uid="{00000000-0005-0000-0000-000059010000}"/>
    <cellStyle name="h_WEN MODEL_MCD MODEL_7267 Honda" xfId="105" xr:uid="{00000000-0005-0000-0000-00005A010000}"/>
    <cellStyle name="h_WEN MODEL_Model" xfId="106" xr:uid="{00000000-0005-0000-0000-00005B010000}"/>
    <cellStyle name="h_WEN MODEL_Model_7267 Honda" xfId="107" xr:uid="{00000000-0005-0000-0000-00005C010000}"/>
    <cellStyle name="h_WEN MODEL_NEW SSS" xfId="108" xr:uid="{00000000-0005-0000-0000-00005D010000}"/>
    <cellStyle name="h_WEN MODEL_NEW SSS_7267 Honda" xfId="109" xr:uid="{00000000-0005-0000-0000-00005E010000}"/>
    <cellStyle name="h_WEN MODEL_Rev Drivers" xfId="110" xr:uid="{00000000-0005-0000-0000-00005F010000}"/>
    <cellStyle name="h_WEN MODEL_Rev Drivers_7267 Honda" xfId="111" xr:uid="{00000000-0005-0000-0000-000060010000}"/>
    <cellStyle name="h_WEN MODEL_SBUX MODEL" xfId="112" xr:uid="{00000000-0005-0000-0000-000061010000}"/>
    <cellStyle name="h_WEN MODEL_SBUX MODEL_7267 Honda" xfId="113" xr:uid="{00000000-0005-0000-0000-000062010000}"/>
    <cellStyle name="h_WEN MODEL_YUM MODEL" xfId="114" xr:uid="{00000000-0005-0000-0000-000063010000}"/>
    <cellStyle name="h_WEN MODEL_YUM MODEL_7267 Honda" xfId="115" xr:uid="{00000000-0005-0000-0000-000064010000}"/>
    <cellStyle name="h_YUM MODEL" xfId="116" xr:uid="{00000000-0005-0000-0000-000065010000}"/>
    <cellStyle name="H1_1998 figures" xfId="117" xr:uid="{00000000-0005-0000-0000-000066010000}"/>
    <cellStyle name="Head1" xfId="118" xr:uid="{00000000-0005-0000-0000-000067010000}"/>
    <cellStyle name="Heading" xfId="682" xr:uid="{00000000-0005-0000-0000-000068010000}"/>
    <cellStyle name="Heading1" xfId="119" xr:uid="{00000000-0005-0000-0000-000069010000}"/>
    <cellStyle name="Hyperlink_E-Ton_021808" xfId="120" xr:uid="{00000000-0005-0000-0000-00006B010000}"/>
    <cellStyle name="IncomeStatement" xfId="121" xr:uid="{00000000-0005-0000-0000-00006D010000}"/>
    <cellStyle name="Input Cells" xfId="122" xr:uid="{00000000-0005-0000-0000-00006E010000}"/>
    <cellStyle name="Item Descriptions" xfId="683" xr:uid="{00000000-0005-0000-0000-00006F010000}"/>
    <cellStyle name="Line" xfId="684" xr:uid="{00000000-0005-0000-0000-000070010000}"/>
    <cellStyle name="Mainhead" xfId="123" xr:uid="{00000000-0005-0000-0000-000071010000}"/>
    <cellStyle name="Margins" xfId="124" xr:uid="{00000000-0005-0000-0000-000072010000}"/>
    <cellStyle name="Merrill" xfId="685" xr:uid="{00000000-0005-0000-0000-000073010000}"/>
    <cellStyle name="Mix" xfId="686" xr:uid="{00000000-0005-0000-0000-000074010000}"/>
    <cellStyle name="Monitor" xfId="687" xr:uid="{00000000-0005-0000-0000-000075010000}"/>
    <cellStyle name="Multiple" xfId="125" xr:uid="{00000000-0005-0000-0000-000076010000}"/>
    <cellStyle name="Normal - Style1" xfId="126" xr:uid="{00000000-0005-0000-0000-000078010000}"/>
    <cellStyle name="Normal 2" xfId="1" xr:uid="{00000000-0005-0000-0000-000079010000}"/>
    <cellStyle name="Normal 2 2" xfId="441" xr:uid="{00000000-0005-0000-0000-00007A010000}"/>
    <cellStyle name="Normal 3" xfId="127" xr:uid="{00000000-0005-0000-0000-00007B010000}"/>
    <cellStyle name="Normal 3 3" xfId="719" xr:uid="{00000000-0005-0000-0000-00007C010000}"/>
    <cellStyle name="Normal 4" xfId="128" xr:uid="{00000000-0005-0000-0000-00007D010000}"/>
    <cellStyle name="Normal 4 3" xfId="718" xr:uid="{00000000-0005-0000-0000-00007E010000}"/>
    <cellStyle name="Normal 5" xfId="721" xr:uid="{00000000-0005-0000-0000-00007F010000}"/>
    <cellStyle name="Normal 6" xfId="723" xr:uid="{00000000-0005-0000-0000-000080010000}"/>
    <cellStyle name="Normal 7 2" xfId="725" xr:uid="{B00A73CC-02FE-4CCB-A86A-4FC4512A15F6}"/>
    <cellStyle name="Normal 8 2" xfId="726" xr:uid="{5CB7687E-386B-497F-9947-13DBB8C49398}"/>
    <cellStyle name="Normal Cells" xfId="129" xr:uid="{00000000-0005-0000-0000-000081010000}"/>
    <cellStyle name="Normal Total" xfId="130" xr:uid="{00000000-0005-0000-0000-000082010000}"/>
    <cellStyle name="Normal_8058_2004-post_macro" xfId="131" xr:uid="{00000000-0005-0000-0000-000083010000}"/>
    <cellStyle name="Normal_E-Ton_021808" xfId="132" xr:uid="{00000000-0005-0000-0000-000085010000}"/>
    <cellStyle name="Normal_Sector_Summary_Pack_Eur" xfId="724" xr:uid="{00000000-0005-0000-0000-00008A010000}"/>
    <cellStyle name="Notes" xfId="133" xr:uid="{00000000-0005-0000-0000-00008F010000}"/>
    <cellStyle name="Number" xfId="134" xr:uid="{00000000-0005-0000-0000-000090010000}"/>
    <cellStyle name="Numbers" xfId="688" xr:uid="{00000000-0005-0000-0000-000091010000}"/>
    <cellStyle name="Numbers - Bold" xfId="689" xr:uid="{00000000-0005-0000-0000-000092010000}"/>
    <cellStyle name="Numbers - Bold - Italic" xfId="690" xr:uid="{00000000-0005-0000-0000-000093010000}"/>
    <cellStyle name="Numbers - Bold_Blend" xfId="691" xr:uid="{00000000-0005-0000-0000-000094010000}"/>
    <cellStyle name="Numbers - Large" xfId="692" xr:uid="{00000000-0005-0000-0000-000095010000}"/>
    <cellStyle name="Numbers_Comps" xfId="693" xr:uid="{00000000-0005-0000-0000-000096010000}"/>
    <cellStyle name="Œ…‹æØ‚è [0.00]_GE 3 MINIMUM" xfId="135" xr:uid="{00000000-0005-0000-0000-000097010000}"/>
    <cellStyle name="Œ…‹æØ‚è_GE 3 MINIMUM" xfId="136" xr:uid="{00000000-0005-0000-0000-000098010000}"/>
    <cellStyle name="OSW_ColumnLabels" xfId="694" xr:uid="{00000000-0005-0000-0000-000099010000}"/>
    <cellStyle name="Page" xfId="695" xr:uid="{00000000-0005-0000-0000-00009A010000}"/>
    <cellStyle name="Page header" xfId="137" xr:uid="{00000000-0005-0000-0000-00009B010000}"/>
    <cellStyle name="Percent [1]" xfId="138" xr:uid="{00000000-0005-0000-0000-00009D010000}"/>
    <cellStyle name="Percent 2" xfId="3" xr:uid="{00000000-0005-0000-0000-00009E010000}"/>
    <cellStyle name="Percent 2 2" xfId="720" xr:uid="{00000000-0005-0000-0000-00009F010000}"/>
    <cellStyle name="Percent 3" xfId="139" xr:uid="{00000000-0005-0000-0000-0000A0010000}"/>
    <cellStyle name="Percent 4" xfId="140" xr:uid="{00000000-0005-0000-0000-0000A1010000}"/>
    <cellStyle name="Percent Change" xfId="141" xr:uid="{00000000-0005-0000-0000-0000A2010000}"/>
    <cellStyle name="Percent total" xfId="142" xr:uid="{00000000-0005-0000-0000-0000A3010000}"/>
    <cellStyle name="Percent(1)" xfId="143" xr:uid="{00000000-0005-0000-0000-0000A4010000}"/>
    <cellStyle name="Percent.0" xfId="144" xr:uid="{00000000-0005-0000-0000-0000A5010000}"/>
    <cellStyle name="Percent.1" xfId="145" xr:uid="{00000000-0005-0000-0000-0000A6010000}"/>
    <cellStyle name="Percent.whole" xfId="146" xr:uid="{00000000-0005-0000-0000-0000A7010000}"/>
    <cellStyle name="Percentage" xfId="696" xr:uid="{00000000-0005-0000-0000-0000A8010000}"/>
    <cellStyle name="PercentPresentation" xfId="147" xr:uid="{00000000-0005-0000-0000-0000A9010000}"/>
    <cellStyle name="Percent-whole" xfId="148" xr:uid="{00000000-0005-0000-0000-0000AA010000}"/>
    <cellStyle name="POPS" xfId="149" xr:uid="{00000000-0005-0000-0000-0000AB010000}"/>
    <cellStyle name="PPT" xfId="150" xr:uid="{00000000-0005-0000-0000-0000AC010000}"/>
    <cellStyle name="Presentation" xfId="151" xr:uid="{00000000-0005-0000-0000-0000AD010000}"/>
    <cellStyle name="PresentationZero" xfId="152" xr:uid="{00000000-0005-0000-0000-0000AE010000}"/>
    <cellStyle name="Price" xfId="153" xr:uid="{00000000-0005-0000-0000-0000AF010000}"/>
    <cellStyle name="prot" xfId="697" xr:uid="{00000000-0005-0000-0000-0000B0010000}"/>
    <cellStyle name="Punto" xfId="698" xr:uid="{00000000-0005-0000-0000-0000B1010000}"/>
    <cellStyle name="r" xfId="699" xr:uid="{00000000-0005-0000-0000-0000B2010000}"/>
    <cellStyle name="Ref Numbers" xfId="154" xr:uid="{00000000-0005-0000-0000-0000B3010000}"/>
    <cellStyle name="Reuters Cells" xfId="155" xr:uid="{00000000-0005-0000-0000-0000B4010000}"/>
    <cellStyle name="s" xfId="156" xr:uid="{00000000-0005-0000-0000-0000B5010000}"/>
    <cellStyle name="ShadedCells_Database" xfId="157" xr:uid="{00000000-0005-0000-0000-0000B6010000}"/>
    <cellStyle name="Shares" xfId="158" xr:uid="{00000000-0005-0000-0000-0000B7010000}"/>
    <cellStyle name="Sheet Title" xfId="700" xr:uid="{00000000-0005-0000-0000-0000B8010000}"/>
    <cellStyle name="ShOut" xfId="701" xr:uid="{00000000-0005-0000-0000-0000B9010000}"/>
    <cellStyle name="Source Line" xfId="159" xr:uid="{00000000-0005-0000-0000-0000BA010000}"/>
    <cellStyle name="Style 1" xfId="160" xr:uid="{00000000-0005-0000-0000-0000BB010000}"/>
    <cellStyle name="Style 10" xfId="161" xr:uid="{00000000-0005-0000-0000-0000BC010000}"/>
    <cellStyle name="Style 100" xfId="162" xr:uid="{00000000-0005-0000-0000-0000BD010000}"/>
    <cellStyle name="Style 101" xfId="163" xr:uid="{00000000-0005-0000-0000-0000BE010000}"/>
    <cellStyle name="Style 102" xfId="164" xr:uid="{00000000-0005-0000-0000-0000BF010000}"/>
    <cellStyle name="Style 103" xfId="165" xr:uid="{00000000-0005-0000-0000-0000C0010000}"/>
    <cellStyle name="Style 104" xfId="166" xr:uid="{00000000-0005-0000-0000-0000C1010000}"/>
    <cellStyle name="Style 105" xfId="167" xr:uid="{00000000-0005-0000-0000-0000C2010000}"/>
    <cellStyle name="Style 106" xfId="168" xr:uid="{00000000-0005-0000-0000-0000C3010000}"/>
    <cellStyle name="Style 107" xfId="169" xr:uid="{00000000-0005-0000-0000-0000C4010000}"/>
    <cellStyle name="Style 108" xfId="170" xr:uid="{00000000-0005-0000-0000-0000C5010000}"/>
    <cellStyle name="Style 109" xfId="171" xr:uid="{00000000-0005-0000-0000-0000C6010000}"/>
    <cellStyle name="Style 11" xfId="172" xr:uid="{00000000-0005-0000-0000-0000C7010000}"/>
    <cellStyle name="Style 110" xfId="173" xr:uid="{00000000-0005-0000-0000-0000C8010000}"/>
    <cellStyle name="Style 111" xfId="174" xr:uid="{00000000-0005-0000-0000-0000C9010000}"/>
    <cellStyle name="Style 112" xfId="175" xr:uid="{00000000-0005-0000-0000-0000CA010000}"/>
    <cellStyle name="Style 113" xfId="176" xr:uid="{00000000-0005-0000-0000-0000CB010000}"/>
    <cellStyle name="Style 114" xfId="177" xr:uid="{00000000-0005-0000-0000-0000CC010000}"/>
    <cellStyle name="Style 115" xfId="178" xr:uid="{00000000-0005-0000-0000-0000CD010000}"/>
    <cellStyle name="Style 116" xfId="179" xr:uid="{00000000-0005-0000-0000-0000CE010000}"/>
    <cellStyle name="Style 117" xfId="180" xr:uid="{00000000-0005-0000-0000-0000CF010000}"/>
    <cellStyle name="Style 118" xfId="181" xr:uid="{00000000-0005-0000-0000-0000D0010000}"/>
    <cellStyle name="Style 119" xfId="182" xr:uid="{00000000-0005-0000-0000-0000D1010000}"/>
    <cellStyle name="Style 12" xfId="183" xr:uid="{00000000-0005-0000-0000-0000D2010000}"/>
    <cellStyle name="Style 120" xfId="184" xr:uid="{00000000-0005-0000-0000-0000D3010000}"/>
    <cellStyle name="Style 121" xfId="185" xr:uid="{00000000-0005-0000-0000-0000D4010000}"/>
    <cellStyle name="Style 122" xfId="186" xr:uid="{00000000-0005-0000-0000-0000D5010000}"/>
    <cellStyle name="Style 123" xfId="187" xr:uid="{00000000-0005-0000-0000-0000D6010000}"/>
    <cellStyle name="Style 124" xfId="188" xr:uid="{00000000-0005-0000-0000-0000D7010000}"/>
    <cellStyle name="Style 125" xfId="189" xr:uid="{00000000-0005-0000-0000-0000D8010000}"/>
    <cellStyle name="Style 126" xfId="190" xr:uid="{00000000-0005-0000-0000-0000D9010000}"/>
    <cellStyle name="Style 127" xfId="191" xr:uid="{00000000-0005-0000-0000-0000DA010000}"/>
    <cellStyle name="Style 128" xfId="192" xr:uid="{00000000-0005-0000-0000-0000DB010000}"/>
    <cellStyle name="Style 129" xfId="193" xr:uid="{00000000-0005-0000-0000-0000DC010000}"/>
    <cellStyle name="Style 13" xfId="194" xr:uid="{00000000-0005-0000-0000-0000DD010000}"/>
    <cellStyle name="Style 130" xfId="195" xr:uid="{00000000-0005-0000-0000-0000DE010000}"/>
    <cellStyle name="Style 131" xfId="196" xr:uid="{00000000-0005-0000-0000-0000DF010000}"/>
    <cellStyle name="Style 132" xfId="197" xr:uid="{00000000-0005-0000-0000-0000E0010000}"/>
    <cellStyle name="Style 133" xfId="198" xr:uid="{00000000-0005-0000-0000-0000E1010000}"/>
    <cellStyle name="Style 134" xfId="199" xr:uid="{00000000-0005-0000-0000-0000E2010000}"/>
    <cellStyle name="Style 135" xfId="200" xr:uid="{00000000-0005-0000-0000-0000E3010000}"/>
    <cellStyle name="Style 136" xfId="201" xr:uid="{00000000-0005-0000-0000-0000E4010000}"/>
    <cellStyle name="Style 137" xfId="202" xr:uid="{00000000-0005-0000-0000-0000E5010000}"/>
    <cellStyle name="Style 138" xfId="203" xr:uid="{00000000-0005-0000-0000-0000E6010000}"/>
    <cellStyle name="Style 139" xfId="204" xr:uid="{00000000-0005-0000-0000-0000E7010000}"/>
    <cellStyle name="Style 14" xfId="205" xr:uid="{00000000-0005-0000-0000-0000E8010000}"/>
    <cellStyle name="Style 140" xfId="206" xr:uid="{00000000-0005-0000-0000-0000E9010000}"/>
    <cellStyle name="Style 141" xfId="207" xr:uid="{00000000-0005-0000-0000-0000EA010000}"/>
    <cellStyle name="Style 142" xfId="208" xr:uid="{00000000-0005-0000-0000-0000EB010000}"/>
    <cellStyle name="Style 143" xfId="209" xr:uid="{00000000-0005-0000-0000-0000EC010000}"/>
    <cellStyle name="Style 144" xfId="210" xr:uid="{00000000-0005-0000-0000-0000ED010000}"/>
    <cellStyle name="Style 145" xfId="211" xr:uid="{00000000-0005-0000-0000-0000EE010000}"/>
    <cellStyle name="Style 146" xfId="212" xr:uid="{00000000-0005-0000-0000-0000EF010000}"/>
    <cellStyle name="Style 147" xfId="213" xr:uid="{00000000-0005-0000-0000-0000F0010000}"/>
    <cellStyle name="Style 148" xfId="214" xr:uid="{00000000-0005-0000-0000-0000F1010000}"/>
    <cellStyle name="Style 149" xfId="215" xr:uid="{00000000-0005-0000-0000-0000F2010000}"/>
    <cellStyle name="Style 15" xfId="216" xr:uid="{00000000-0005-0000-0000-0000F3010000}"/>
    <cellStyle name="Style 150" xfId="217" xr:uid="{00000000-0005-0000-0000-0000F4010000}"/>
    <cellStyle name="Style 151" xfId="218" xr:uid="{00000000-0005-0000-0000-0000F5010000}"/>
    <cellStyle name="Style 152" xfId="219" xr:uid="{00000000-0005-0000-0000-0000F6010000}"/>
    <cellStyle name="Style 153" xfId="220" xr:uid="{00000000-0005-0000-0000-0000F7010000}"/>
    <cellStyle name="Style 154" xfId="221" xr:uid="{00000000-0005-0000-0000-0000F8010000}"/>
    <cellStyle name="Style 155" xfId="222" xr:uid="{00000000-0005-0000-0000-0000F9010000}"/>
    <cellStyle name="Style 156" xfId="223" xr:uid="{00000000-0005-0000-0000-0000FA010000}"/>
    <cellStyle name="Style 157" xfId="224" xr:uid="{00000000-0005-0000-0000-0000FB010000}"/>
    <cellStyle name="Style 158" xfId="225" xr:uid="{00000000-0005-0000-0000-0000FC010000}"/>
    <cellStyle name="Style 159" xfId="226" xr:uid="{00000000-0005-0000-0000-0000FD010000}"/>
    <cellStyle name="Style 16" xfId="227" xr:uid="{00000000-0005-0000-0000-0000FE010000}"/>
    <cellStyle name="Style 160" xfId="228" xr:uid="{00000000-0005-0000-0000-0000FF010000}"/>
    <cellStyle name="Style 161" xfId="229" xr:uid="{00000000-0005-0000-0000-000000020000}"/>
    <cellStyle name="Style 162" xfId="230" xr:uid="{00000000-0005-0000-0000-000001020000}"/>
    <cellStyle name="Style 163" xfId="231" xr:uid="{00000000-0005-0000-0000-000002020000}"/>
    <cellStyle name="Style 164" xfId="232" xr:uid="{00000000-0005-0000-0000-000003020000}"/>
    <cellStyle name="Style 165" xfId="233" xr:uid="{00000000-0005-0000-0000-000004020000}"/>
    <cellStyle name="Style 166" xfId="234" xr:uid="{00000000-0005-0000-0000-000005020000}"/>
    <cellStyle name="Style 167" xfId="235" xr:uid="{00000000-0005-0000-0000-000006020000}"/>
    <cellStyle name="Style 168" xfId="236" xr:uid="{00000000-0005-0000-0000-000007020000}"/>
    <cellStyle name="Style 169" xfId="237" xr:uid="{00000000-0005-0000-0000-000008020000}"/>
    <cellStyle name="Style 17" xfId="238" xr:uid="{00000000-0005-0000-0000-000009020000}"/>
    <cellStyle name="Style 170" xfId="239" xr:uid="{00000000-0005-0000-0000-00000A020000}"/>
    <cellStyle name="Style 171" xfId="240" xr:uid="{00000000-0005-0000-0000-00000B020000}"/>
    <cellStyle name="Style 172" xfId="241" xr:uid="{00000000-0005-0000-0000-00000C020000}"/>
    <cellStyle name="Style 173" xfId="242" xr:uid="{00000000-0005-0000-0000-00000D020000}"/>
    <cellStyle name="Style 174" xfId="243" xr:uid="{00000000-0005-0000-0000-00000E020000}"/>
    <cellStyle name="Style 175" xfId="244" xr:uid="{00000000-0005-0000-0000-00000F020000}"/>
    <cellStyle name="Style 176" xfId="245" xr:uid="{00000000-0005-0000-0000-000010020000}"/>
    <cellStyle name="Style 177" xfId="246" xr:uid="{00000000-0005-0000-0000-000011020000}"/>
    <cellStyle name="Style 178" xfId="247" xr:uid="{00000000-0005-0000-0000-000012020000}"/>
    <cellStyle name="Style 179" xfId="248" xr:uid="{00000000-0005-0000-0000-000013020000}"/>
    <cellStyle name="Style 18" xfId="249" xr:uid="{00000000-0005-0000-0000-000014020000}"/>
    <cellStyle name="Style 180" xfId="250" xr:uid="{00000000-0005-0000-0000-000015020000}"/>
    <cellStyle name="Style 181" xfId="251" xr:uid="{00000000-0005-0000-0000-000016020000}"/>
    <cellStyle name="Style 182" xfId="252" xr:uid="{00000000-0005-0000-0000-000017020000}"/>
    <cellStyle name="Style 183" xfId="253" xr:uid="{00000000-0005-0000-0000-000018020000}"/>
    <cellStyle name="Style 184" xfId="254" xr:uid="{00000000-0005-0000-0000-000019020000}"/>
    <cellStyle name="Style 185" xfId="255" xr:uid="{00000000-0005-0000-0000-00001A020000}"/>
    <cellStyle name="Style 186" xfId="256" xr:uid="{00000000-0005-0000-0000-00001B020000}"/>
    <cellStyle name="Style 187" xfId="257" xr:uid="{00000000-0005-0000-0000-00001C020000}"/>
    <cellStyle name="Style 188" xfId="258" xr:uid="{00000000-0005-0000-0000-00001D020000}"/>
    <cellStyle name="Style 189" xfId="259" xr:uid="{00000000-0005-0000-0000-00001E020000}"/>
    <cellStyle name="Style 19" xfId="260" xr:uid="{00000000-0005-0000-0000-00001F020000}"/>
    <cellStyle name="Style 190" xfId="261" xr:uid="{00000000-0005-0000-0000-000020020000}"/>
    <cellStyle name="Style 191" xfId="262" xr:uid="{00000000-0005-0000-0000-000021020000}"/>
    <cellStyle name="Style 192" xfId="263" xr:uid="{00000000-0005-0000-0000-000022020000}"/>
    <cellStyle name="Style 193" xfId="264" xr:uid="{00000000-0005-0000-0000-000023020000}"/>
    <cellStyle name="Style 194" xfId="265" xr:uid="{00000000-0005-0000-0000-000024020000}"/>
    <cellStyle name="Style 195" xfId="266" xr:uid="{00000000-0005-0000-0000-000025020000}"/>
    <cellStyle name="Style 196" xfId="267" xr:uid="{00000000-0005-0000-0000-000026020000}"/>
    <cellStyle name="Style 197" xfId="268" xr:uid="{00000000-0005-0000-0000-000027020000}"/>
    <cellStyle name="Style 198" xfId="269" xr:uid="{00000000-0005-0000-0000-000028020000}"/>
    <cellStyle name="Style 199" xfId="270" xr:uid="{00000000-0005-0000-0000-000029020000}"/>
    <cellStyle name="Style 2" xfId="271" xr:uid="{00000000-0005-0000-0000-00002A020000}"/>
    <cellStyle name="Style 20" xfId="272" xr:uid="{00000000-0005-0000-0000-00002B020000}"/>
    <cellStyle name="Style 200" xfId="273" xr:uid="{00000000-0005-0000-0000-00002C020000}"/>
    <cellStyle name="Style 201" xfId="274" xr:uid="{00000000-0005-0000-0000-00002D020000}"/>
    <cellStyle name="Style 202" xfId="275" xr:uid="{00000000-0005-0000-0000-00002E020000}"/>
    <cellStyle name="Style 203" xfId="276" xr:uid="{00000000-0005-0000-0000-00002F020000}"/>
    <cellStyle name="Style 204" xfId="277" xr:uid="{00000000-0005-0000-0000-000030020000}"/>
    <cellStyle name="Style 205" xfId="278" xr:uid="{00000000-0005-0000-0000-000031020000}"/>
    <cellStyle name="Style 206" xfId="279" xr:uid="{00000000-0005-0000-0000-000032020000}"/>
    <cellStyle name="Style 207" xfId="280" xr:uid="{00000000-0005-0000-0000-000033020000}"/>
    <cellStyle name="Style 208" xfId="281" xr:uid="{00000000-0005-0000-0000-000034020000}"/>
    <cellStyle name="Style 209" xfId="282" xr:uid="{00000000-0005-0000-0000-000035020000}"/>
    <cellStyle name="Style 21" xfId="283" xr:uid="{00000000-0005-0000-0000-000036020000}"/>
    <cellStyle name="Style 210" xfId="284" xr:uid="{00000000-0005-0000-0000-000037020000}"/>
    <cellStyle name="Style 211" xfId="285" xr:uid="{00000000-0005-0000-0000-000038020000}"/>
    <cellStyle name="Style 212" xfId="286" xr:uid="{00000000-0005-0000-0000-000039020000}"/>
    <cellStyle name="Style 213" xfId="287" xr:uid="{00000000-0005-0000-0000-00003A020000}"/>
    <cellStyle name="Style 214" xfId="288" xr:uid="{00000000-0005-0000-0000-00003B020000}"/>
    <cellStyle name="Style 215" xfId="289" xr:uid="{00000000-0005-0000-0000-00003C020000}"/>
    <cellStyle name="Style 216" xfId="290" xr:uid="{00000000-0005-0000-0000-00003D020000}"/>
    <cellStyle name="Style 217" xfId="291" xr:uid="{00000000-0005-0000-0000-00003E020000}"/>
    <cellStyle name="Style 218" xfId="292" xr:uid="{00000000-0005-0000-0000-00003F020000}"/>
    <cellStyle name="Style 219" xfId="293" xr:uid="{00000000-0005-0000-0000-000040020000}"/>
    <cellStyle name="Style 22" xfId="294" xr:uid="{00000000-0005-0000-0000-000041020000}"/>
    <cellStyle name="Style 220" xfId="295" xr:uid="{00000000-0005-0000-0000-000042020000}"/>
    <cellStyle name="Style 221" xfId="296" xr:uid="{00000000-0005-0000-0000-000043020000}"/>
    <cellStyle name="Style 222" xfId="297" xr:uid="{00000000-0005-0000-0000-000044020000}"/>
    <cellStyle name="Style 223" xfId="298" xr:uid="{00000000-0005-0000-0000-000045020000}"/>
    <cellStyle name="Style 224" xfId="299" xr:uid="{00000000-0005-0000-0000-000046020000}"/>
    <cellStyle name="Style 225" xfId="300" xr:uid="{00000000-0005-0000-0000-000047020000}"/>
    <cellStyle name="Style 226" xfId="301" xr:uid="{00000000-0005-0000-0000-000048020000}"/>
    <cellStyle name="Style 227" xfId="302" xr:uid="{00000000-0005-0000-0000-000049020000}"/>
    <cellStyle name="Style 228" xfId="303" xr:uid="{00000000-0005-0000-0000-00004A020000}"/>
    <cellStyle name="Style 229" xfId="304" xr:uid="{00000000-0005-0000-0000-00004B020000}"/>
    <cellStyle name="Style 23" xfId="305" xr:uid="{00000000-0005-0000-0000-00004C020000}"/>
    <cellStyle name="Style 230" xfId="306" xr:uid="{00000000-0005-0000-0000-00004D020000}"/>
    <cellStyle name="Style 231" xfId="307" xr:uid="{00000000-0005-0000-0000-00004E020000}"/>
    <cellStyle name="Style 232" xfId="308" xr:uid="{00000000-0005-0000-0000-00004F020000}"/>
    <cellStyle name="Style 233" xfId="309" xr:uid="{00000000-0005-0000-0000-000050020000}"/>
    <cellStyle name="Style 234" xfId="310" xr:uid="{00000000-0005-0000-0000-000051020000}"/>
    <cellStyle name="Style 235" xfId="311" xr:uid="{00000000-0005-0000-0000-000052020000}"/>
    <cellStyle name="Style 236" xfId="312" xr:uid="{00000000-0005-0000-0000-000053020000}"/>
    <cellStyle name="Style 237" xfId="313" xr:uid="{00000000-0005-0000-0000-000054020000}"/>
    <cellStyle name="Style 238" xfId="314" xr:uid="{00000000-0005-0000-0000-000055020000}"/>
    <cellStyle name="Style 239" xfId="315" xr:uid="{00000000-0005-0000-0000-000056020000}"/>
    <cellStyle name="Style 24" xfId="316" xr:uid="{00000000-0005-0000-0000-000057020000}"/>
    <cellStyle name="Style 240" xfId="317" xr:uid="{00000000-0005-0000-0000-000058020000}"/>
    <cellStyle name="Style 241" xfId="318" xr:uid="{00000000-0005-0000-0000-000059020000}"/>
    <cellStyle name="Style 242" xfId="319" xr:uid="{00000000-0005-0000-0000-00005A020000}"/>
    <cellStyle name="Style 243" xfId="320" xr:uid="{00000000-0005-0000-0000-00005B020000}"/>
    <cellStyle name="Style 244" xfId="321" xr:uid="{00000000-0005-0000-0000-00005C020000}"/>
    <cellStyle name="Style 245" xfId="322" xr:uid="{00000000-0005-0000-0000-00005D020000}"/>
    <cellStyle name="Style 246" xfId="323" xr:uid="{00000000-0005-0000-0000-00005E020000}"/>
    <cellStyle name="Style 247" xfId="324" xr:uid="{00000000-0005-0000-0000-00005F020000}"/>
    <cellStyle name="Style 248" xfId="325" xr:uid="{00000000-0005-0000-0000-000060020000}"/>
    <cellStyle name="Style 249" xfId="326" xr:uid="{00000000-0005-0000-0000-000061020000}"/>
    <cellStyle name="Style 25" xfId="327" xr:uid="{00000000-0005-0000-0000-000062020000}"/>
    <cellStyle name="Style 250" xfId="328" xr:uid="{00000000-0005-0000-0000-000063020000}"/>
    <cellStyle name="Style 251" xfId="329" xr:uid="{00000000-0005-0000-0000-000064020000}"/>
    <cellStyle name="Style 252" xfId="330" xr:uid="{00000000-0005-0000-0000-000065020000}"/>
    <cellStyle name="Style 253" xfId="331" xr:uid="{00000000-0005-0000-0000-000066020000}"/>
    <cellStyle name="Style 254" xfId="332" xr:uid="{00000000-0005-0000-0000-000067020000}"/>
    <cellStyle name="Style 255" xfId="333" xr:uid="{00000000-0005-0000-0000-000068020000}"/>
    <cellStyle name="Style 26" xfId="334" xr:uid="{00000000-0005-0000-0000-000069020000}"/>
    <cellStyle name="Style 27" xfId="335" xr:uid="{00000000-0005-0000-0000-00006A020000}"/>
    <cellStyle name="Style 28" xfId="336" xr:uid="{00000000-0005-0000-0000-00006B020000}"/>
    <cellStyle name="Style 29" xfId="337" xr:uid="{00000000-0005-0000-0000-00006C020000}"/>
    <cellStyle name="Style 3" xfId="338" xr:uid="{00000000-0005-0000-0000-00006D020000}"/>
    <cellStyle name="Style 30" xfId="339" xr:uid="{00000000-0005-0000-0000-00006E020000}"/>
    <cellStyle name="Style 31" xfId="340" xr:uid="{00000000-0005-0000-0000-00006F020000}"/>
    <cellStyle name="Style 32" xfId="341" xr:uid="{00000000-0005-0000-0000-000070020000}"/>
    <cellStyle name="Style 33" xfId="342" xr:uid="{00000000-0005-0000-0000-000071020000}"/>
    <cellStyle name="Style 34" xfId="343" xr:uid="{00000000-0005-0000-0000-000072020000}"/>
    <cellStyle name="Style 35" xfId="344" xr:uid="{00000000-0005-0000-0000-000073020000}"/>
    <cellStyle name="Style 36" xfId="345" xr:uid="{00000000-0005-0000-0000-000074020000}"/>
    <cellStyle name="Style 37" xfId="346" xr:uid="{00000000-0005-0000-0000-000075020000}"/>
    <cellStyle name="Style 38" xfId="347" xr:uid="{00000000-0005-0000-0000-000076020000}"/>
    <cellStyle name="Style 39" xfId="348" xr:uid="{00000000-0005-0000-0000-000077020000}"/>
    <cellStyle name="Style 4" xfId="349" xr:uid="{00000000-0005-0000-0000-000078020000}"/>
    <cellStyle name="Style 40" xfId="350" xr:uid="{00000000-0005-0000-0000-000079020000}"/>
    <cellStyle name="Style 41" xfId="351" xr:uid="{00000000-0005-0000-0000-00007A020000}"/>
    <cellStyle name="Style 42" xfId="352" xr:uid="{00000000-0005-0000-0000-00007B020000}"/>
    <cellStyle name="Style 43" xfId="353" xr:uid="{00000000-0005-0000-0000-00007C020000}"/>
    <cellStyle name="Style 44" xfId="354" xr:uid="{00000000-0005-0000-0000-00007D020000}"/>
    <cellStyle name="Style 45" xfId="355" xr:uid="{00000000-0005-0000-0000-00007E020000}"/>
    <cellStyle name="Style 46" xfId="356" xr:uid="{00000000-0005-0000-0000-00007F020000}"/>
    <cellStyle name="Style 47" xfId="357" xr:uid="{00000000-0005-0000-0000-000080020000}"/>
    <cellStyle name="Style 48" xfId="358" xr:uid="{00000000-0005-0000-0000-000081020000}"/>
    <cellStyle name="Style 49" xfId="359" xr:uid="{00000000-0005-0000-0000-000082020000}"/>
    <cellStyle name="Style 5" xfId="360" xr:uid="{00000000-0005-0000-0000-000083020000}"/>
    <cellStyle name="Style 50" xfId="361" xr:uid="{00000000-0005-0000-0000-000084020000}"/>
    <cellStyle name="Style 51" xfId="362" xr:uid="{00000000-0005-0000-0000-000085020000}"/>
    <cellStyle name="Style 52" xfId="363" xr:uid="{00000000-0005-0000-0000-000086020000}"/>
    <cellStyle name="Style 53" xfId="364" xr:uid="{00000000-0005-0000-0000-000087020000}"/>
    <cellStyle name="Style 54" xfId="365" xr:uid="{00000000-0005-0000-0000-000088020000}"/>
    <cellStyle name="Style 55" xfId="366" xr:uid="{00000000-0005-0000-0000-000089020000}"/>
    <cellStyle name="Style 56" xfId="367" xr:uid="{00000000-0005-0000-0000-00008A020000}"/>
    <cellStyle name="Style 57" xfId="368" xr:uid="{00000000-0005-0000-0000-00008B020000}"/>
    <cellStyle name="Style 58" xfId="369" xr:uid="{00000000-0005-0000-0000-00008C020000}"/>
    <cellStyle name="Style 59" xfId="370" xr:uid="{00000000-0005-0000-0000-00008D020000}"/>
    <cellStyle name="Style 6" xfId="371" xr:uid="{00000000-0005-0000-0000-00008E020000}"/>
    <cellStyle name="Style 60" xfId="372" xr:uid="{00000000-0005-0000-0000-00008F020000}"/>
    <cellStyle name="Style 61" xfId="373" xr:uid="{00000000-0005-0000-0000-000090020000}"/>
    <cellStyle name="Style 62" xfId="374" xr:uid="{00000000-0005-0000-0000-000091020000}"/>
    <cellStyle name="Style 63" xfId="375" xr:uid="{00000000-0005-0000-0000-000092020000}"/>
    <cellStyle name="Style 64" xfId="376" xr:uid="{00000000-0005-0000-0000-000093020000}"/>
    <cellStyle name="Style 65" xfId="377" xr:uid="{00000000-0005-0000-0000-000094020000}"/>
    <cellStyle name="Style 66" xfId="378" xr:uid="{00000000-0005-0000-0000-000095020000}"/>
    <cellStyle name="Style 67" xfId="379" xr:uid="{00000000-0005-0000-0000-000096020000}"/>
    <cellStyle name="Style 68" xfId="380" xr:uid="{00000000-0005-0000-0000-000097020000}"/>
    <cellStyle name="Style 69" xfId="381" xr:uid="{00000000-0005-0000-0000-000098020000}"/>
    <cellStyle name="Style 7" xfId="382" xr:uid="{00000000-0005-0000-0000-000099020000}"/>
    <cellStyle name="Style 70" xfId="383" xr:uid="{00000000-0005-0000-0000-00009A020000}"/>
    <cellStyle name="Style 71" xfId="384" xr:uid="{00000000-0005-0000-0000-00009B020000}"/>
    <cellStyle name="Style 72" xfId="385" xr:uid="{00000000-0005-0000-0000-00009C020000}"/>
    <cellStyle name="Style 73" xfId="386" xr:uid="{00000000-0005-0000-0000-00009D020000}"/>
    <cellStyle name="Style 74" xfId="387" xr:uid="{00000000-0005-0000-0000-00009E020000}"/>
    <cellStyle name="Style 75" xfId="388" xr:uid="{00000000-0005-0000-0000-00009F020000}"/>
    <cellStyle name="Style 76" xfId="389" xr:uid="{00000000-0005-0000-0000-0000A0020000}"/>
    <cellStyle name="Style 77" xfId="390" xr:uid="{00000000-0005-0000-0000-0000A1020000}"/>
    <cellStyle name="Style 78" xfId="391" xr:uid="{00000000-0005-0000-0000-0000A2020000}"/>
    <cellStyle name="Style 79" xfId="392" xr:uid="{00000000-0005-0000-0000-0000A3020000}"/>
    <cellStyle name="Style 8" xfId="393" xr:uid="{00000000-0005-0000-0000-0000A4020000}"/>
    <cellStyle name="Style 80" xfId="394" xr:uid="{00000000-0005-0000-0000-0000A5020000}"/>
    <cellStyle name="Style 81" xfId="395" xr:uid="{00000000-0005-0000-0000-0000A6020000}"/>
    <cellStyle name="Style 82" xfId="396" xr:uid="{00000000-0005-0000-0000-0000A7020000}"/>
    <cellStyle name="Style 83" xfId="397" xr:uid="{00000000-0005-0000-0000-0000A8020000}"/>
    <cellStyle name="Style 84" xfId="398" xr:uid="{00000000-0005-0000-0000-0000A9020000}"/>
    <cellStyle name="Style 85" xfId="399" xr:uid="{00000000-0005-0000-0000-0000AA020000}"/>
    <cellStyle name="Style 86" xfId="400" xr:uid="{00000000-0005-0000-0000-0000AB020000}"/>
    <cellStyle name="Style 87" xfId="401" xr:uid="{00000000-0005-0000-0000-0000AC020000}"/>
    <cellStyle name="Style 88" xfId="402" xr:uid="{00000000-0005-0000-0000-0000AD020000}"/>
    <cellStyle name="Style 89" xfId="403" xr:uid="{00000000-0005-0000-0000-0000AE020000}"/>
    <cellStyle name="Style 9" xfId="404" xr:uid="{00000000-0005-0000-0000-0000AF020000}"/>
    <cellStyle name="Style 90" xfId="405" xr:uid="{00000000-0005-0000-0000-0000B0020000}"/>
    <cellStyle name="Style 91" xfId="406" xr:uid="{00000000-0005-0000-0000-0000B1020000}"/>
    <cellStyle name="Style 92" xfId="407" xr:uid="{00000000-0005-0000-0000-0000B2020000}"/>
    <cellStyle name="Style 93" xfId="408" xr:uid="{00000000-0005-0000-0000-0000B3020000}"/>
    <cellStyle name="Style 94" xfId="409" xr:uid="{00000000-0005-0000-0000-0000B4020000}"/>
    <cellStyle name="Style 95" xfId="410" xr:uid="{00000000-0005-0000-0000-0000B5020000}"/>
    <cellStyle name="Style 96" xfId="411" xr:uid="{00000000-0005-0000-0000-0000B6020000}"/>
    <cellStyle name="Style 97" xfId="412" xr:uid="{00000000-0005-0000-0000-0000B7020000}"/>
    <cellStyle name="Style 98" xfId="413" xr:uid="{00000000-0005-0000-0000-0000B8020000}"/>
    <cellStyle name="Style 99" xfId="414" xr:uid="{00000000-0005-0000-0000-0000B9020000}"/>
    <cellStyle name="Style D green" xfId="415" xr:uid="{00000000-0005-0000-0000-0000BA020000}"/>
    <cellStyle name="Style E" xfId="416" xr:uid="{00000000-0005-0000-0000-0000BB020000}"/>
    <cellStyle name="Style H" xfId="417" xr:uid="{00000000-0005-0000-0000-0000BC020000}"/>
    <cellStyle name="Sub total" xfId="418" xr:uid="{00000000-0005-0000-0000-0000BD020000}"/>
    <cellStyle name="Sum" xfId="702" xr:uid="{00000000-0005-0000-0000-0000BE020000}"/>
    <cellStyle name="Swiss" xfId="703" xr:uid="{00000000-0005-0000-0000-0000BF020000}"/>
    <cellStyle name="t" xfId="704" xr:uid="{00000000-0005-0000-0000-0000C0020000}"/>
    <cellStyle name="Table end" xfId="419" xr:uid="{00000000-0005-0000-0000-0000C1020000}"/>
    <cellStyle name="Table head" xfId="420" xr:uid="{00000000-0005-0000-0000-0000C2020000}"/>
    <cellStyle name="Table Heading" xfId="421" xr:uid="{00000000-0005-0000-0000-0000C3020000}"/>
    <cellStyle name="table text bold" xfId="422" xr:uid="{00000000-0005-0000-0000-0000C4020000}"/>
    <cellStyle name="table text bold green" xfId="423" xr:uid="{00000000-0005-0000-0000-0000C5020000}"/>
    <cellStyle name="table text bold_7267EM31March05" xfId="424" xr:uid="{00000000-0005-0000-0000-0000C6020000}"/>
    <cellStyle name="table text light" xfId="425" xr:uid="{00000000-0005-0000-0000-0000C7020000}"/>
    <cellStyle name="Table Title" xfId="705" xr:uid="{00000000-0005-0000-0000-0000C8020000}"/>
    <cellStyle name="Table Units" xfId="706" xr:uid="{00000000-0005-0000-0000-0000C9020000}"/>
    <cellStyle name="Time" xfId="707" xr:uid="{00000000-0005-0000-0000-0000CA020000}"/>
    <cellStyle name="Title - PROJECT" xfId="708" xr:uid="{00000000-0005-0000-0000-0000CB020000}"/>
    <cellStyle name="Title - Underline" xfId="709" xr:uid="{00000000-0005-0000-0000-0000CC020000}"/>
    <cellStyle name="Title1" xfId="710" xr:uid="{00000000-0005-0000-0000-0000CD020000}"/>
    <cellStyle name="Title2" xfId="426" xr:uid="{00000000-0005-0000-0000-0000CE020000}"/>
    <cellStyle name="TitleII" xfId="427" xr:uid="{00000000-0005-0000-0000-0000CF020000}"/>
    <cellStyle name="Titles - Col. Headings" xfId="711" xr:uid="{00000000-0005-0000-0000-0000D0020000}"/>
    <cellStyle name="Titles - Other" xfId="712" xr:uid="{00000000-0005-0000-0000-0000D1020000}"/>
    <cellStyle name="Top Row" xfId="428" xr:uid="{00000000-0005-0000-0000-0000D2020000}"/>
    <cellStyle name="underline 1 decimal" xfId="429" xr:uid="{00000000-0005-0000-0000-0000D3020000}"/>
    <cellStyle name="unit totals" xfId="430" xr:uid="{00000000-0005-0000-0000-0000D4020000}"/>
    <cellStyle name="Units" xfId="431" xr:uid="{00000000-0005-0000-0000-0000D5020000}"/>
    <cellStyle name="unm" xfId="713" xr:uid="{00000000-0005-0000-0000-0000D6020000}"/>
    <cellStyle name="WholeNumber" xfId="432" xr:uid="{00000000-0005-0000-0000-0000D7020000}"/>
    <cellStyle name="Year" xfId="433" xr:uid="{00000000-0005-0000-0000-0000D8020000}"/>
    <cellStyle name="Years" xfId="714" xr:uid="{00000000-0005-0000-0000-0000D9020000}"/>
    <cellStyle name="ゴシック" xfId="434" xr:uid="{00000000-0005-0000-0000-0000DA020000}"/>
    <cellStyle name="백분율" xfId="716" builtinId="5"/>
    <cellStyle name="쉼표" xfId="717" builtinId="3"/>
    <cellStyle name="쉼표 [0]" xfId="715" builtinId="6"/>
    <cellStyle name="一般_Realtek Model-wip-Rob" xfId="435" xr:uid="{00000000-0005-0000-0000-0000DB020000}"/>
    <cellStyle name="中ゴ" xfId="436" xr:uid="{00000000-0005-0000-0000-0000DC020000}"/>
    <cellStyle name="표준" xfId="0" builtinId="0"/>
    <cellStyle name="標準 2" xfId="722" xr:uid="{00000000-0005-0000-0000-0000DE020000}"/>
    <cellStyle name="標準_8058BS&amp;CFS" xfId="438" xr:uid="{00000000-0005-0000-0000-0000DF020000}"/>
    <cellStyle name="標準_GQ Industrial Contribution Sheet_format" xfId="439" xr:uid="{00000000-0005-0000-0000-0000E0020000}"/>
    <cellStyle name="桁区切り [0.00]_GQ Industrial Contribution Sheet_format" xfId="437" xr:uid="{00000000-0005-0000-0000-0000DD020000}"/>
  </cellStyles>
  <dxfs count="14"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E76AA"/>
      <rgbColor rgb="00CFD6E6"/>
      <rgbColor rgb="009EADCC"/>
      <rgbColor rgb="00EFF1F6"/>
      <rgbColor rgb="00BFC8DD"/>
      <rgbColor rgb="008E9FC4"/>
      <rgbColor rgb="00DFE4EE"/>
      <rgbColor rgb="00AEBAD5"/>
      <rgbColor rgb="00000000"/>
      <rgbColor rgb="00AAAAAA"/>
      <rgbColor rgb="00444444"/>
      <rgbColor rgb="00CCCCCC"/>
      <rgbColor rgb="00888888"/>
      <rgbColor rgb="00666666"/>
      <rgbColor rgb="00EEEEEE"/>
      <rgbColor rgb="00222222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FF"/>
      <color rgb="FFFFFFCC"/>
      <color rgb="FF99CCFF"/>
      <color rgb="FFFF9999"/>
      <color rgb="FFCCFFFF"/>
      <color rgb="FF1D02BE"/>
      <color rgb="FF0000FF"/>
      <color rgb="FF0005C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89370078740151E-2"/>
          <c:y val="0.15234926946574343"/>
          <c:w val="0.90757894520997373"/>
          <c:h val="0.756015887010293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Segments!$AL$20</c:f>
              <c:strCache>
                <c:ptCount val="1"/>
                <c:pt idx="0">
                  <c:v>  Seafood</c:v>
                </c:pt>
              </c:strCache>
            </c:strRef>
          </c:tx>
          <c:spPr>
            <a:solidFill>
              <a:schemeClr val="accent4">
                <a:lumMod val="2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Segments!$AM$20:$BK$20</c:f>
              <c:numCache>
                <c:formatCode>#,##0</c:formatCode>
                <c:ptCount val="6"/>
                <c:pt idx="0">
                  <c:v>28526</c:v>
                </c:pt>
                <c:pt idx="1">
                  <c:v>7556</c:v>
                </c:pt>
                <c:pt idx="2">
                  <c:v>7200</c:v>
                </c:pt>
                <c:pt idx="3">
                  <c:v>7556</c:v>
                </c:pt>
                <c:pt idx="4">
                  <c:v>7025</c:v>
                </c:pt>
                <c:pt idx="5">
                  <c:v>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3-4BD8-83E8-DBA0FFDB6299}"/>
            </c:ext>
          </c:extLst>
        </c:ser>
        <c:ser>
          <c:idx val="1"/>
          <c:order val="1"/>
          <c:tx>
            <c:strRef>
              <c:f>Segments!$AL$21</c:f>
              <c:strCache>
                <c:ptCount val="1"/>
                <c:pt idx="0">
                  <c:v>  Overseas Instant Noodle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Segments!$AM$21:$BK$21</c:f>
              <c:numCache>
                <c:formatCode>#,##0</c:formatCode>
                <c:ptCount val="6"/>
                <c:pt idx="0">
                  <c:v>178374</c:v>
                </c:pt>
                <c:pt idx="1">
                  <c:v>47468</c:v>
                </c:pt>
                <c:pt idx="2">
                  <c:v>58605</c:v>
                </c:pt>
                <c:pt idx="3">
                  <c:v>47863</c:v>
                </c:pt>
                <c:pt idx="4">
                  <c:v>58864</c:v>
                </c:pt>
                <c:pt idx="5">
                  <c:v>212800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3-4BD8-83E8-DBA0FFDB6299}"/>
            </c:ext>
          </c:extLst>
        </c:ser>
        <c:ser>
          <c:idx val="2"/>
          <c:order val="2"/>
          <c:tx>
            <c:strRef>
              <c:f>Segments!$AL$22</c:f>
              <c:strCache>
                <c:ptCount val="1"/>
                <c:pt idx="0">
                  <c:v>  Domestic Instant Noodle</c:v>
                </c:pt>
              </c:strCache>
            </c:strRef>
          </c:tx>
          <c:spPr>
            <a:solidFill>
              <a:schemeClr val="accent2">
                <a:lumMod val="90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Segments!$AM$22:$BK$22</c:f>
              <c:numCache>
                <c:formatCode>#,##0</c:formatCode>
                <c:ptCount val="6"/>
                <c:pt idx="0">
                  <c:v>97635</c:v>
                </c:pt>
                <c:pt idx="1">
                  <c:v>21989</c:v>
                </c:pt>
                <c:pt idx="2">
                  <c:v>21743</c:v>
                </c:pt>
                <c:pt idx="3">
                  <c:v>32538</c:v>
                </c:pt>
                <c:pt idx="4">
                  <c:v>24130</c:v>
                </c:pt>
                <c:pt idx="5">
                  <c:v>100400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D3-4BD8-83E8-DBA0FFDB6299}"/>
            </c:ext>
          </c:extLst>
        </c:ser>
        <c:ser>
          <c:idx val="3"/>
          <c:order val="3"/>
          <c:tx>
            <c:strRef>
              <c:f>Segments!$AL$23</c:f>
              <c:strCache>
                <c:ptCount val="1"/>
                <c:pt idx="0">
                  <c:v>    Packaged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Segments!$AM$23:$BL$23</c:f>
            </c:numRef>
          </c:val>
          <c:extLst>
            <c:ext xmlns:c16="http://schemas.microsoft.com/office/drawing/2014/chart" uri="{C3380CC4-5D6E-409C-BE32-E72D297353CC}">
              <c16:uniqueId val="{00000003-3AD3-4BD8-83E8-DBA0FFDB6299}"/>
            </c:ext>
          </c:extLst>
        </c:ser>
        <c:ser>
          <c:idx val="4"/>
          <c:order val="4"/>
          <c:tx>
            <c:strRef>
              <c:f>Segments!$AL$24</c:f>
              <c:strCache>
                <c:ptCount val="1"/>
                <c:pt idx="0">
                  <c:v>    Cup-style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Segments!$AM$24:$BL$24</c:f>
            </c:numRef>
          </c:val>
          <c:extLst>
            <c:ext xmlns:c16="http://schemas.microsoft.com/office/drawing/2014/chart" uri="{C3380CC4-5D6E-409C-BE32-E72D297353CC}">
              <c16:uniqueId val="{00000004-3AD3-4BD8-83E8-DBA0FFDB6299}"/>
            </c:ext>
          </c:extLst>
        </c:ser>
        <c:ser>
          <c:idx val="5"/>
          <c:order val="5"/>
          <c:tx>
            <c:strRef>
              <c:f>Segments!$AL$25</c:f>
              <c:strCache>
                <c:ptCount val="1"/>
                <c:pt idx="0">
                  <c:v>  Frozen and Refrigerated Foods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Segments!$AM$25:$BK$25</c:f>
              <c:numCache>
                <c:formatCode>#,##0</c:formatCode>
                <c:ptCount val="6"/>
                <c:pt idx="0">
                  <c:v>52837</c:v>
                </c:pt>
                <c:pt idx="1">
                  <c:v>14326</c:v>
                </c:pt>
                <c:pt idx="2">
                  <c:v>14939</c:v>
                </c:pt>
                <c:pt idx="3">
                  <c:v>13871</c:v>
                </c:pt>
                <c:pt idx="4">
                  <c:v>13164</c:v>
                </c:pt>
                <c:pt idx="5">
                  <c:v>56300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D3-4BD8-83E8-DBA0FFDB6299}"/>
            </c:ext>
          </c:extLst>
        </c:ser>
        <c:ser>
          <c:idx val="6"/>
          <c:order val="6"/>
          <c:tx>
            <c:strRef>
              <c:f>Segments!$AL$26</c:f>
              <c:strCache>
                <c:ptCount val="1"/>
                <c:pt idx="0">
                  <c:v>    Fresh Noodle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Segments!$AM$26:$BL$26</c:f>
            </c:numRef>
          </c:val>
          <c:extLst>
            <c:ext xmlns:c16="http://schemas.microsoft.com/office/drawing/2014/chart" uri="{C3380CC4-5D6E-409C-BE32-E72D297353CC}">
              <c16:uniqueId val="{00000006-3AD3-4BD8-83E8-DBA0FFDB6299}"/>
            </c:ext>
          </c:extLst>
        </c:ser>
        <c:ser>
          <c:idx val="7"/>
          <c:order val="7"/>
          <c:tx>
            <c:strRef>
              <c:f>Segments!$AL$27</c:f>
              <c:strCache>
                <c:ptCount val="1"/>
                <c:pt idx="0">
                  <c:v>    Frozen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Segments!$AM$27:$BL$27</c:f>
            </c:numRef>
          </c:val>
          <c:extLst>
            <c:ext xmlns:c16="http://schemas.microsoft.com/office/drawing/2014/chart" uri="{C3380CC4-5D6E-409C-BE32-E72D297353CC}">
              <c16:uniqueId val="{00000007-3AD3-4BD8-83E8-DBA0FFDB6299}"/>
            </c:ext>
          </c:extLst>
        </c:ser>
        <c:ser>
          <c:idx val="8"/>
          <c:order val="8"/>
          <c:tx>
            <c:strRef>
              <c:f>Segments!$AL$28</c:f>
              <c:strCache>
                <c:ptCount val="1"/>
                <c:pt idx="0">
                  <c:v>    Chilled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Segments!$AM$28:$BL$28</c:f>
            </c:numRef>
          </c:val>
          <c:extLst>
            <c:ext xmlns:c16="http://schemas.microsoft.com/office/drawing/2014/chart" uri="{C3380CC4-5D6E-409C-BE32-E72D297353CC}">
              <c16:uniqueId val="{00000008-3AD3-4BD8-83E8-DBA0FFDB6299}"/>
            </c:ext>
          </c:extLst>
        </c:ser>
        <c:ser>
          <c:idx val="9"/>
          <c:order val="9"/>
          <c:tx>
            <c:strRef>
              <c:f>Segments!$AL$29</c:f>
              <c:strCache>
                <c:ptCount val="1"/>
                <c:pt idx="0">
                  <c:v>  Processed Foods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Segments!$AM$29:$BK$29</c:f>
              <c:numCache>
                <c:formatCode>#,##0</c:formatCode>
                <c:ptCount val="6"/>
                <c:pt idx="0">
                  <c:v>20328</c:v>
                </c:pt>
                <c:pt idx="1">
                  <c:v>4492</c:v>
                </c:pt>
                <c:pt idx="2">
                  <c:v>4712</c:v>
                </c:pt>
                <c:pt idx="3">
                  <c:v>5685</c:v>
                </c:pt>
                <c:pt idx="4">
                  <c:v>5211</c:v>
                </c:pt>
                <c:pt idx="5">
                  <c:v>20100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D3-4BD8-83E8-DBA0FFDB6299}"/>
            </c:ext>
          </c:extLst>
        </c:ser>
        <c:ser>
          <c:idx val="10"/>
          <c:order val="10"/>
          <c:tx>
            <c:strRef>
              <c:f>Segments!$AL$30</c:f>
              <c:strCache>
                <c:ptCount val="1"/>
                <c:pt idx="0">
                  <c:v>    Fish-based hams and sausages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Segments!$AM$30:$BL$30</c:f>
            </c:numRef>
          </c:val>
          <c:extLst>
            <c:ext xmlns:c16="http://schemas.microsoft.com/office/drawing/2014/chart" uri="{C3380CC4-5D6E-409C-BE32-E72D297353CC}">
              <c16:uniqueId val="{0000000A-3AD3-4BD8-83E8-DBA0FFDB6299}"/>
            </c:ext>
          </c:extLst>
        </c:ser>
        <c:ser>
          <c:idx val="11"/>
          <c:order val="11"/>
          <c:tx>
            <c:strRef>
              <c:f>Segments!$AL$31</c:f>
              <c:strCache>
                <c:ptCount val="1"/>
                <c:pt idx="0">
                  <c:v>    Soup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Segments!$AM$31:$BL$31</c:f>
            </c:numRef>
          </c:val>
          <c:extLst>
            <c:ext xmlns:c16="http://schemas.microsoft.com/office/drawing/2014/chart" uri="{C3380CC4-5D6E-409C-BE32-E72D297353CC}">
              <c16:uniqueId val="{0000000B-3AD3-4BD8-83E8-DBA0FFDB6299}"/>
            </c:ext>
          </c:extLst>
        </c:ser>
        <c:ser>
          <c:idx val="12"/>
          <c:order val="12"/>
          <c:tx>
            <c:strRef>
              <c:f>Segments!$AL$32</c:f>
              <c:strCache>
                <c:ptCount val="1"/>
                <c:pt idx="0">
                  <c:v>    Seasonings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Segments!$AM$32:$BL$32</c:f>
            </c:numRef>
          </c:val>
          <c:extLst>
            <c:ext xmlns:c16="http://schemas.microsoft.com/office/drawing/2014/chart" uri="{C3380CC4-5D6E-409C-BE32-E72D297353CC}">
              <c16:uniqueId val="{0000000C-3AD3-4BD8-83E8-DBA0FFDB6299}"/>
            </c:ext>
          </c:extLst>
        </c:ser>
        <c:ser>
          <c:idx val="13"/>
          <c:order val="13"/>
          <c:tx>
            <c:strRef>
              <c:f>Segments!$AL$33</c:f>
              <c:strCache>
                <c:ptCount val="1"/>
                <c:pt idx="0">
                  <c:v>    Rice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Segments!$AM$33:$BL$33</c:f>
            </c:numRef>
          </c:val>
          <c:extLst>
            <c:ext xmlns:c16="http://schemas.microsoft.com/office/drawing/2014/chart" uri="{C3380CC4-5D6E-409C-BE32-E72D297353CC}">
              <c16:uniqueId val="{0000000D-3AD3-4BD8-83E8-DBA0FFDB6299}"/>
            </c:ext>
          </c:extLst>
        </c:ser>
        <c:ser>
          <c:idx val="14"/>
          <c:order val="14"/>
          <c:tx>
            <c:strRef>
              <c:f>Segments!$AL$34</c:f>
              <c:strCache>
                <c:ptCount val="1"/>
                <c:pt idx="0">
                  <c:v>  Cold-Storage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Segments!$AM$34:$BK$34</c:f>
              <c:numCache>
                <c:formatCode>#,##0</c:formatCode>
                <c:ptCount val="6"/>
                <c:pt idx="0">
                  <c:v>22888</c:v>
                </c:pt>
                <c:pt idx="1">
                  <c:v>5963</c:v>
                </c:pt>
                <c:pt idx="2">
                  <c:v>6159</c:v>
                </c:pt>
                <c:pt idx="3">
                  <c:v>6232</c:v>
                </c:pt>
                <c:pt idx="4">
                  <c:v>5546</c:v>
                </c:pt>
                <c:pt idx="5">
                  <c:v>23900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3-4BD8-83E8-DBA0FFDB6299}"/>
            </c:ext>
          </c:extLst>
        </c:ser>
        <c:ser>
          <c:idx val="15"/>
          <c:order val="15"/>
          <c:tx>
            <c:strRef>
              <c:f>Segments!$AL$35</c:f>
              <c:strCache>
                <c:ptCount val="1"/>
                <c:pt idx="0">
                  <c:v>  Others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Segments!$AM$35:$BK$35</c:f>
              <c:numCache>
                <c:formatCode>#,##0</c:formatCode>
                <c:ptCount val="6"/>
                <c:pt idx="0">
                  <c:v>35196</c:v>
                </c:pt>
                <c:pt idx="1">
                  <c:v>9384</c:v>
                </c:pt>
                <c:pt idx="2">
                  <c:v>10074</c:v>
                </c:pt>
                <c:pt idx="3">
                  <c:v>9378</c:v>
                </c:pt>
                <c:pt idx="4">
                  <c:v>8164</c:v>
                </c:pt>
                <c:pt idx="5">
                  <c:v>37000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3-4BD8-83E8-DBA0FFDB6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781312"/>
        <c:axId val="658782848"/>
      </c:barChart>
      <c:catAx>
        <c:axId val="65878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1.343324660031728E-2"/>
              <c:y val="6.2604692572888976E-2"/>
            </c:manualLayout>
          </c:layout>
          <c:overlay val="0"/>
        </c:title>
        <c:numFmt formatCode="g/\!\!\!\!\!\!\!\標\!\!\!\!\!\!\!\準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2848"/>
        <c:crosses val="autoZero"/>
        <c:auto val="1"/>
        <c:lblAlgn val="ctr"/>
        <c:lblOffset val="100"/>
        <c:noMultiLvlLbl val="0"/>
      </c:catAx>
      <c:valAx>
        <c:axId val="6587828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1312"/>
        <c:crosses val="autoZero"/>
        <c:crossBetween val="between"/>
        <c:dispUnits>
          <c:builtInUnit val="thousands"/>
        </c:dispUnits>
      </c:valAx>
      <c:spPr>
        <a:ln>
          <a:noFill/>
        </a:ln>
      </c:spPr>
    </c:plotArea>
    <c:legend>
      <c:legendPos val="t"/>
      <c:layout>
        <c:manualLayout>
          <c:xMode val="edge"/>
          <c:yMode val="edge"/>
          <c:x val="0.11811228674540683"/>
          <c:y val="1.6189744574611101E-2"/>
          <c:w val="0.80263923064304465"/>
          <c:h val="0.18519651885619562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89370078740151E-2"/>
          <c:y val="0.15234926946574343"/>
          <c:w val="0.90757894520997373"/>
          <c:h val="0.756015887010293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Segments!$AL$37</c:f>
              <c:strCache>
                <c:ptCount val="1"/>
                <c:pt idx="0">
                  <c:v>  Seafood</c:v>
                </c:pt>
              </c:strCache>
            </c:strRef>
          </c:tx>
          <c:spPr>
            <a:solidFill>
              <a:schemeClr val="accent4">
                <a:lumMod val="2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Segments!$AM$37:$BK$37</c:f>
              <c:numCache>
                <c:formatCode>#,##0</c:formatCode>
                <c:ptCount val="6"/>
                <c:pt idx="0">
                  <c:v>46</c:v>
                </c:pt>
                <c:pt idx="1">
                  <c:v>133</c:v>
                </c:pt>
                <c:pt idx="2">
                  <c:v>32</c:v>
                </c:pt>
                <c:pt idx="3">
                  <c:v>67</c:v>
                </c:pt>
                <c:pt idx="4">
                  <c:v>68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D-4B00-8A3E-004813E0CEF8}"/>
            </c:ext>
          </c:extLst>
        </c:ser>
        <c:ser>
          <c:idx val="1"/>
          <c:order val="1"/>
          <c:tx>
            <c:strRef>
              <c:f>Segments!$AL$38</c:f>
              <c:strCache>
                <c:ptCount val="1"/>
                <c:pt idx="0">
                  <c:v>  Overseas Instant Noodle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Segments!$AM$38:$BK$38</c:f>
              <c:numCache>
                <c:formatCode>#,##0</c:formatCode>
                <c:ptCount val="6"/>
                <c:pt idx="0">
                  <c:v>26113</c:v>
                </c:pt>
                <c:pt idx="1">
                  <c:v>9195</c:v>
                </c:pt>
                <c:pt idx="2">
                  <c:v>12015</c:v>
                </c:pt>
                <c:pt idx="3">
                  <c:v>10181</c:v>
                </c:pt>
                <c:pt idx="4">
                  <c:v>8709</c:v>
                </c:pt>
                <c:pt idx="5">
                  <c:v>40100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D-4B00-8A3E-004813E0CEF8}"/>
            </c:ext>
          </c:extLst>
        </c:ser>
        <c:ser>
          <c:idx val="2"/>
          <c:order val="2"/>
          <c:tx>
            <c:strRef>
              <c:f>Segments!$AL$39</c:f>
              <c:strCache>
                <c:ptCount val="1"/>
                <c:pt idx="0">
                  <c:v>  Domestic Instant Noodle</c:v>
                </c:pt>
              </c:strCache>
            </c:strRef>
          </c:tx>
          <c:spPr>
            <a:solidFill>
              <a:schemeClr val="accent2">
                <a:lumMod val="90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Segments!$AM$39:$BK$39</c:f>
              <c:numCache>
                <c:formatCode>#,##0</c:formatCode>
                <c:ptCount val="6"/>
                <c:pt idx="0">
                  <c:v>6708</c:v>
                </c:pt>
                <c:pt idx="1">
                  <c:v>1086</c:v>
                </c:pt>
                <c:pt idx="2">
                  <c:v>1739</c:v>
                </c:pt>
                <c:pt idx="3">
                  <c:v>5120</c:v>
                </c:pt>
                <c:pt idx="4">
                  <c:v>1455</c:v>
                </c:pt>
                <c:pt idx="5">
                  <c:v>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D-4B00-8A3E-004813E0CEF8}"/>
            </c:ext>
          </c:extLst>
        </c:ser>
        <c:ser>
          <c:idx val="3"/>
          <c:order val="3"/>
          <c:tx>
            <c:strRef>
              <c:f>Segments!$AL$23</c:f>
              <c:strCache>
                <c:ptCount val="1"/>
                <c:pt idx="0">
                  <c:v>    Packaged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Segments!$AM$23:$BL$23</c:f>
            </c:numRef>
          </c:val>
          <c:extLst>
            <c:ext xmlns:c16="http://schemas.microsoft.com/office/drawing/2014/chart" uri="{C3380CC4-5D6E-409C-BE32-E72D297353CC}">
              <c16:uniqueId val="{00000003-17FD-4B00-8A3E-004813E0CEF8}"/>
            </c:ext>
          </c:extLst>
        </c:ser>
        <c:ser>
          <c:idx val="4"/>
          <c:order val="4"/>
          <c:tx>
            <c:strRef>
              <c:f>Segments!$AL$24</c:f>
              <c:strCache>
                <c:ptCount val="1"/>
                <c:pt idx="0">
                  <c:v>    Cup-style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Segments!$AM$24:$BL$24</c:f>
            </c:numRef>
          </c:val>
          <c:extLst>
            <c:ext xmlns:c16="http://schemas.microsoft.com/office/drawing/2014/chart" uri="{C3380CC4-5D6E-409C-BE32-E72D297353CC}">
              <c16:uniqueId val="{00000004-17FD-4B00-8A3E-004813E0CEF8}"/>
            </c:ext>
          </c:extLst>
        </c:ser>
        <c:ser>
          <c:idx val="5"/>
          <c:order val="5"/>
          <c:tx>
            <c:strRef>
              <c:f>Segments!$AL$40</c:f>
              <c:strCache>
                <c:ptCount val="1"/>
                <c:pt idx="0">
                  <c:v>  Frozen and Refrigerated Foods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Segments!$AM$40:$BK$40</c:f>
              <c:numCache>
                <c:formatCode>#,##0</c:formatCode>
                <c:ptCount val="6"/>
                <c:pt idx="0">
                  <c:v>5060</c:v>
                </c:pt>
                <c:pt idx="1">
                  <c:v>1959</c:v>
                </c:pt>
                <c:pt idx="2">
                  <c:v>1914</c:v>
                </c:pt>
                <c:pt idx="3">
                  <c:v>1726</c:v>
                </c:pt>
                <c:pt idx="4">
                  <c:v>1501</c:v>
                </c:pt>
                <c:pt idx="5">
                  <c:v>7100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FD-4B00-8A3E-004813E0CEF8}"/>
            </c:ext>
          </c:extLst>
        </c:ser>
        <c:ser>
          <c:idx val="6"/>
          <c:order val="6"/>
          <c:tx>
            <c:strRef>
              <c:f>Segments!$AL$26</c:f>
              <c:strCache>
                <c:ptCount val="1"/>
                <c:pt idx="0">
                  <c:v>    Fresh Noodle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Segments!$AM$26:$BL$26</c:f>
            </c:numRef>
          </c:val>
          <c:extLst>
            <c:ext xmlns:c16="http://schemas.microsoft.com/office/drawing/2014/chart" uri="{C3380CC4-5D6E-409C-BE32-E72D297353CC}">
              <c16:uniqueId val="{00000006-17FD-4B00-8A3E-004813E0CEF8}"/>
            </c:ext>
          </c:extLst>
        </c:ser>
        <c:ser>
          <c:idx val="7"/>
          <c:order val="7"/>
          <c:tx>
            <c:strRef>
              <c:f>Segments!$AL$27</c:f>
              <c:strCache>
                <c:ptCount val="1"/>
                <c:pt idx="0">
                  <c:v>    Frozen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Segments!$AM$27:$BL$27</c:f>
            </c:numRef>
          </c:val>
          <c:extLst>
            <c:ext xmlns:c16="http://schemas.microsoft.com/office/drawing/2014/chart" uri="{C3380CC4-5D6E-409C-BE32-E72D297353CC}">
              <c16:uniqueId val="{00000007-17FD-4B00-8A3E-004813E0CEF8}"/>
            </c:ext>
          </c:extLst>
        </c:ser>
        <c:ser>
          <c:idx val="8"/>
          <c:order val="8"/>
          <c:tx>
            <c:strRef>
              <c:f>Segments!$AL$28</c:f>
              <c:strCache>
                <c:ptCount val="1"/>
                <c:pt idx="0">
                  <c:v>    Chilled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Segments!$AM$28:$BL$28</c:f>
            </c:numRef>
          </c:val>
          <c:extLst>
            <c:ext xmlns:c16="http://schemas.microsoft.com/office/drawing/2014/chart" uri="{C3380CC4-5D6E-409C-BE32-E72D297353CC}">
              <c16:uniqueId val="{00000008-17FD-4B00-8A3E-004813E0CEF8}"/>
            </c:ext>
          </c:extLst>
        </c:ser>
        <c:ser>
          <c:idx val="9"/>
          <c:order val="9"/>
          <c:tx>
            <c:strRef>
              <c:f>Segments!$AL$41</c:f>
              <c:strCache>
                <c:ptCount val="1"/>
                <c:pt idx="0">
                  <c:v>  Processed Foods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Segments!$AM$41:$BK$41</c:f>
              <c:numCache>
                <c:formatCode>#,##0</c:formatCode>
                <c:ptCount val="6"/>
                <c:pt idx="0">
                  <c:v>124</c:v>
                </c:pt>
                <c:pt idx="1">
                  <c:v>-21</c:v>
                </c:pt>
                <c:pt idx="2">
                  <c:v>173</c:v>
                </c:pt>
                <c:pt idx="3">
                  <c:v>425</c:v>
                </c:pt>
                <c:pt idx="4">
                  <c:v>-77</c:v>
                </c:pt>
                <c:pt idx="5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FD-4B00-8A3E-004813E0CEF8}"/>
            </c:ext>
          </c:extLst>
        </c:ser>
        <c:ser>
          <c:idx val="10"/>
          <c:order val="10"/>
          <c:tx>
            <c:strRef>
              <c:f>Segments!$AL$30</c:f>
              <c:strCache>
                <c:ptCount val="1"/>
                <c:pt idx="0">
                  <c:v>    Fish-based hams and sausages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Segments!$AM$30:$BL$30</c:f>
            </c:numRef>
          </c:val>
          <c:extLst>
            <c:ext xmlns:c16="http://schemas.microsoft.com/office/drawing/2014/chart" uri="{C3380CC4-5D6E-409C-BE32-E72D297353CC}">
              <c16:uniqueId val="{0000000A-17FD-4B00-8A3E-004813E0CEF8}"/>
            </c:ext>
          </c:extLst>
        </c:ser>
        <c:ser>
          <c:idx val="11"/>
          <c:order val="11"/>
          <c:tx>
            <c:strRef>
              <c:f>Segments!$AL$31</c:f>
              <c:strCache>
                <c:ptCount val="1"/>
                <c:pt idx="0">
                  <c:v>    Soup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Segments!$AM$31:$BL$31</c:f>
            </c:numRef>
          </c:val>
          <c:extLst>
            <c:ext xmlns:c16="http://schemas.microsoft.com/office/drawing/2014/chart" uri="{C3380CC4-5D6E-409C-BE32-E72D297353CC}">
              <c16:uniqueId val="{0000000B-17FD-4B00-8A3E-004813E0CEF8}"/>
            </c:ext>
          </c:extLst>
        </c:ser>
        <c:ser>
          <c:idx val="12"/>
          <c:order val="12"/>
          <c:tx>
            <c:strRef>
              <c:f>Segments!$AL$32</c:f>
              <c:strCache>
                <c:ptCount val="1"/>
                <c:pt idx="0">
                  <c:v>    Seasonings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Segments!$AM$32:$BL$32</c:f>
            </c:numRef>
          </c:val>
          <c:extLst>
            <c:ext xmlns:c16="http://schemas.microsoft.com/office/drawing/2014/chart" uri="{C3380CC4-5D6E-409C-BE32-E72D297353CC}">
              <c16:uniqueId val="{0000000C-17FD-4B00-8A3E-004813E0CEF8}"/>
            </c:ext>
          </c:extLst>
        </c:ser>
        <c:ser>
          <c:idx val="13"/>
          <c:order val="13"/>
          <c:tx>
            <c:strRef>
              <c:f>Segments!$AL$33</c:f>
              <c:strCache>
                <c:ptCount val="1"/>
                <c:pt idx="0">
                  <c:v>    Rice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Segments!$AM$33:$BL$33</c:f>
            </c:numRef>
          </c:val>
          <c:extLst>
            <c:ext xmlns:c16="http://schemas.microsoft.com/office/drawing/2014/chart" uri="{C3380CC4-5D6E-409C-BE32-E72D297353CC}">
              <c16:uniqueId val="{0000000D-17FD-4B00-8A3E-004813E0CEF8}"/>
            </c:ext>
          </c:extLst>
        </c:ser>
        <c:ser>
          <c:idx val="14"/>
          <c:order val="14"/>
          <c:tx>
            <c:strRef>
              <c:f>Segments!$AL$42</c:f>
              <c:strCache>
                <c:ptCount val="1"/>
                <c:pt idx="0">
                  <c:v>  Cold-Storage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Segments!$AM$42:$BK$42</c:f>
              <c:numCache>
                <c:formatCode>#,##0</c:formatCode>
                <c:ptCount val="6"/>
                <c:pt idx="0">
                  <c:v>1851</c:v>
                </c:pt>
                <c:pt idx="1">
                  <c:v>648</c:v>
                </c:pt>
                <c:pt idx="2">
                  <c:v>622</c:v>
                </c:pt>
                <c:pt idx="3">
                  <c:v>681</c:v>
                </c:pt>
                <c:pt idx="4">
                  <c:v>149</c:v>
                </c:pt>
                <c:pt idx="5">
                  <c:v>2100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7FD-4B00-8A3E-004813E0CEF8}"/>
            </c:ext>
          </c:extLst>
        </c:ser>
        <c:ser>
          <c:idx val="15"/>
          <c:order val="15"/>
          <c:tx>
            <c:strRef>
              <c:f>Segments!$AL$43</c:f>
              <c:strCache>
                <c:ptCount val="1"/>
                <c:pt idx="0">
                  <c:v>  Elimination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Segments!$AM$43:$BK$43</c:f>
              <c:numCache>
                <c:formatCode>#,##0</c:formatCode>
                <c:ptCount val="6"/>
                <c:pt idx="0">
                  <c:v>427</c:v>
                </c:pt>
                <c:pt idx="1">
                  <c:v>187</c:v>
                </c:pt>
                <c:pt idx="2">
                  <c:v>139</c:v>
                </c:pt>
                <c:pt idx="3">
                  <c:v>-14</c:v>
                </c:pt>
                <c:pt idx="4">
                  <c:v>-312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7FD-4B00-8A3E-004813E0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781312"/>
        <c:axId val="658782848"/>
      </c:barChart>
      <c:catAx>
        <c:axId val="65878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1.343324660031728E-2"/>
              <c:y val="6.2604692572888976E-2"/>
            </c:manualLayout>
          </c:layout>
          <c:overlay val="0"/>
        </c:title>
        <c:numFmt formatCode="g/\!\!\!\!\!\!\!\標\!\!\!\!\!\!\!\準" sourceLinked="0"/>
        <c:majorTickMark val="out"/>
        <c:minorTickMark val="none"/>
        <c:tickLblPos val="low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2848"/>
        <c:crosses val="autoZero"/>
        <c:auto val="1"/>
        <c:lblAlgn val="ctr"/>
        <c:lblOffset val="100"/>
        <c:noMultiLvlLbl val="0"/>
      </c:catAx>
      <c:valAx>
        <c:axId val="6587828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1312"/>
        <c:crosses val="autoZero"/>
        <c:crossBetween val="between"/>
        <c:dispUnits>
          <c:builtInUnit val="thousands"/>
        </c:dispUnits>
      </c:valAx>
      <c:spPr>
        <a:ln>
          <a:noFill/>
        </a:ln>
      </c:spPr>
    </c:plotArea>
    <c:legend>
      <c:legendPos val="t"/>
      <c:layout>
        <c:manualLayout>
          <c:xMode val="edge"/>
          <c:yMode val="edge"/>
          <c:x val="0.12852895341207349"/>
          <c:y val="7.7689128637925785E-3"/>
          <c:w val="0.80003506397637791"/>
          <c:h val="0.18940704517198509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515626480834701E-2"/>
          <c:y val="0.21385079134439558"/>
          <c:w val="0.89077593299832003"/>
          <c:h val="0.70570678801015219"/>
        </c:manualLayout>
      </c:layout>
      <c:lineChart>
        <c:grouping val="standard"/>
        <c:varyColors val="0"/>
        <c:ser>
          <c:idx val="0"/>
          <c:order val="0"/>
          <c:tx>
            <c:strRef>
              <c:f>Segments!$AL$45</c:f>
              <c:strCache>
                <c:ptCount val="1"/>
                <c:pt idx="0">
                  <c:v>  Seafood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Segments!$AM$45:$BK$45</c:f>
              <c:numCache>
                <c:formatCode>0.0%</c:formatCode>
                <c:ptCount val="6"/>
                <c:pt idx="0">
                  <c:v>1.6125639767229896E-3</c:v>
                </c:pt>
                <c:pt idx="1">
                  <c:v>1.760190577024881E-2</c:v>
                </c:pt>
                <c:pt idx="2">
                  <c:v>4.4444444444444444E-3</c:v>
                </c:pt>
                <c:pt idx="3">
                  <c:v>8.8671254632080466E-3</c:v>
                </c:pt>
                <c:pt idx="4">
                  <c:v>9.6797153024911035E-3</c:v>
                </c:pt>
                <c:pt idx="5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D-4B19-BBCA-0B3DF175347D}"/>
            </c:ext>
          </c:extLst>
        </c:ser>
        <c:ser>
          <c:idx val="1"/>
          <c:order val="1"/>
          <c:tx>
            <c:strRef>
              <c:f>Segments!$AL$46</c:f>
              <c:strCache>
                <c:ptCount val="1"/>
                <c:pt idx="0">
                  <c:v>  Overseas Instant Noodle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Segments!$AM$46:$BK$46</c:f>
              <c:numCache>
                <c:formatCode>0.0%</c:formatCode>
                <c:ptCount val="6"/>
                <c:pt idx="0">
                  <c:v>0.14639465392938433</c:v>
                </c:pt>
                <c:pt idx="1">
                  <c:v>0.19370944636386619</c:v>
                </c:pt>
                <c:pt idx="2">
                  <c:v>0.20501663680573329</c:v>
                </c:pt>
                <c:pt idx="3">
                  <c:v>0.21271128011198628</c:v>
                </c:pt>
                <c:pt idx="4">
                  <c:v>0.14795120956781735</c:v>
                </c:pt>
                <c:pt idx="5">
                  <c:v>0.18843984962406016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D-4B19-BBCA-0B3DF175347D}"/>
            </c:ext>
          </c:extLst>
        </c:ser>
        <c:ser>
          <c:idx val="2"/>
          <c:order val="2"/>
          <c:tx>
            <c:strRef>
              <c:f>Segments!$AL$47</c:f>
              <c:strCache>
                <c:ptCount val="1"/>
                <c:pt idx="0">
                  <c:v>  Domestic Instant Noodle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Segments!$AM$47:$BK$47</c:f>
              <c:numCache>
                <c:formatCode>0.0%</c:formatCode>
                <c:ptCount val="6"/>
                <c:pt idx="0">
                  <c:v>6.8704870179751118E-2</c:v>
                </c:pt>
                <c:pt idx="1">
                  <c:v>4.9388330528900813E-2</c:v>
                </c:pt>
                <c:pt idx="2">
                  <c:v>7.9979763602078827E-2</c:v>
                </c:pt>
                <c:pt idx="3">
                  <c:v>0.15735447784129325</c:v>
                </c:pt>
                <c:pt idx="4">
                  <c:v>6.0298383754662246E-2</c:v>
                </c:pt>
                <c:pt idx="5">
                  <c:v>9.3625498007968128E-2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D-4B19-BBCA-0B3DF175347D}"/>
            </c:ext>
          </c:extLst>
        </c:ser>
        <c:ser>
          <c:idx val="3"/>
          <c:order val="3"/>
          <c:tx>
            <c:strRef>
              <c:f>Segments!$AL$48</c:f>
              <c:strCache>
                <c:ptCount val="1"/>
                <c:pt idx="0">
                  <c:v>  Frozen and Refrigerated Foods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Segments!$AM$48:$BK$48</c:f>
              <c:numCache>
                <c:formatCode>0.0%</c:formatCode>
                <c:ptCount val="6"/>
                <c:pt idx="0">
                  <c:v>9.5766224426065069E-2</c:v>
                </c:pt>
                <c:pt idx="1">
                  <c:v>0.13674438084601423</c:v>
                </c:pt>
                <c:pt idx="2">
                  <c:v>0.1281210255037151</c:v>
                </c:pt>
                <c:pt idx="3">
                  <c:v>0.12443226876216566</c:v>
                </c:pt>
                <c:pt idx="4">
                  <c:v>0.1140230932847159</c:v>
                </c:pt>
                <c:pt idx="5">
                  <c:v>0.12611012433392541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DD-4B19-BBCA-0B3DF175347D}"/>
            </c:ext>
          </c:extLst>
        </c:ser>
        <c:ser>
          <c:idx val="4"/>
          <c:order val="4"/>
          <c:tx>
            <c:strRef>
              <c:f>Segments!$AL$49</c:f>
              <c:strCache>
                <c:ptCount val="1"/>
                <c:pt idx="0">
                  <c:v>  Processed Foods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Segments!$AM$49:$BK$49</c:f>
              <c:numCache>
                <c:formatCode>0.0%</c:formatCode>
                <c:ptCount val="6"/>
                <c:pt idx="0">
                  <c:v>6.0999606454151907E-3</c:v>
                </c:pt>
                <c:pt idx="1">
                  <c:v>-4.674977738201247E-3</c:v>
                </c:pt>
                <c:pt idx="2">
                  <c:v>3.6714770797962648E-2</c:v>
                </c:pt>
                <c:pt idx="3">
                  <c:v>7.4758135444151275E-2</c:v>
                </c:pt>
                <c:pt idx="4">
                  <c:v>-1.4776434465553637E-2</c:v>
                </c:pt>
                <c:pt idx="5">
                  <c:v>2.4875621890547265E-2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DD-4B19-BBCA-0B3DF175347D}"/>
            </c:ext>
          </c:extLst>
        </c:ser>
        <c:ser>
          <c:idx val="5"/>
          <c:order val="5"/>
          <c:tx>
            <c:strRef>
              <c:f>Segments!$AL$50</c:f>
              <c:strCache>
                <c:ptCount val="1"/>
                <c:pt idx="0">
                  <c:v>  Cold-Storage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Segments!$AM$50:$BK$50</c:f>
              <c:numCache>
                <c:formatCode>0.0%</c:formatCode>
                <c:ptCount val="6"/>
                <c:pt idx="0">
                  <c:v>8.0872072701852496E-2</c:v>
                </c:pt>
                <c:pt idx="1">
                  <c:v>0.10867013248364917</c:v>
                </c:pt>
                <c:pt idx="2">
                  <c:v>0.10099042052281214</c:v>
                </c:pt>
                <c:pt idx="3">
                  <c:v>0.10927471116816431</c:v>
                </c:pt>
                <c:pt idx="4">
                  <c:v>2.6866209880995313E-2</c:v>
                </c:pt>
                <c:pt idx="5">
                  <c:v>8.7866108786610872E-2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DD-4B19-BBCA-0B3DF175347D}"/>
            </c:ext>
          </c:extLst>
        </c:ser>
        <c:ser>
          <c:idx val="6"/>
          <c:order val="6"/>
          <c:tx>
            <c:strRef>
              <c:f>Segments!$AL$51</c:f>
              <c:strCache>
                <c:ptCount val="1"/>
                <c:pt idx="0">
                  <c:v>  Total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Segments!$AM$51:$BK$51</c:f>
              <c:numCache>
                <c:formatCode>0.0%</c:formatCode>
                <c:ptCount val="6"/>
                <c:pt idx="0">
                  <c:v>9.2545423671251487E-2</c:v>
                </c:pt>
                <c:pt idx="1">
                  <c:v>0.11863537834701972</c:v>
                </c:pt>
                <c:pt idx="2">
                  <c:v>0.13446071021510156</c:v>
                </c:pt>
                <c:pt idx="3">
                  <c:v>0.14725242694864341</c:v>
                </c:pt>
                <c:pt idx="4">
                  <c:v>9.4094233462461402E-2</c:v>
                </c:pt>
                <c:pt idx="5">
                  <c:v>0.12382934443288242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DD-4B19-BBCA-0B3DF1753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814736"/>
        <c:axId val="1493812240"/>
      </c:lineChart>
      <c:catAx>
        <c:axId val="149381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12240"/>
        <c:crosses val="autoZero"/>
        <c:auto val="1"/>
        <c:lblAlgn val="ctr"/>
        <c:lblOffset val="100"/>
        <c:noMultiLvlLbl val="0"/>
      </c:catAx>
      <c:valAx>
        <c:axId val="14938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1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156085958005252E-2"/>
          <c:y val="2.4132898021893605E-2"/>
          <c:w val="0.83683531857579307"/>
          <c:h val="0.189718065150759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62292213473317E-2"/>
          <c:y val="0.12345909886264217"/>
          <c:w val="0.81811526684164482"/>
          <c:h val="0.61747448235637226"/>
        </c:manualLayout>
      </c:layout>
      <c:barChart>
        <c:barDir val="col"/>
        <c:grouping val="clustered"/>
        <c:varyColors val="0"/>
        <c:ser>
          <c:idx val="0"/>
          <c:order val="0"/>
          <c:tx>
            <c:v>Sales (LHS)</c:v>
          </c:tx>
          <c:spPr>
            <a:solidFill>
              <a:schemeClr val="accent4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Model!$Z$3:$AJ$3</c:f>
              <c:strCache>
                <c:ptCount val="9"/>
                <c:pt idx="0">
                  <c:v>FY3/2020</c:v>
                </c:pt>
                <c:pt idx="1">
                  <c:v>FY3/2021</c:v>
                </c:pt>
                <c:pt idx="2">
                  <c:v>FY3/2022</c:v>
                </c:pt>
                <c:pt idx="3">
                  <c:v>FY3/2023</c:v>
                </c:pt>
                <c:pt idx="4">
                  <c:v>FY3/2024E</c:v>
                </c:pt>
                <c:pt idx="5">
                  <c:v>FY3/2025E</c:v>
                </c:pt>
                <c:pt idx="6">
                  <c:v>FY3/2026E</c:v>
                </c:pt>
                <c:pt idx="7">
                  <c:v>FY3/2027E</c:v>
                </c:pt>
                <c:pt idx="8">
                  <c:v>FY3/2028E</c:v>
                </c:pt>
              </c:strCache>
            </c:strRef>
          </c:cat>
          <c:val>
            <c:numRef>
              <c:f>Model!$Z$14:$AJ$14</c:f>
              <c:numCache>
                <c:formatCode>_(* #,##0_);* \(#,##0\);_(* "-"_)</c:formatCode>
                <c:ptCount val="9"/>
                <c:pt idx="0">
                  <c:v>416031</c:v>
                </c:pt>
                <c:pt idx="1">
                  <c:v>417511</c:v>
                </c:pt>
                <c:pt idx="2">
                  <c:v>361495</c:v>
                </c:pt>
                <c:pt idx="3">
                  <c:v>435786</c:v>
                </c:pt>
                <c:pt idx="4">
                  <c:v>480500</c:v>
                </c:pt>
                <c:pt idx="5">
                  <c:v>496100</c:v>
                </c:pt>
                <c:pt idx="6">
                  <c:v>511000</c:v>
                </c:pt>
                <c:pt idx="7">
                  <c:v>527300</c:v>
                </c:pt>
                <c:pt idx="8">
                  <c:v>542400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7-475D-B9B9-EB1DF34D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231146640"/>
        <c:axId val="1231140816"/>
      </c:barChart>
      <c:lineChart>
        <c:grouping val="standard"/>
        <c:varyColors val="0"/>
        <c:ser>
          <c:idx val="1"/>
          <c:order val="1"/>
          <c:tx>
            <c:v>YoY (RHS)</c:v>
          </c:tx>
          <c:spPr>
            <a:ln w="28575" cap="rnd">
              <a:solidFill>
                <a:schemeClr val="accent4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Model!$Z$15:$AJ$15</c:f>
              <c:numCache>
                <c:formatCode>_(#,##0.0%_);\(#,##0.0%\);_("-"?_)</c:formatCode>
                <c:ptCount val="9"/>
                <c:pt idx="0">
                  <c:v>3.731823349889285E-2</c:v>
                </c:pt>
                <c:pt idx="1">
                  <c:v>3.5574272109530902E-3</c:v>
                </c:pt>
                <c:pt idx="2">
                  <c:v>-0.13416652495383352</c:v>
                </c:pt>
                <c:pt idx="3">
                  <c:v>0.20551044966043786</c:v>
                </c:pt>
                <c:pt idx="4">
                  <c:v>0.10260540724116884</c:v>
                </c:pt>
                <c:pt idx="5">
                  <c:v>3.2466181061394428E-2</c:v>
                </c:pt>
                <c:pt idx="6">
                  <c:v>3.0034267284821503E-2</c:v>
                </c:pt>
                <c:pt idx="7">
                  <c:v>3.1898238747553709E-2</c:v>
                </c:pt>
                <c:pt idx="8">
                  <c:v>2.8636449838801425E-2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7-475D-B9B9-EB1DF34D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141648"/>
        <c:axId val="1231150384"/>
      </c:lineChart>
      <c:catAx>
        <c:axId val="123114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1.1263779527559054E-2"/>
              <c:y val="2.32870370370370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0816"/>
        <c:crosses val="autoZero"/>
        <c:auto val="1"/>
        <c:lblAlgn val="ctr"/>
        <c:lblOffset val="100"/>
        <c:noMultiLvlLbl val="0"/>
      </c:catAx>
      <c:valAx>
        <c:axId val="12311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6640"/>
        <c:crosses val="autoZero"/>
        <c:crossBetween val="between"/>
        <c:dispUnits>
          <c:builtInUnit val="thousands"/>
        </c:dispUnits>
      </c:valAx>
      <c:valAx>
        <c:axId val="1231150384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1648"/>
        <c:crosses val="max"/>
        <c:crossBetween val="between"/>
      </c:valAx>
      <c:catAx>
        <c:axId val="123114164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31150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62292213473317E-2"/>
          <c:y val="0.12345909886264217"/>
          <c:w val="0.81811526684164482"/>
          <c:h val="0.61747448235637226"/>
        </c:manualLayout>
      </c:layout>
      <c:barChart>
        <c:barDir val="col"/>
        <c:grouping val="clustered"/>
        <c:varyColors val="0"/>
        <c:ser>
          <c:idx val="0"/>
          <c:order val="0"/>
          <c:tx>
            <c:v>OP (LHS)</c:v>
          </c:tx>
          <c:spPr>
            <a:solidFill>
              <a:schemeClr val="accent4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Model!$Z$3:$AJ$3</c:f>
              <c:strCache>
                <c:ptCount val="9"/>
                <c:pt idx="0">
                  <c:v>FY3/2020</c:v>
                </c:pt>
                <c:pt idx="1">
                  <c:v>FY3/2021</c:v>
                </c:pt>
                <c:pt idx="2">
                  <c:v>FY3/2022</c:v>
                </c:pt>
                <c:pt idx="3">
                  <c:v>FY3/2023</c:v>
                </c:pt>
                <c:pt idx="4">
                  <c:v>FY3/2024E</c:v>
                </c:pt>
                <c:pt idx="5">
                  <c:v>FY3/2025E</c:v>
                </c:pt>
                <c:pt idx="6">
                  <c:v>FY3/2026E</c:v>
                </c:pt>
                <c:pt idx="7">
                  <c:v>FY3/2027E</c:v>
                </c:pt>
                <c:pt idx="8">
                  <c:v>FY3/2028E</c:v>
                </c:pt>
              </c:strCache>
            </c:strRef>
          </c:cat>
          <c:val>
            <c:numRef>
              <c:f>Model!$Z$36:$AJ$36</c:f>
              <c:numCache>
                <c:formatCode>_(* #,##0_);* \(#,##0\);_(* "-"_)</c:formatCode>
                <c:ptCount val="9"/>
                <c:pt idx="0">
                  <c:v>28349</c:v>
                </c:pt>
                <c:pt idx="1">
                  <c:v>36460</c:v>
                </c:pt>
                <c:pt idx="2">
                  <c:v>29738</c:v>
                </c:pt>
                <c:pt idx="3">
                  <c:v>40330</c:v>
                </c:pt>
                <c:pt idx="4">
                  <c:v>59500</c:v>
                </c:pt>
                <c:pt idx="5">
                  <c:v>64000</c:v>
                </c:pt>
                <c:pt idx="6">
                  <c:v>66100</c:v>
                </c:pt>
                <c:pt idx="7">
                  <c:v>68000</c:v>
                </c:pt>
                <c:pt idx="8">
                  <c:v>70200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9-4A2B-973C-66BF2797E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231146640"/>
        <c:axId val="1231140816"/>
      </c:barChart>
      <c:lineChart>
        <c:grouping val="standard"/>
        <c:varyColors val="0"/>
        <c:ser>
          <c:idx val="1"/>
          <c:order val="1"/>
          <c:tx>
            <c:v>YoY (RHS)</c:v>
          </c:tx>
          <c:spPr>
            <a:ln w="28575" cap="rnd">
              <a:solidFill>
                <a:schemeClr val="accent4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Model!$Z$37:$AJ$37</c:f>
              <c:numCache>
                <c:formatCode>_(#,##0.0%_);\(#,##0.0%\);_("-"?_)</c:formatCode>
                <c:ptCount val="9"/>
                <c:pt idx="0">
                  <c:v>0.19808131180796207</c:v>
                </c:pt>
                <c:pt idx="1">
                  <c:v>0.28611238491657565</c:v>
                </c:pt>
                <c:pt idx="2">
                  <c:v>-0.1843664289632474</c:v>
                </c:pt>
                <c:pt idx="3">
                  <c:v>0.35617728159257522</c:v>
                </c:pt>
                <c:pt idx="4">
                  <c:v>0.47532853954872301</c:v>
                </c:pt>
                <c:pt idx="5">
                  <c:v>7.5630252100840289E-2</c:v>
                </c:pt>
                <c:pt idx="6">
                  <c:v>3.2812499999999911E-2</c:v>
                </c:pt>
                <c:pt idx="7">
                  <c:v>2.8744326777609741E-2</c:v>
                </c:pt>
                <c:pt idx="8">
                  <c:v>3.2352941176470695E-2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9-4A2B-973C-66BF2797E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141648"/>
        <c:axId val="1231150384"/>
      </c:lineChart>
      <c:catAx>
        <c:axId val="123114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1.1263779527559054E-2"/>
              <c:y val="2.32870370370370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0816"/>
        <c:crosses val="autoZero"/>
        <c:auto val="1"/>
        <c:lblAlgn val="ctr"/>
        <c:lblOffset val="100"/>
        <c:noMultiLvlLbl val="0"/>
      </c:catAx>
      <c:valAx>
        <c:axId val="12311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6640"/>
        <c:crosses val="autoZero"/>
        <c:crossBetween val="between"/>
        <c:dispUnits>
          <c:builtInUnit val="thousands"/>
        </c:dispUnits>
      </c:valAx>
      <c:valAx>
        <c:axId val="1231150384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1648"/>
        <c:crosses val="max"/>
        <c:crossBetween val="between"/>
      </c:valAx>
      <c:catAx>
        <c:axId val="123114164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31150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62292213473317E-2"/>
          <c:y val="8.1792432195975498E-2"/>
          <c:w val="0.88200415573053381"/>
          <c:h val="0.65914114902303889"/>
        </c:manualLayout>
      </c:layout>
      <c:lineChart>
        <c:grouping val="standard"/>
        <c:varyColors val="0"/>
        <c:ser>
          <c:idx val="1"/>
          <c:order val="0"/>
          <c:tx>
            <c:strRef>
              <c:f>Model!$C$189</c:f>
              <c:strCache>
                <c:ptCount val="1"/>
                <c:pt idx="0">
                  <c:v>ROE</c:v>
                </c:pt>
              </c:strCache>
            </c:strRef>
          </c:tx>
          <c:spPr>
            <a:ln w="28575" cap="rnd">
              <a:solidFill>
                <a:schemeClr val="accent4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Model!$W$3:$AJ$3</c:f>
              <c:strCache>
                <c:ptCount val="9"/>
                <c:pt idx="0">
                  <c:v>FY3/2020</c:v>
                </c:pt>
                <c:pt idx="1">
                  <c:v>FY3/2021</c:v>
                </c:pt>
                <c:pt idx="2">
                  <c:v>FY3/2022</c:v>
                </c:pt>
                <c:pt idx="3">
                  <c:v>FY3/2023</c:v>
                </c:pt>
                <c:pt idx="4">
                  <c:v>FY3/2024E</c:v>
                </c:pt>
                <c:pt idx="5">
                  <c:v>FY3/2025E</c:v>
                </c:pt>
                <c:pt idx="6">
                  <c:v>FY3/2026E</c:v>
                </c:pt>
                <c:pt idx="7">
                  <c:v>FY3/2027E</c:v>
                </c:pt>
                <c:pt idx="8">
                  <c:v>FY3/2028E</c:v>
                </c:pt>
              </c:strCache>
            </c:strRef>
          </c:cat>
          <c:val>
            <c:numRef>
              <c:f>Model!$W$189:$AJ$189</c:f>
              <c:numCache>
                <c:formatCode>0.0%</c:formatCode>
                <c:ptCount val="9"/>
                <c:pt idx="0">
                  <c:v>7.7505785003414637E-2</c:v>
                </c:pt>
                <c:pt idx="1">
                  <c:v>9.1113531472093154E-2</c:v>
                </c:pt>
                <c:pt idx="2">
                  <c:v>6.5314662287878147E-2</c:v>
                </c:pt>
                <c:pt idx="3">
                  <c:v>8.8684114711614664E-2</c:v>
                </c:pt>
                <c:pt idx="4">
                  <c:v>0.11904253697209941</c:v>
                </c:pt>
                <c:pt idx="5">
                  <c:v>0.11708081486456234</c:v>
                </c:pt>
                <c:pt idx="6">
                  <c:v>0.11144360747084923</c:v>
                </c:pt>
                <c:pt idx="7">
                  <c:v>0.10615060356390113</c:v>
                </c:pt>
                <c:pt idx="8">
                  <c:v>0.10227069551224745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7-4C93-9DDF-25C45D775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146640"/>
        <c:axId val="1231140816"/>
      </c:lineChart>
      <c:catAx>
        <c:axId val="12311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0816"/>
        <c:crosses val="autoZero"/>
        <c:auto val="1"/>
        <c:lblAlgn val="ctr"/>
        <c:lblOffset val="100"/>
        <c:noMultiLvlLbl val="0"/>
      </c:catAx>
      <c:valAx>
        <c:axId val="12311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62292213473317E-2"/>
          <c:y val="0.12345909886264217"/>
          <c:w val="0.81811526684164482"/>
          <c:h val="0.61747448235637226"/>
        </c:manualLayout>
      </c:layout>
      <c:barChart>
        <c:barDir val="col"/>
        <c:grouping val="clustered"/>
        <c:varyColors val="0"/>
        <c:ser>
          <c:idx val="0"/>
          <c:order val="0"/>
          <c:tx>
            <c:v>OP (LHS)</c:v>
          </c:tx>
          <c:spPr>
            <a:solidFill>
              <a:schemeClr val="accent4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Model!$Z$3:$AJ$3</c:f>
              <c:strCache>
                <c:ptCount val="9"/>
                <c:pt idx="0">
                  <c:v>FY3/2020</c:v>
                </c:pt>
                <c:pt idx="1">
                  <c:v>FY3/2021</c:v>
                </c:pt>
                <c:pt idx="2">
                  <c:v>FY3/2022</c:v>
                </c:pt>
                <c:pt idx="3">
                  <c:v>FY3/2023</c:v>
                </c:pt>
                <c:pt idx="4">
                  <c:v>FY3/2024E</c:v>
                </c:pt>
                <c:pt idx="5">
                  <c:v>FY3/2025E</c:v>
                </c:pt>
                <c:pt idx="6">
                  <c:v>FY3/2026E</c:v>
                </c:pt>
                <c:pt idx="7">
                  <c:v>FY3/2027E</c:v>
                </c:pt>
                <c:pt idx="8">
                  <c:v>FY3/2028E</c:v>
                </c:pt>
              </c:strCache>
            </c:strRef>
          </c:cat>
          <c:val>
            <c:numRef>
              <c:f>Model!$Z$36:$AJ$36</c:f>
              <c:numCache>
                <c:formatCode>_(* #,##0_);* \(#,##0\);_(* "-"_)</c:formatCode>
                <c:ptCount val="9"/>
                <c:pt idx="0">
                  <c:v>28349</c:v>
                </c:pt>
                <c:pt idx="1">
                  <c:v>36460</c:v>
                </c:pt>
                <c:pt idx="2">
                  <c:v>29738</c:v>
                </c:pt>
                <c:pt idx="3">
                  <c:v>40330</c:v>
                </c:pt>
                <c:pt idx="4">
                  <c:v>59500</c:v>
                </c:pt>
                <c:pt idx="5">
                  <c:v>64000</c:v>
                </c:pt>
                <c:pt idx="6">
                  <c:v>66100</c:v>
                </c:pt>
                <c:pt idx="7">
                  <c:v>68000</c:v>
                </c:pt>
                <c:pt idx="8">
                  <c:v>70200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1-47ED-BD58-4874E344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231146640"/>
        <c:axId val="1231140816"/>
      </c:barChart>
      <c:lineChart>
        <c:grouping val="standard"/>
        <c:varyColors val="0"/>
        <c:ser>
          <c:idx val="1"/>
          <c:order val="1"/>
          <c:tx>
            <c:v>OPM (RHS)</c:v>
          </c:tx>
          <c:spPr>
            <a:ln w="28575" cap="rnd">
              <a:solidFill>
                <a:schemeClr val="accent4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Model!$Z$40:$AJ$40</c:f>
              <c:numCache>
                <c:formatCode>0.0%</c:formatCode>
                <c:ptCount val="9"/>
                <c:pt idx="0">
                  <c:v>6.8141556758991514E-2</c:v>
                </c:pt>
                <c:pt idx="1">
                  <c:v>8.7327040485160864E-2</c:v>
                </c:pt>
                <c:pt idx="2">
                  <c:v>8.2263931727963036E-2</c:v>
                </c:pt>
                <c:pt idx="3">
                  <c:v>9.2545423671251487E-2</c:v>
                </c:pt>
                <c:pt idx="4">
                  <c:v>0.12382934443288242</c:v>
                </c:pt>
                <c:pt idx="5">
                  <c:v>0.12900624874017336</c:v>
                </c:pt>
                <c:pt idx="6">
                  <c:v>0.12935420743639922</c:v>
                </c:pt>
                <c:pt idx="7">
                  <c:v>0.12895884695619192</c:v>
                </c:pt>
                <c:pt idx="8">
                  <c:v>0.12942477876106195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1-47ED-BD58-4874E344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141648"/>
        <c:axId val="1231150384"/>
      </c:lineChart>
      <c:catAx>
        <c:axId val="123114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1.1263779527559054E-2"/>
              <c:y val="2.328703703703703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0816"/>
        <c:crosses val="autoZero"/>
        <c:auto val="1"/>
        <c:lblAlgn val="ctr"/>
        <c:lblOffset val="100"/>
        <c:noMultiLvlLbl val="0"/>
      </c:catAx>
      <c:valAx>
        <c:axId val="12311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6640"/>
        <c:crosses val="autoZero"/>
        <c:crossBetween val="between"/>
        <c:dispUnits>
          <c:builtInUnit val="thousands"/>
        </c:dispUnits>
      </c:valAx>
      <c:valAx>
        <c:axId val="1231150384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1141648"/>
        <c:crosses val="max"/>
        <c:crossBetween val="between"/>
      </c:valAx>
      <c:catAx>
        <c:axId val="1231141648"/>
        <c:scaling>
          <c:orientation val="minMax"/>
        </c:scaling>
        <c:delete val="1"/>
        <c:axPos val="b"/>
        <c:majorTickMark val="none"/>
        <c:minorTickMark val="none"/>
        <c:tickLblPos val="nextTo"/>
        <c:crossAx val="1231150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89370078740151E-2"/>
          <c:y val="0.15234926946574343"/>
          <c:w val="0.90757894520997373"/>
          <c:h val="0.75601588701029376"/>
        </c:manualLayout>
      </c:layout>
      <c:barChart>
        <c:barDir val="col"/>
        <c:grouping val="clustered"/>
        <c:varyColors val="0"/>
        <c:ser>
          <c:idx val="3"/>
          <c:order val="6"/>
          <c:tx>
            <c:strRef>
              <c:f>Segments!$AL$23</c:f>
              <c:strCache>
                <c:ptCount val="1"/>
                <c:pt idx="0">
                  <c:v>    Packaged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Segments!$AM$23:$BL$23</c:f>
            </c:numRef>
          </c:val>
          <c:extLst>
            <c:ext xmlns:c16="http://schemas.microsoft.com/office/drawing/2014/chart" uri="{C3380CC4-5D6E-409C-BE32-E72D297353CC}">
              <c16:uniqueId val="{00000003-37F4-4018-BF73-BC568946AEBD}"/>
            </c:ext>
          </c:extLst>
        </c:ser>
        <c:ser>
          <c:idx val="4"/>
          <c:order val="7"/>
          <c:tx>
            <c:strRef>
              <c:f>Segments!$AL$24</c:f>
              <c:strCache>
                <c:ptCount val="1"/>
                <c:pt idx="0">
                  <c:v>    Cup-style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Segments!$AM$24:$BL$24</c:f>
            </c:numRef>
          </c:val>
          <c:extLst>
            <c:ext xmlns:c16="http://schemas.microsoft.com/office/drawing/2014/chart" uri="{C3380CC4-5D6E-409C-BE32-E72D297353CC}">
              <c16:uniqueId val="{00000004-37F4-4018-BF73-BC568946AEBD}"/>
            </c:ext>
          </c:extLst>
        </c:ser>
        <c:ser>
          <c:idx val="6"/>
          <c:order val="9"/>
          <c:tx>
            <c:strRef>
              <c:f>Segments!$AL$26</c:f>
              <c:strCache>
                <c:ptCount val="1"/>
                <c:pt idx="0">
                  <c:v>    Fresh Noodle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Segments!$AM$26:$BL$26</c:f>
            </c:numRef>
          </c:val>
          <c:extLst>
            <c:ext xmlns:c16="http://schemas.microsoft.com/office/drawing/2014/chart" uri="{C3380CC4-5D6E-409C-BE32-E72D297353CC}">
              <c16:uniqueId val="{00000006-37F4-4018-BF73-BC568946AEBD}"/>
            </c:ext>
          </c:extLst>
        </c:ser>
        <c:ser>
          <c:idx val="7"/>
          <c:order val="10"/>
          <c:tx>
            <c:strRef>
              <c:f>Segments!$AL$27</c:f>
              <c:strCache>
                <c:ptCount val="1"/>
                <c:pt idx="0">
                  <c:v>    Frozen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Segments!$AM$27:$BL$27</c:f>
            </c:numRef>
          </c:val>
          <c:extLst>
            <c:ext xmlns:c16="http://schemas.microsoft.com/office/drawing/2014/chart" uri="{C3380CC4-5D6E-409C-BE32-E72D297353CC}">
              <c16:uniqueId val="{00000007-37F4-4018-BF73-BC568946AEBD}"/>
            </c:ext>
          </c:extLst>
        </c:ser>
        <c:ser>
          <c:idx val="8"/>
          <c:order val="11"/>
          <c:tx>
            <c:strRef>
              <c:f>Segments!$AL$28</c:f>
              <c:strCache>
                <c:ptCount val="1"/>
                <c:pt idx="0">
                  <c:v>    Chilled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Segments!$AM$28:$BL$28</c:f>
            </c:numRef>
          </c:val>
          <c:extLst>
            <c:ext xmlns:c16="http://schemas.microsoft.com/office/drawing/2014/chart" uri="{C3380CC4-5D6E-409C-BE32-E72D297353CC}">
              <c16:uniqueId val="{00000008-37F4-4018-BF73-BC568946AEBD}"/>
            </c:ext>
          </c:extLst>
        </c:ser>
        <c:ser>
          <c:idx val="10"/>
          <c:order val="12"/>
          <c:tx>
            <c:strRef>
              <c:f>Segments!$AL$30</c:f>
              <c:strCache>
                <c:ptCount val="1"/>
                <c:pt idx="0">
                  <c:v>    Fish-based hams and sausages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Segments!$AM$30:$BL$30</c:f>
            </c:numRef>
          </c:val>
          <c:extLst>
            <c:ext xmlns:c16="http://schemas.microsoft.com/office/drawing/2014/chart" uri="{C3380CC4-5D6E-409C-BE32-E72D297353CC}">
              <c16:uniqueId val="{0000000A-37F4-4018-BF73-BC568946AEBD}"/>
            </c:ext>
          </c:extLst>
        </c:ser>
        <c:ser>
          <c:idx val="11"/>
          <c:order val="13"/>
          <c:tx>
            <c:strRef>
              <c:f>Segments!$AL$31</c:f>
              <c:strCache>
                <c:ptCount val="1"/>
                <c:pt idx="0">
                  <c:v>    Soup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Segments!$AM$31:$BL$31</c:f>
            </c:numRef>
          </c:val>
          <c:extLst>
            <c:ext xmlns:c16="http://schemas.microsoft.com/office/drawing/2014/chart" uri="{C3380CC4-5D6E-409C-BE32-E72D297353CC}">
              <c16:uniqueId val="{0000000B-37F4-4018-BF73-BC568946AEBD}"/>
            </c:ext>
          </c:extLst>
        </c:ser>
        <c:ser>
          <c:idx val="12"/>
          <c:order val="14"/>
          <c:tx>
            <c:strRef>
              <c:f>Segments!$AL$32</c:f>
              <c:strCache>
                <c:ptCount val="1"/>
                <c:pt idx="0">
                  <c:v>    Seasonings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Segments!$AM$32:$BL$32</c:f>
            </c:numRef>
          </c:val>
          <c:extLst>
            <c:ext xmlns:c16="http://schemas.microsoft.com/office/drawing/2014/chart" uri="{C3380CC4-5D6E-409C-BE32-E72D297353CC}">
              <c16:uniqueId val="{0000000C-37F4-4018-BF73-BC568946AEBD}"/>
            </c:ext>
          </c:extLst>
        </c:ser>
        <c:ser>
          <c:idx val="13"/>
          <c:order val="15"/>
          <c:tx>
            <c:strRef>
              <c:f>Segments!$AL$33</c:f>
              <c:strCache>
                <c:ptCount val="1"/>
                <c:pt idx="0">
                  <c:v>    Rice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Segments!$AM$33:$BL$33</c:f>
            </c:numRef>
          </c:val>
          <c:extLst>
            <c:ext xmlns:c16="http://schemas.microsoft.com/office/drawing/2014/chart" uri="{C3380CC4-5D6E-409C-BE32-E72D297353CC}">
              <c16:uniqueId val="{0000000D-37F4-4018-BF73-BC568946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781312"/>
        <c:axId val="658782848"/>
      </c:barChart>
      <c:barChart>
        <c:barDir val="col"/>
        <c:grouping val="stacked"/>
        <c:varyColors val="0"/>
        <c:ser>
          <c:idx val="15"/>
          <c:order val="0"/>
          <c:tx>
            <c:strRef>
              <c:f>Segments!$AL$43</c:f>
              <c:strCache>
                <c:ptCount val="1"/>
                <c:pt idx="0">
                  <c:v>  Elimination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Segments!$AM$43:$BK$43</c:f>
              <c:numCache>
                <c:formatCode>#,##0</c:formatCode>
                <c:ptCount val="6"/>
                <c:pt idx="0">
                  <c:v>427</c:v>
                </c:pt>
                <c:pt idx="1">
                  <c:v>187</c:v>
                </c:pt>
                <c:pt idx="2">
                  <c:v>139</c:v>
                </c:pt>
                <c:pt idx="3">
                  <c:v>-14</c:v>
                </c:pt>
                <c:pt idx="4">
                  <c:v>-312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7F4-4018-BF73-BC568946AEBD}"/>
            </c:ext>
          </c:extLst>
        </c:ser>
        <c:ser>
          <c:idx val="1"/>
          <c:order val="2"/>
          <c:tx>
            <c:strRef>
              <c:f>Segments!$AL$38</c:f>
              <c:strCache>
                <c:ptCount val="1"/>
                <c:pt idx="0">
                  <c:v>  Overseas Instant Noodle 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Segments!$AM$38:$BK$38</c:f>
              <c:numCache>
                <c:formatCode>#,##0</c:formatCode>
                <c:ptCount val="6"/>
                <c:pt idx="0">
                  <c:v>26113</c:v>
                </c:pt>
                <c:pt idx="1">
                  <c:v>9195</c:v>
                </c:pt>
                <c:pt idx="2">
                  <c:v>12015</c:v>
                </c:pt>
                <c:pt idx="3">
                  <c:v>10181</c:v>
                </c:pt>
                <c:pt idx="4">
                  <c:v>8709</c:v>
                </c:pt>
                <c:pt idx="5">
                  <c:v>40100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4-4018-BF73-BC568946AEBD}"/>
            </c:ext>
          </c:extLst>
        </c:ser>
        <c:ser>
          <c:idx val="2"/>
          <c:order val="3"/>
          <c:tx>
            <c:strRef>
              <c:f>Segments!$AL$39</c:f>
              <c:strCache>
                <c:ptCount val="1"/>
                <c:pt idx="0">
                  <c:v>  Domestic Instant Noodle</c:v>
                </c:pt>
              </c:strCache>
            </c:strRef>
          </c:tx>
          <c:spPr>
            <a:solidFill>
              <a:schemeClr val="accent2">
                <a:lumMod val="90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Segments!$AM$39:$BK$39</c:f>
              <c:numCache>
                <c:formatCode>#,##0</c:formatCode>
                <c:ptCount val="6"/>
                <c:pt idx="0">
                  <c:v>6708</c:v>
                </c:pt>
                <c:pt idx="1">
                  <c:v>1086</c:v>
                </c:pt>
                <c:pt idx="2">
                  <c:v>1739</c:v>
                </c:pt>
                <c:pt idx="3">
                  <c:v>5120</c:v>
                </c:pt>
                <c:pt idx="4">
                  <c:v>1455</c:v>
                </c:pt>
                <c:pt idx="5">
                  <c:v>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4-4018-BF73-BC568946AEBD}"/>
            </c:ext>
          </c:extLst>
        </c:ser>
        <c:ser>
          <c:idx val="5"/>
          <c:order val="4"/>
          <c:tx>
            <c:strRef>
              <c:f>Segments!$AL$40</c:f>
              <c:strCache>
                <c:ptCount val="1"/>
                <c:pt idx="0">
                  <c:v>  Frozen and Refrigerated Foods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Segments!$AM$40:$BK$40</c:f>
              <c:numCache>
                <c:formatCode>#,##0</c:formatCode>
                <c:ptCount val="6"/>
                <c:pt idx="0">
                  <c:v>5060</c:v>
                </c:pt>
                <c:pt idx="1">
                  <c:v>1959</c:v>
                </c:pt>
                <c:pt idx="2">
                  <c:v>1914</c:v>
                </c:pt>
                <c:pt idx="3">
                  <c:v>1726</c:v>
                </c:pt>
                <c:pt idx="4">
                  <c:v>1501</c:v>
                </c:pt>
                <c:pt idx="5">
                  <c:v>7100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F4-4018-BF73-BC568946AEBD}"/>
            </c:ext>
          </c:extLst>
        </c:ser>
        <c:ser>
          <c:idx val="0"/>
          <c:order val="5"/>
          <c:tx>
            <c:strRef>
              <c:f>Segments!$AL$37</c:f>
              <c:strCache>
                <c:ptCount val="1"/>
                <c:pt idx="0">
                  <c:v>  Seafood</c:v>
                </c:pt>
              </c:strCache>
            </c:strRef>
          </c:tx>
          <c:spPr>
            <a:solidFill>
              <a:schemeClr val="accent4">
                <a:lumMod val="2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Segments!$AM$37:$BK$37</c:f>
              <c:numCache>
                <c:formatCode>#,##0</c:formatCode>
                <c:ptCount val="6"/>
                <c:pt idx="0">
                  <c:v>46</c:v>
                </c:pt>
                <c:pt idx="1">
                  <c:v>133</c:v>
                </c:pt>
                <c:pt idx="2">
                  <c:v>32</c:v>
                </c:pt>
                <c:pt idx="3">
                  <c:v>67</c:v>
                </c:pt>
                <c:pt idx="4">
                  <c:v>68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4-4018-BF73-BC568946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781312"/>
        <c:axId val="658782848"/>
      </c:barChart>
      <c:barChart>
        <c:barDir val="col"/>
        <c:grouping val="stacked"/>
        <c:varyColors val="0"/>
        <c:ser>
          <c:idx val="14"/>
          <c:order val="1"/>
          <c:tx>
            <c:strRef>
              <c:f>Segments!$AL$42</c:f>
              <c:strCache>
                <c:ptCount val="1"/>
                <c:pt idx="0">
                  <c:v>  Cold-Storage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Segments!$AM$42:$BK$42</c:f>
              <c:numCache>
                <c:formatCode>#,##0</c:formatCode>
                <c:ptCount val="6"/>
                <c:pt idx="0">
                  <c:v>1851</c:v>
                </c:pt>
                <c:pt idx="1">
                  <c:v>648</c:v>
                </c:pt>
                <c:pt idx="2">
                  <c:v>622</c:v>
                </c:pt>
                <c:pt idx="3">
                  <c:v>681</c:v>
                </c:pt>
                <c:pt idx="4">
                  <c:v>149</c:v>
                </c:pt>
                <c:pt idx="5">
                  <c:v>2100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7F4-4018-BF73-BC568946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781312"/>
        <c:axId val="658782848"/>
      </c:barChart>
      <c:barChart>
        <c:barDir val="col"/>
        <c:grouping val="stacked"/>
        <c:varyColors val="0"/>
        <c:ser>
          <c:idx val="9"/>
          <c:order val="8"/>
          <c:tx>
            <c:strRef>
              <c:f>Segments!$AL$41</c:f>
              <c:strCache>
                <c:ptCount val="1"/>
                <c:pt idx="0">
                  <c:v>  Processed Foods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Segments!$AM$41:$BK$41</c:f>
              <c:numCache>
                <c:formatCode>#,##0</c:formatCode>
                <c:ptCount val="6"/>
                <c:pt idx="0">
                  <c:v>124</c:v>
                </c:pt>
                <c:pt idx="1">
                  <c:v>-21</c:v>
                </c:pt>
                <c:pt idx="2">
                  <c:v>173</c:v>
                </c:pt>
                <c:pt idx="3">
                  <c:v>425</c:v>
                </c:pt>
                <c:pt idx="4">
                  <c:v>-77</c:v>
                </c:pt>
                <c:pt idx="5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F4-4018-BF73-BC568946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781312"/>
        <c:axId val="658782848"/>
      </c:barChart>
      <c:lineChart>
        <c:grouping val="standard"/>
        <c:varyColors val="0"/>
        <c:ser>
          <c:idx val="16"/>
          <c:order val="16"/>
          <c:tx>
            <c:v>   Total OPM (RHS)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Segments!$AZ$51:$BK$51</c:f>
              <c:numCache>
                <c:formatCode>0.0%</c:formatCode>
                <c:ptCount val="6"/>
                <c:pt idx="0">
                  <c:v>9.2545423671251487E-2</c:v>
                </c:pt>
                <c:pt idx="1">
                  <c:v>0.11863537834701972</c:v>
                </c:pt>
                <c:pt idx="2">
                  <c:v>0.13446071021510156</c:v>
                </c:pt>
                <c:pt idx="3">
                  <c:v>0.14725242694864341</c:v>
                </c:pt>
                <c:pt idx="4">
                  <c:v>9.4094233462461402E-2</c:v>
                </c:pt>
                <c:pt idx="5">
                  <c:v>0.12382934443288242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F4-4018-BF73-BC568946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677472"/>
        <c:axId val="1188578079"/>
      </c:lineChart>
      <c:catAx>
        <c:axId val="65878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1.343324660031728E-2"/>
              <c:y val="6.2604692572888976E-2"/>
            </c:manualLayout>
          </c:layout>
          <c:overlay val="0"/>
        </c:title>
        <c:numFmt formatCode="g/\!\!\!\!\!\!\!\標\!\!\!\!\!\!\!\準" sourceLinked="0"/>
        <c:majorTickMark val="out"/>
        <c:minorTickMark val="none"/>
        <c:tickLblPos val="low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2848"/>
        <c:crosses val="autoZero"/>
        <c:auto val="1"/>
        <c:lblAlgn val="ctr"/>
        <c:lblOffset val="100"/>
        <c:noMultiLvlLbl val="0"/>
      </c:catAx>
      <c:valAx>
        <c:axId val="6587828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1312"/>
        <c:crosses val="autoZero"/>
        <c:crossBetween val="between"/>
        <c:dispUnits>
          <c:builtInUnit val="thousands"/>
        </c:dispUnits>
      </c:valAx>
      <c:valAx>
        <c:axId val="1188578079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368677472"/>
        <c:crosses val="max"/>
        <c:crossBetween val="between"/>
      </c:valAx>
      <c:catAx>
        <c:axId val="368677472"/>
        <c:scaling>
          <c:orientation val="minMax"/>
        </c:scaling>
        <c:delete val="1"/>
        <c:axPos val="b"/>
        <c:majorTickMark val="out"/>
        <c:minorTickMark val="none"/>
        <c:tickLblPos val="nextTo"/>
        <c:crossAx val="1188578079"/>
        <c:crosses val="autoZero"/>
        <c:auto val="1"/>
        <c:lblAlgn val="ctr"/>
        <c:lblOffset val="100"/>
        <c:noMultiLvlLbl val="0"/>
      </c:catAx>
      <c:spPr>
        <a:ln>
          <a:noFill/>
        </a:ln>
      </c:spPr>
    </c:plotArea>
    <c:legend>
      <c:legendPos val="t"/>
      <c:layout>
        <c:manualLayout>
          <c:xMode val="edge"/>
          <c:yMode val="edge"/>
          <c:x val="0.12852895341207349"/>
          <c:y val="7.7689128637925785E-3"/>
          <c:w val="0.80239952427821526"/>
          <c:h val="0.27551184927368677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963746719160101E-2"/>
          <c:y val="0.12581454506833073"/>
          <c:w val="0.85060962106299198"/>
          <c:h val="0.6726531288852052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Segments!$AL$23</c:f>
              <c:strCache>
                <c:ptCount val="1"/>
                <c:pt idx="0">
                  <c:v>    Packaged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Segments!$AM$23:$BL$23</c:f>
            </c:numRef>
          </c:val>
          <c:extLst>
            <c:ext xmlns:c16="http://schemas.microsoft.com/office/drawing/2014/chart" uri="{C3380CC4-5D6E-409C-BE32-E72D297353CC}">
              <c16:uniqueId val="{00000000-94EF-480C-95D3-819250FF435E}"/>
            </c:ext>
          </c:extLst>
        </c:ser>
        <c:ser>
          <c:idx val="4"/>
          <c:order val="4"/>
          <c:tx>
            <c:strRef>
              <c:f>Segments!$AL$24</c:f>
              <c:strCache>
                <c:ptCount val="1"/>
                <c:pt idx="0">
                  <c:v>    Cup-style Noodle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Segments!$AM$24:$BL$24</c:f>
            </c:numRef>
          </c:val>
          <c:extLst>
            <c:ext xmlns:c16="http://schemas.microsoft.com/office/drawing/2014/chart" uri="{C3380CC4-5D6E-409C-BE32-E72D297353CC}">
              <c16:uniqueId val="{00000001-94EF-480C-95D3-819250FF435E}"/>
            </c:ext>
          </c:extLst>
        </c:ser>
        <c:ser>
          <c:idx val="6"/>
          <c:order val="5"/>
          <c:tx>
            <c:strRef>
              <c:f>Segments!$AL$26</c:f>
              <c:strCache>
                <c:ptCount val="1"/>
                <c:pt idx="0">
                  <c:v>    Fresh Noodle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Segments!$AM$26:$BL$26</c:f>
            </c:numRef>
          </c:val>
          <c:extLst>
            <c:ext xmlns:c16="http://schemas.microsoft.com/office/drawing/2014/chart" uri="{C3380CC4-5D6E-409C-BE32-E72D297353CC}">
              <c16:uniqueId val="{00000002-94EF-480C-95D3-819250FF435E}"/>
            </c:ext>
          </c:extLst>
        </c:ser>
        <c:ser>
          <c:idx val="7"/>
          <c:order val="6"/>
          <c:tx>
            <c:strRef>
              <c:f>Segments!$AL$27</c:f>
              <c:strCache>
                <c:ptCount val="1"/>
                <c:pt idx="0">
                  <c:v>    Frozen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Segments!$AM$27:$BL$27</c:f>
            </c:numRef>
          </c:val>
          <c:extLst>
            <c:ext xmlns:c16="http://schemas.microsoft.com/office/drawing/2014/chart" uri="{C3380CC4-5D6E-409C-BE32-E72D297353CC}">
              <c16:uniqueId val="{00000003-94EF-480C-95D3-819250FF435E}"/>
            </c:ext>
          </c:extLst>
        </c:ser>
        <c:ser>
          <c:idx val="8"/>
          <c:order val="7"/>
          <c:tx>
            <c:strRef>
              <c:f>Segments!$AL$28</c:f>
              <c:strCache>
                <c:ptCount val="1"/>
                <c:pt idx="0">
                  <c:v>    Chilled Food Products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Segments!$AM$28:$BL$28</c:f>
            </c:numRef>
          </c:val>
          <c:extLst>
            <c:ext xmlns:c16="http://schemas.microsoft.com/office/drawing/2014/chart" uri="{C3380CC4-5D6E-409C-BE32-E72D297353CC}">
              <c16:uniqueId val="{00000004-94EF-480C-95D3-819250FF435E}"/>
            </c:ext>
          </c:extLst>
        </c:ser>
        <c:ser>
          <c:idx val="10"/>
          <c:order val="8"/>
          <c:tx>
            <c:strRef>
              <c:f>Segments!$AL$30</c:f>
              <c:strCache>
                <c:ptCount val="1"/>
                <c:pt idx="0">
                  <c:v>    Fish-based hams and sausages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Segments!$AM$30:$BL$30</c:f>
            </c:numRef>
          </c:val>
          <c:extLst>
            <c:ext xmlns:c16="http://schemas.microsoft.com/office/drawing/2014/chart" uri="{C3380CC4-5D6E-409C-BE32-E72D297353CC}">
              <c16:uniqueId val="{00000005-94EF-480C-95D3-819250FF435E}"/>
            </c:ext>
          </c:extLst>
        </c:ser>
        <c:ser>
          <c:idx val="11"/>
          <c:order val="9"/>
          <c:tx>
            <c:strRef>
              <c:f>Segments!$AL$31</c:f>
              <c:strCache>
                <c:ptCount val="1"/>
                <c:pt idx="0">
                  <c:v>    Soup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Segments!$AM$31:$BL$31</c:f>
            </c:numRef>
          </c:val>
          <c:extLst>
            <c:ext xmlns:c16="http://schemas.microsoft.com/office/drawing/2014/chart" uri="{C3380CC4-5D6E-409C-BE32-E72D297353CC}">
              <c16:uniqueId val="{00000006-94EF-480C-95D3-819250FF435E}"/>
            </c:ext>
          </c:extLst>
        </c:ser>
        <c:ser>
          <c:idx val="12"/>
          <c:order val="10"/>
          <c:tx>
            <c:strRef>
              <c:f>Segments!$AL$32</c:f>
              <c:strCache>
                <c:ptCount val="1"/>
                <c:pt idx="0">
                  <c:v>    Seasonings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Segments!$AM$32:$BL$32</c:f>
            </c:numRef>
          </c:val>
          <c:extLst>
            <c:ext xmlns:c16="http://schemas.microsoft.com/office/drawing/2014/chart" uri="{C3380CC4-5D6E-409C-BE32-E72D297353CC}">
              <c16:uniqueId val="{00000007-94EF-480C-95D3-819250FF435E}"/>
            </c:ext>
          </c:extLst>
        </c:ser>
        <c:ser>
          <c:idx val="13"/>
          <c:order val="11"/>
          <c:tx>
            <c:strRef>
              <c:f>Segments!$AL$33</c:f>
              <c:strCache>
                <c:ptCount val="1"/>
                <c:pt idx="0">
                  <c:v>    Rice</c:v>
                </c:pt>
              </c:strCache>
            </c:strRef>
          </c:tx>
          <c:invertIfNegative val="0"/>
          <c:cat>
            <c:strRef>
              <c:f>Segments!$AW$9:$BK$9</c:f>
              <c:strCache>
                <c:ptCount val="6"/>
                <c:pt idx="0">
                  <c:v>FY3/23</c:v>
                </c:pt>
                <c:pt idx="5">
                  <c:v>FY3/24</c:v>
                </c:pt>
              </c:strCache>
            </c:strRef>
          </c:cat>
          <c:val>
            <c:numRef>
              <c:f>Segments!$AM$33:$BL$33</c:f>
            </c:numRef>
          </c:val>
          <c:extLst>
            <c:ext xmlns:c16="http://schemas.microsoft.com/office/drawing/2014/chart" uri="{C3380CC4-5D6E-409C-BE32-E72D297353CC}">
              <c16:uniqueId val="{00000008-94EF-480C-95D3-819250FF4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781312"/>
        <c:axId val="658782848"/>
      </c:barChart>
      <c:barChart>
        <c:barDir val="col"/>
        <c:grouping val="stacked"/>
        <c:varyColors val="0"/>
        <c:ser>
          <c:idx val="1"/>
          <c:order val="0"/>
          <c:tx>
            <c:strRef>
              <c:f>Segments!$AL$38</c:f>
              <c:strCache>
                <c:ptCount val="1"/>
                <c:pt idx="0">
                  <c:v>  Overseas Instant Noodle 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</c:spPr>
          <c:invertIfNegative val="0"/>
          <c:cat>
            <c:strRef>
              <c:f>Chart!$AA$1:$AH$1</c:f>
              <c:strCache>
                <c:ptCount val="8"/>
                <c:pt idx="0">
                  <c:v>FY3/21</c:v>
                </c:pt>
                <c:pt idx="1">
                  <c:v>FY3/22</c:v>
                </c:pt>
                <c:pt idx="2">
                  <c:v>FY3/23</c:v>
                </c:pt>
                <c:pt idx="3">
                  <c:v>FY3/24E</c:v>
                </c:pt>
                <c:pt idx="4">
                  <c:v>FY3/25E</c:v>
                </c:pt>
                <c:pt idx="5">
                  <c:v>FY3/26E</c:v>
                </c:pt>
                <c:pt idx="6">
                  <c:v>FY3/27E</c:v>
                </c:pt>
                <c:pt idx="7">
                  <c:v>FY3/28E</c:v>
                </c:pt>
              </c:strCache>
            </c:strRef>
          </c:cat>
          <c:val>
            <c:numRef>
              <c:f>Segments!$AM$38:$BK$38</c:f>
              <c:numCache>
                <c:formatCode>#,##0</c:formatCode>
                <c:ptCount val="6"/>
                <c:pt idx="0">
                  <c:v>26113</c:v>
                </c:pt>
                <c:pt idx="1">
                  <c:v>9195</c:v>
                </c:pt>
                <c:pt idx="2">
                  <c:v>12015</c:v>
                </c:pt>
                <c:pt idx="3">
                  <c:v>10181</c:v>
                </c:pt>
                <c:pt idx="4">
                  <c:v>8709</c:v>
                </c:pt>
                <c:pt idx="5">
                  <c:v>40100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4EF-480C-95D3-819250FF435E}"/>
            </c:ext>
          </c:extLst>
        </c:ser>
        <c:ser>
          <c:idx val="2"/>
          <c:order val="1"/>
          <c:tx>
            <c:strRef>
              <c:f>Segments!$AL$39</c:f>
              <c:strCache>
                <c:ptCount val="1"/>
                <c:pt idx="0">
                  <c:v>  Domestic Instant Noodle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Chart!$AA$1:$AH$1</c:f>
              <c:strCache>
                <c:ptCount val="8"/>
                <c:pt idx="0">
                  <c:v>FY3/21</c:v>
                </c:pt>
                <c:pt idx="1">
                  <c:v>FY3/22</c:v>
                </c:pt>
                <c:pt idx="2">
                  <c:v>FY3/23</c:v>
                </c:pt>
                <c:pt idx="3">
                  <c:v>FY3/24E</c:v>
                </c:pt>
                <c:pt idx="4">
                  <c:v>FY3/25E</c:v>
                </c:pt>
                <c:pt idx="5">
                  <c:v>FY3/26E</c:v>
                </c:pt>
                <c:pt idx="6">
                  <c:v>FY3/27E</c:v>
                </c:pt>
                <c:pt idx="7">
                  <c:v>FY3/28E</c:v>
                </c:pt>
              </c:strCache>
            </c:strRef>
          </c:cat>
          <c:val>
            <c:numRef>
              <c:f>Segments!$AM$39:$BK$39</c:f>
              <c:numCache>
                <c:formatCode>#,##0</c:formatCode>
                <c:ptCount val="6"/>
                <c:pt idx="0">
                  <c:v>6708</c:v>
                </c:pt>
                <c:pt idx="1">
                  <c:v>1086</c:v>
                </c:pt>
                <c:pt idx="2">
                  <c:v>1739</c:v>
                </c:pt>
                <c:pt idx="3">
                  <c:v>5120</c:v>
                </c:pt>
                <c:pt idx="4">
                  <c:v>1455</c:v>
                </c:pt>
                <c:pt idx="5">
                  <c:v>9400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4EF-480C-95D3-819250FF435E}"/>
            </c:ext>
          </c:extLst>
        </c:ser>
        <c:ser>
          <c:idx val="0"/>
          <c:order val="2"/>
          <c:tx>
            <c:strRef>
              <c:f>Segments!$AL$61</c:f>
              <c:strCache>
                <c:ptCount val="1"/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Chart!$AA$1:$AH$1</c:f>
              <c:strCache>
                <c:ptCount val="8"/>
                <c:pt idx="0">
                  <c:v>FY3/21</c:v>
                </c:pt>
                <c:pt idx="1">
                  <c:v>FY3/22</c:v>
                </c:pt>
                <c:pt idx="2">
                  <c:v>FY3/23</c:v>
                </c:pt>
                <c:pt idx="3">
                  <c:v>FY3/24E</c:v>
                </c:pt>
                <c:pt idx="4">
                  <c:v>FY3/25E</c:v>
                </c:pt>
                <c:pt idx="5">
                  <c:v>FY3/26E</c:v>
                </c:pt>
                <c:pt idx="6">
                  <c:v>FY3/27E</c:v>
                </c:pt>
                <c:pt idx="7">
                  <c:v>FY3/28E</c:v>
                </c:pt>
              </c:strCache>
            </c:strRef>
          </c:cat>
          <c:val>
            <c:numRef>
              <c:f>Segments!$AZ$61:$BK$61</c:f>
              <c:numCache>
                <c:formatCode>#,##0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D-94EF-480C-95D3-819250FF4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781312"/>
        <c:axId val="658782848"/>
      </c:barChart>
      <c:lineChart>
        <c:grouping val="standard"/>
        <c:varyColors val="0"/>
        <c:ser>
          <c:idx val="16"/>
          <c:order val="12"/>
          <c:tx>
            <c:v>   Total OPM (RHS)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Segments!$AZ$51:$BK$51</c:f>
              <c:numCache>
                <c:formatCode>0.0%</c:formatCode>
                <c:ptCount val="6"/>
                <c:pt idx="0">
                  <c:v>9.2545423671251487E-2</c:v>
                </c:pt>
                <c:pt idx="1">
                  <c:v>0.11863537834701972</c:v>
                </c:pt>
                <c:pt idx="2">
                  <c:v>0.13446071021510156</c:v>
                </c:pt>
                <c:pt idx="3">
                  <c:v>0.14725242694864341</c:v>
                </c:pt>
                <c:pt idx="4">
                  <c:v>9.4094233462461402E-2</c:v>
                </c:pt>
                <c:pt idx="5">
                  <c:v>0.12382934443288242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EF-480C-95D3-819250FF4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677472"/>
        <c:axId val="1188578079"/>
      </c:lineChart>
      <c:catAx>
        <c:axId val="65878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(Ybn)</a:t>
                </a:r>
              </a:p>
            </c:rich>
          </c:tx>
          <c:layout>
            <c:manualLayout>
              <c:xMode val="edge"/>
              <c:yMode val="edge"/>
              <c:x val="5.6206938976377961E-3"/>
              <c:y val="4.0492461769094559E-2"/>
            </c:manualLayout>
          </c:layout>
          <c:overlay val="0"/>
        </c:title>
        <c:numFmt formatCode="g/\!\!\!\!\!\!\!\標\!\!\!\!\!\!\!\準" sourceLinked="0"/>
        <c:majorTickMark val="out"/>
        <c:minorTickMark val="none"/>
        <c:tickLblPos val="low"/>
        <c:spPr>
          <a:ln>
            <a:solidFill>
              <a:schemeClr val="bg1">
                <a:lumMod val="75000"/>
              </a:schemeClr>
            </a:solidFill>
          </a:ln>
        </c:spPr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658782848"/>
        <c:crosses val="autoZero"/>
        <c:auto val="1"/>
        <c:lblAlgn val="ctr"/>
        <c:lblOffset val="100"/>
        <c:noMultiLvlLbl val="0"/>
      </c:catAx>
      <c:valAx>
        <c:axId val="6587828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#,##0" sourceLinked="1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658781312"/>
        <c:crosses val="autoZero"/>
        <c:crossBetween val="between"/>
        <c:dispUnits>
          <c:builtInUnit val="thousands"/>
        </c:dispUnits>
      </c:valAx>
      <c:valAx>
        <c:axId val="1188578079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ln>
            <a:solidFill>
              <a:schemeClr val="bg1">
                <a:lumMod val="7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368677472"/>
        <c:crosses val="max"/>
        <c:crossBetween val="between"/>
      </c:valAx>
      <c:catAx>
        <c:axId val="368677472"/>
        <c:scaling>
          <c:orientation val="minMax"/>
        </c:scaling>
        <c:delete val="1"/>
        <c:axPos val="b"/>
        <c:majorTickMark val="out"/>
        <c:minorTickMark val="none"/>
        <c:tickLblPos val="nextTo"/>
        <c:crossAx val="1188578079"/>
        <c:crosses val="autoZero"/>
        <c:auto val="1"/>
        <c:lblAlgn val="ctr"/>
        <c:lblOffset val="100"/>
        <c:noMultiLvlLbl val="0"/>
      </c:catAx>
      <c:spPr>
        <a:ln>
          <a:noFill/>
        </a:ln>
      </c:spPr>
    </c:plotArea>
    <c:legend>
      <c:legendPos val="t"/>
      <c:layout>
        <c:manualLayout>
          <c:xMode val="edge"/>
          <c:yMode val="edge"/>
          <c:x val="9.7278953412073488E-2"/>
          <c:y val="2.1248238707003729E-2"/>
          <c:w val="0.81542035761154863"/>
          <c:h val="8.9344053046000835E-2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460CE00B-7571-4448-9E0B-6A1533EB714B}" formatIdx="1">
          <cx:tx>
            <cx:txData>
              <cx:f/>
              <cx:v/>
            </cx:txData>
          </cx:tx>
          <cx:spPr>
            <a:solidFill>
              <a:srgbClr val="99CCFF"/>
            </a:solidFill>
          </cx:spPr>
          <cx:dataPt idx="0">
            <cx:spPr>
              <a:solidFill>
                <a:srgbClr val="002060"/>
              </a:solidFill>
            </cx:spPr>
          </cx:dataPt>
          <cx:dataPt idx="1">
            <cx:spPr>
              <a:solidFill>
                <a:srgbClr val="C00000"/>
              </a:solidFill>
            </cx:spPr>
          </cx:dataPt>
          <cx:dataPt idx="3">
            <cx:spPr>
              <a:solidFill>
                <a:srgbClr val="C00000"/>
              </a:solidFill>
            </cx:spPr>
          </cx:dataPt>
          <cx:dataPt idx="4">
            <cx:spPr>
              <a:solidFill>
                <a:srgbClr val="C00000"/>
              </a:solidFill>
            </cx:spPr>
          </cx:dataPt>
          <cx:dataPt idx="6">
            <cx:spPr>
              <a:solidFill>
                <a:srgbClr val="99CCFF"/>
              </a:solidFill>
            </cx:spPr>
          </cx:dataPt>
          <cx:dataPt idx="9">
            <cx:spPr>
              <a:solidFill>
                <a:srgbClr val="C00000"/>
              </a:solidFill>
            </cx:spPr>
          </cx:dataPt>
          <cx:dataPt idx="10">
            <cx:spPr>
              <a:solidFill>
                <a:srgbClr val="99CCFF"/>
              </a:solidFill>
            </cx:spPr>
          </cx:dataPt>
          <cx:dataPt idx="11">
            <cx:spPr>
              <a:solidFill>
                <a:srgbClr val="002060"/>
              </a:solidFill>
            </cx:spPr>
          </cx:dataPt>
          <cx:dataPt idx="12">
            <cx:spPr>
              <a:solidFill>
                <a:srgbClr val="002060"/>
              </a:solidFill>
            </cx:spPr>
          </cx:dataPt>
          <cx:dataLabels pos="outEnd">
            <cx:numFmt formatCode="#,##0.0_);(#,##0.0)" sourceLinked="0"/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x:txPr>
            <cx:visibility seriesName="0" categoryName="0" value="1"/>
            <cx:separator>, </cx:separator>
            <cx:dataLabel idx="11">
              <cx:visibility seriesName="0" categoryName="0" value="1"/>
            </cx:dataLabel>
          </cx:dataLabels>
          <cx:dataId val="0"/>
          <cx:layoutPr>
            <cx:visibility connectorLines="0"/>
            <cx:subtotals>
              <cx:idx val="11"/>
              <cx:idx val="12"/>
              <cx:idx val="19"/>
            </cx:subtotals>
          </cx:layoutPr>
        </cx:series>
      </cx:plotAreaRegion>
      <cx:axis id="0">
        <cx:catScaling gapWidth="0.600000024"/>
        <cx:tickLabels/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60000" min="30000"/>
        <cx:units unit="thousands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460CE00B-7571-4448-9E0B-6A1533EB714B}" formatIdx="1">
          <cx:tx>
            <cx:txData>
              <cx:f/>
              <cx:v/>
            </cx:txData>
          </cx:tx>
          <cx:spPr>
            <a:solidFill>
              <a:srgbClr val="99CCFF"/>
            </a:solidFill>
          </cx:spPr>
          <cx:dataPt idx="0">
            <cx:spPr>
              <a:solidFill>
                <a:srgbClr val="002060"/>
              </a:solidFill>
            </cx:spPr>
          </cx:dataPt>
          <cx:dataPt idx="1">
            <cx:spPr>
              <a:solidFill>
                <a:srgbClr val="C00000"/>
              </a:solidFill>
            </cx:spPr>
          </cx:dataPt>
          <cx:dataPt idx="3">
            <cx:spPr>
              <a:solidFill>
                <a:srgbClr val="C00000"/>
              </a:solidFill>
            </cx:spPr>
          </cx:dataPt>
          <cx:dataPt idx="4">
            <cx:spPr>
              <a:solidFill>
                <a:srgbClr val="C00000"/>
              </a:solidFill>
            </cx:spPr>
          </cx:dataPt>
          <cx:dataPt idx="6">
            <cx:spPr>
              <a:solidFill>
                <a:srgbClr val="99CCFF"/>
              </a:solidFill>
            </cx:spPr>
          </cx:dataPt>
          <cx:dataPt idx="9">
            <cx:spPr>
              <a:solidFill>
                <a:srgbClr val="C00000"/>
              </a:solidFill>
            </cx:spPr>
          </cx:dataPt>
          <cx:dataPt idx="10">
            <cx:spPr>
              <a:solidFill>
                <a:srgbClr val="99CCFF"/>
              </a:solidFill>
            </cx:spPr>
          </cx:dataPt>
          <cx:dataPt idx="11">
            <cx:spPr>
              <a:solidFill>
                <a:srgbClr val="002060"/>
              </a:solidFill>
            </cx:spPr>
          </cx:dataPt>
          <cx:dataPt idx="12">
            <cx:spPr>
              <a:solidFill>
                <a:srgbClr val="002060"/>
              </a:solidFill>
            </cx:spPr>
          </cx:dataPt>
          <cx:dataLabels pos="outEnd">
            <cx:numFmt formatCode="#,##0.0_);(#,##0.0)" sourceLinked="0"/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x:txPr>
            <cx:visibility seriesName="0" categoryName="0" value="1"/>
            <cx:separator>, </cx:separator>
            <cx:dataLabel idx="11">
              <cx:visibility seriesName="0" categoryName="0" value="1"/>
            </cx:dataLabel>
          </cx:dataLabels>
          <cx:dataId val="0"/>
          <cx:layoutPr>
            <cx:visibility connectorLines="0"/>
            <cx:subtotals>
              <cx:idx val="11"/>
              <cx:idx val="12"/>
              <cx:idx val="19"/>
            </cx:subtotals>
          </cx:layoutPr>
        </cx:series>
      </cx:plotAreaRegion>
      <cx:axis id="0">
        <cx:catScaling gapWidth="0.600000024"/>
        <cx:tickLabels/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in="30000"/>
        <cx:units unit="thousands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12</xdr:col>
      <xdr:colOff>619125</xdr:colOff>
      <xdr:row>1</xdr:row>
      <xdr:rowOff>9525</xdr:rowOff>
    </xdr:to>
    <xdr:pic>
      <xdr:nvPicPr>
        <xdr:cNvPr id="4098" name="XLDataChannel1" hidden="1">
          <a:extLst>
            <a:ext uri="{FF2B5EF4-FFF2-40B4-BE49-F238E27FC236}">
              <a16:creationId xmlns:a16="http://schemas.microsoft.com/office/drawing/2014/main" id="{00000000-0008-0000-10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12</xdr:col>
      <xdr:colOff>0</xdr:colOff>
      <xdr:row>0</xdr:row>
      <xdr:rowOff>0</xdr:rowOff>
    </xdr:from>
    <xdr:to>
      <xdr:col>12</xdr:col>
      <xdr:colOff>619125</xdr:colOff>
      <xdr:row>1</xdr:row>
      <xdr:rowOff>9525</xdr:rowOff>
    </xdr:to>
    <xdr:pic>
      <xdr:nvPicPr>
        <xdr:cNvPr id="4099" name="XLDataChannel2" hidden="1">
          <a:extLst>
            <a:ext uri="{FF2B5EF4-FFF2-40B4-BE49-F238E27FC236}">
              <a16:creationId xmlns:a16="http://schemas.microsoft.com/office/drawing/2014/main" id="{00000000-0008-0000-10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12</xdr:col>
      <xdr:colOff>0</xdr:colOff>
      <xdr:row>0</xdr:row>
      <xdr:rowOff>0</xdr:rowOff>
    </xdr:from>
    <xdr:to>
      <xdr:col>12</xdr:col>
      <xdr:colOff>619125</xdr:colOff>
      <xdr:row>1</xdr:row>
      <xdr:rowOff>9525</xdr:rowOff>
    </xdr:to>
    <xdr:pic>
      <xdr:nvPicPr>
        <xdr:cNvPr id="4100" name="XLDataChannel3" hidden="1">
          <a:extLst>
            <a:ext uri="{FF2B5EF4-FFF2-40B4-BE49-F238E27FC236}">
              <a16:creationId xmlns:a16="http://schemas.microsoft.com/office/drawing/2014/main" id="{00000000-0008-0000-10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12</xdr:col>
      <xdr:colOff>0</xdr:colOff>
      <xdr:row>0</xdr:row>
      <xdr:rowOff>0</xdr:rowOff>
    </xdr:from>
    <xdr:to>
      <xdr:col>12</xdr:col>
      <xdr:colOff>619125</xdr:colOff>
      <xdr:row>1</xdr:row>
      <xdr:rowOff>9525</xdr:rowOff>
    </xdr:to>
    <xdr:pic>
      <xdr:nvPicPr>
        <xdr:cNvPr id="4101" name="XLDataChannel4" hidden="1">
          <a:extLst>
            <a:ext uri="{FF2B5EF4-FFF2-40B4-BE49-F238E27FC236}">
              <a16:creationId xmlns:a16="http://schemas.microsoft.com/office/drawing/2014/main" id="{00000000-0008-0000-1000-00000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82855</xdr:colOff>
      <xdr:row>22</xdr:row>
      <xdr:rowOff>159265</xdr:rowOff>
    </xdr:from>
    <xdr:to>
      <xdr:col>10</xdr:col>
      <xdr:colOff>159055</xdr:colOff>
      <xdr:row>38</xdr:row>
      <xdr:rowOff>127515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4B689-6798-48F5-B4B2-674EE7E91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52389</xdr:colOff>
      <xdr:row>23</xdr:row>
      <xdr:rowOff>23813</xdr:rowOff>
    </xdr:from>
    <xdr:to>
      <xdr:col>18</xdr:col>
      <xdr:colOff>128589</xdr:colOff>
      <xdr:row>38</xdr:row>
      <xdr:rowOff>182563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2B707-43EE-46E9-8D93-30997930D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104775</xdr:colOff>
      <xdr:row>22</xdr:row>
      <xdr:rowOff>180975</xdr:rowOff>
    </xdr:from>
    <xdr:to>
      <xdr:col>26</xdr:col>
      <xdr:colOff>180975</xdr:colOff>
      <xdr:row>38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8B91F2-FD82-4EF3-A371-F6C1F6CED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104775</xdr:colOff>
      <xdr:row>4</xdr:row>
      <xdr:rowOff>0</xdr:rowOff>
    </xdr:from>
    <xdr:to>
      <xdr:col>10</xdr:col>
      <xdr:colOff>180975</xdr:colOff>
      <xdr:row>19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8EEA47-80C0-4484-9C9A-6796D6D2A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28575</xdr:colOff>
      <xdr:row>3</xdr:row>
      <xdr:rowOff>133350</xdr:rowOff>
    </xdr:from>
    <xdr:to>
      <xdr:col>18</xdr:col>
      <xdr:colOff>104775</xdr:colOff>
      <xdr:row>19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491EF6-328C-460C-953E-11ACED321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76200</xdr:colOff>
      <xdr:row>42</xdr:row>
      <xdr:rowOff>142875</xdr:rowOff>
    </xdr:from>
    <xdr:to>
      <xdr:col>10</xdr:col>
      <xdr:colOff>152400</xdr:colOff>
      <xdr:row>58</xdr:row>
      <xdr:rowOff>111125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49582D-F9A8-431C-9AAF-F64C61D2C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657225</xdr:colOff>
      <xdr:row>3</xdr:row>
      <xdr:rowOff>171450</xdr:rowOff>
    </xdr:from>
    <xdr:to>
      <xdr:col>26</xdr:col>
      <xdr:colOff>47625</xdr:colOff>
      <xdr:row>19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093124-CFB3-4AC1-980D-7942CD270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238125</xdr:colOff>
      <xdr:row>43</xdr:row>
      <xdr:rowOff>9525</xdr:rowOff>
    </xdr:from>
    <xdr:to>
      <xdr:col>18</xdr:col>
      <xdr:colOff>314325</xdr:colOff>
      <xdr:row>58</xdr:row>
      <xdr:rowOff>166595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14199C9-8C8C-4A9F-8BC6-F5E17776E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66675</xdr:colOff>
      <xdr:row>44</xdr:row>
      <xdr:rowOff>66674</xdr:rowOff>
    </xdr:from>
    <xdr:to>
      <xdr:col>26</xdr:col>
      <xdr:colOff>142875</xdr:colOff>
      <xdr:row>61</xdr:row>
      <xdr:rowOff>6349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3EBF2F-AE61-4C51-8F01-12C13E7CE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4</xdr:row>
      <xdr:rowOff>9525</xdr:rowOff>
    </xdr:from>
    <xdr:to>
      <xdr:col>17</xdr:col>
      <xdr:colOff>104775</xdr:colOff>
      <xdr:row>26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E8DEBC2-EEE8-4052-9205-78941F0C04A4}"/>
            </a:ext>
          </a:extLst>
        </xdr:cNvPr>
        <xdr:cNvGrpSpPr/>
      </xdr:nvGrpSpPr>
      <xdr:grpSpPr>
        <a:xfrm>
          <a:off x="7306028" y="715081"/>
          <a:ext cx="7269691" cy="3909130"/>
          <a:chOff x="6162674" y="895349"/>
          <a:chExt cx="8896351" cy="5629275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8833A529-3881-8AD3-A6FB-8A6B997D399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162674" y="895349"/>
              <a:ext cx="8896351" cy="562927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6162674" y="895349"/>
                <a:ext cx="8896351" cy="56292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Excel 버전에서는 이 차트를 사용할 수 없습니다.
이 도형 편집하거나 이 통합 문서를 다른 파일 형식으로 저장하면 차트가 영구적으로 손상됩니다.</a:t>
                </a:r>
              </a:p>
            </xdr:txBody>
          </xdr:sp>
        </mc:Fallback>
      </mc:AlternateContent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510EE7BB-7BCD-FA8F-EAE2-2E3502E5B70B}"/>
              </a:ext>
            </a:extLst>
          </xdr:cNvPr>
          <xdr:cNvCxnSpPr/>
        </xdr:nvCxnSpPr>
        <xdr:spPr>
          <a:xfrm>
            <a:off x="7413842" y="5249649"/>
            <a:ext cx="2408169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25DB54F1-49EF-320A-58CE-CF074297C3DE}"/>
              </a:ext>
            </a:extLst>
          </xdr:cNvPr>
          <xdr:cNvCxnSpPr/>
        </xdr:nvCxnSpPr>
        <xdr:spPr>
          <a:xfrm>
            <a:off x="10190716" y="5238890"/>
            <a:ext cx="3115333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3618B2AA-AD2B-403C-C894-5E89B298149D}"/>
              </a:ext>
            </a:extLst>
          </xdr:cNvPr>
          <xdr:cNvSpPr txBox="1"/>
        </xdr:nvSpPr>
        <xdr:spPr>
          <a:xfrm>
            <a:off x="7573884" y="4829928"/>
            <a:ext cx="2314818" cy="4304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Arial" panose="020B0604020202020204" pitchFamily="34" charset="0"/>
                <a:cs typeface="Arial" panose="020B0604020202020204" pitchFamily="34" charset="0"/>
              </a:rPr>
              <a:t>Domestic instant noodles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7B3F880D-ADB8-B314-849B-4B5596E2E106}"/>
              </a:ext>
            </a:extLst>
          </xdr:cNvPr>
          <xdr:cNvSpPr txBox="1"/>
        </xdr:nvSpPr>
        <xdr:spPr>
          <a:xfrm>
            <a:off x="10717197" y="4828854"/>
            <a:ext cx="2509155" cy="406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Arial" panose="020B0604020202020204" pitchFamily="34" charset="0"/>
                <a:cs typeface="Arial" panose="020B0604020202020204" pitchFamily="34" charset="0"/>
              </a:rPr>
              <a:t>Overseas</a:t>
            </a:r>
            <a:r>
              <a:rPr lang="en-US" sz="1000" baseline="0">
                <a:latin typeface="Arial" panose="020B0604020202020204" pitchFamily="34" charset="0"/>
                <a:cs typeface="Arial" panose="020B0604020202020204" pitchFamily="34" charset="0"/>
              </a:rPr>
              <a:t> instant noodles</a:t>
            </a:r>
            <a:endParaRPr lang="en-US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7</xdr:col>
      <xdr:colOff>19050</xdr:colOff>
      <xdr:row>41</xdr:row>
      <xdr:rowOff>57150</xdr:rowOff>
    </xdr:from>
    <xdr:to>
      <xdr:col>16</xdr:col>
      <xdr:colOff>914400</xdr:colOff>
      <xdr:row>62</xdr:row>
      <xdr:rowOff>171450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60428FA-DB16-4328-BAF1-20B18C584485}"/>
            </a:ext>
          </a:extLst>
        </xdr:cNvPr>
        <xdr:cNvGrpSpPr/>
      </xdr:nvGrpSpPr>
      <xdr:grpSpPr>
        <a:xfrm>
          <a:off x="7342717" y="7289094"/>
          <a:ext cx="7054850" cy="3818467"/>
          <a:chOff x="6162674" y="895349"/>
          <a:chExt cx="8896351" cy="5629275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1" name="Chart 10">
                <a:extLst>
                  <a:ext uri="{FF2B5EF4-FFF2-40B4-BE49-F238E27FC236}">
                    <a16:creationId xmlns:a16="http://schemas.microsoft.com/office/drawing/2014/main" id="{2451776E-8C81-FC4D-A41F-084AD2F7E21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162674" y="895349"/>
              <a:ext cx="8896351" cy="562927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6162674" y="895349"/>
                <a:ext cx="8896351" cy="56292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Excel 버전에서는 이 차트를 사용할 수 없습니다.
이 도형 편집하거나 이 통합 문서를 다른 파일 형식으로 저장하면 차트가 영구적으로 손상됩니다.</a:t>
                </a:r>
              </a:p>
            </xdr:txBody>
          </xdr:sp>
        </mc:Fallback>
      </mc:AlternateContent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9F8E297B-FA51-BF11-9A85-D9DEBDD5D97C}"/>
              </a:ext>
            </a:extLst>
          </xdr:cNvPr>
          <xdr:cNvCxnSpPr/>
        </xdr:nvCxnSpPr>
        <xdr:spPr>
          <a:xfrm>
            <a:off x="7485780" y="5235952"/>
            <a:ext cx="2408169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37A8954A-7533-DC2A-9AC9-6912608F8370}"/>
              </a:ext>
            </a:extLst>
          </xdr:cNvPr>
          <xdr:cNvCxnSpPr/>
        </xdr:nvCxnSpPr>
        <xdr:spPr>
          <a:xfrm flipV="1">
            <a:off x="10286633" y="5223453"/>
            <a:ext cx="3127200" cy="174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2092BFEC-8ECA-12B1-1FA8-846544954375}"/>
              </a:ext>
            </a:extLst>
          </xdr:cNvPr>
          <xdr:cNvSpPr txBox="1"/>
        </xdr:nvSpPr>
        <xdr:spPr>
          <a:xfrm>
            <a:off x="7655558" y="4907286"/>
            <a:ext cx="2210104" cy="2573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Arial" panose="020B0604020202020204" pitchFamily="34" charset="0"/>
                <a:cs typeface="Arial" panose="020B0604020202020204" pitchFamily="34" charset="0"/>
              </a:rPr>
              <a:t>Domestic instant noodles</a:t>
            </a: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C29094CB-4CB1-6458-A201-721D3227C8EA}"/>
              </a:ext>
            </a:extLst>
          </xdr:cNvPr>
          <xdr:cNvSpPr txBox="1"/>
        </xdr:nvSpPr>
        <xdr:spPr>
          <a:xfrm>
            <a:off x="10874366" y="4891293"/>
            <a:ext cx="2355057" cy="4064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Arial" panose="020B0604020202020204" pitchFamily="34" charset="0"/>
                <a:cs typeface="Arial" panose="020B0604020202020204" pitchFamily="34" charset="0"/>
              </a:rPr>
              <a:t>Overseas</a:t>
            </a:r>
            <a:r>
              <a:rPr lang="en-US" sz="1000" baseline="0">
                <a:latin typeface="Arial" panose="020B0604020202020204" pitchFamily="34" charset="0"/>
                <a:cs typeface="Arial" panose="020B0604020202020204" pitchFamily="34" charset="0"/>
              </a:rPr>
              <a:t> instant noodles</a:t>
            </a:r>
            <a:endParaRPr lang="en-US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onsumer\Miyazaki\1.%20Models%20WIP\2801%20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onsumer\Miyazaki\1.%20Models%20WIP\2897%20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keik/AppData/Local/Microsoft/Windows/Temporary%20Internet%20Files/Content.Outlook/JPVX7BUW/8113%20Mode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esny03s\Projects\Low\COMODEL\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s for IRC"/>
      <sheetName val="Cover Sheet"/>
      <sheetName val="Val-Summary"/>
      <sheetName val="Valuation"/>
      <sheetName val="Cover Page"/>
      <sheetName val="Disclaimer"/>
      <sheetName val="Segment by Regions"/>
      <sheetName val="segment for irc"/>
      <sheetName val="_QP_4452.T"/>
      <sheetName val="Quarterly"/>
      <sheetName val="Driver"/>
      <sheetName val="Model"/>
      <sheetName val="Segments"/>
      <sheetName val="Raw Data"/>
      <sheetName val="2801.T_Exchange_Sheet"/>
      <sheetName val="TP calculation"/>
      <sheetName val="EV 2027"/>
      <sheetName val="Chart"/>
      <sheetName val="waterfall"/>
      <sheetName val="Summary"/>
      <sheetName val="Bubble chart"/>
      <sheetName val="corona"/>
      <sheetName val="Ratios"/>
      <sheetName val="Act Vs Est"/>
      <sheetName val="Market Data"/>
      <sheetName val="Comparison"/>
      <sheetName val="EV 2021"/>
      <sheetName val="EV 2025"/>
      <sheetName val="EV 2024"/>
      <sheetName val="EV 2023"/>
      <sheetName val="EV 2022"/>
      <sheetName val="2801.T_Live_Sheet"/>
      <sheetName val="2801.T_Validation_Sheet"/>
      <sheetName val="2801.T_Annotation_Sheet"/>
      <sheetName val="2801.T_Exchange_Sheet_old"/>
      <sheetName val="Sheet5"/>
      <sheetName val="Sheet4"/>
      <sheetName val="QP_2801.T_migrated"/>
      <sheetName val="OGG"/>
      <sheetName val="Director's cut"/>
      <sheetName val="EV 2026"/>
      <sheetName val="Composition"/>
      <sheetName val="Cover"/>
      <sheetName val="additional keywords"/>
      <sheetName val="Waterfall_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Issuer: Kikkoman</v>
          </cell>
          <cell r="F1">
            <v>1994</v>
          </cell>
          <cell r="G1">
            <v>1995</v>
          </cell>
          <cell r="H1">
            <v>1996</v>
          </cell>
          <cell r="I1">
            <v>1997</v>
          </cell>
          <cell r="J1">
            <v>1998</v>
          </cell>
          <cell r="K1">
            <v>1999</v>
          </cell>
          <cell r="L1">
            <v>2000</v>
          </cell>
          <cell r="M1">
            <v>2001</v>
          </cell>
          <cell r="N1">
            <v>2002</v>
          </cell>
          <cell r="O1">
            <v>2003</v>
          </cell>
          <cell r="P1">
            <v>2004</v>
          </cell>
          <cell r="Q1" t="str">
            <v>2005 Q3</v>
          </cell>
          <cell r="R1" t="str">
            <v>2005 Q4</v>
          </cell>
          <cell r="S1">
            <v>2005</v>
          </cell>
          <cell r="T1" t="str">
            <v>2006 Q1</v>
          </cell>
          <cell r="U1" t="str">
            <v>2006 Q2</v>
          </cell>
          <cell r="V1" t="str">
            <v>2006 Q3</v>
          </cell>
          <cell r="W1" t="str">
            <v>2006 Q4</v>
          </cell>
          <cell r="X1">
            <v>2006</v>
          </cell>
          <cell r="Y1" t="str">
            <v>2007 Q1</v>
          </cell>
          <cell r="Z1" t="str">
            <v>2007 Q2</v>
          </cell>
          <cell r="AA1" t="str">
            <v>2007 Q3</v>
          </cell>
          <cell r="AB1" t="str">
            <v>2007 Q4</v>
          </cell>
          <cell r="AC1">
            <v>2007</v>
          </cell>
          <cell r="AD1" t="str">
            <v>2008 Q1</v>
          </cell>
          <cell r="AE1" t="str">
            <v>2008 Q2</v>
          </cell>
          <cell r="AF1" t="str">
            <v>2008 Q3</v>
          </cell>
          <cell r="AG1" t="str">
            <v>2008 Q4</v>
          </cell>
          <cell r="AH1">
            <v>2008</v>
          </cell>
          <cell r="AI1" t="str">
            <v>2009 Q1</v>
          </cell>
          <cell r="AJ1" t="str">
            <v>2009 Q2</v>
          </cell>
          <cell r="AK1" t="str">
            <v>2009 Q3</v>
          </cell>
          <cell r="AL1" t="str">
            <v>2009 Q4</v>
          </cell>
          <cell r="AM1">
            <v>2009</v>
          </cell>
          <cell r="AN1" t="str">
            <v>2010 Q1</v>
          </cell>
          <cell r="AO1" t="str">
            <v>2010 Q2</v>
          </cell>
          <cell r="AP1" t="str">
            <v>2010 Q3</v>
          </cell>
          <cell r="AQ1" t="str">
            <v>2010 Q4</v>
          </cell>
          <cell r="AR1">
            <v>2010</v>
          </cell>
          <cell r="AS1" t="str">
            <v>2011 Q1</v>
          </cell>
          <cell r="AT1" t="str">
            <v>2011 Q2</v>
          </cell>
          <cell r="AU1" t="str">
            <v>2011 Q3</v>
          </cell>
          <cell r="AV1" t="str">
            <v>2011 Q4</v>
          </cell>
          <cell r="AW1">
            <v>2011</v>
          </cell>
          <cell r="AX1" t="str">
            <v>2012 Q1</v>
          </cell>
          <cell r="AY1" t="str">
            <v>2012 Q2</v>
          </cell>
          <cell r="AZ1" t="str">
            <v>2012 Q3</v>
          </cell>
          <cell r="BA1" t="str">
            <v>2012 Q4</v>
          </cell>
          <cell r="BB1">
            <v>2012</v>
          </cell>
          <cell r="BC1" t="str">
            <v>2013 Q1</v>
          </cell>
          <cell r="BD1" t="str">
            <v>2013 Q2</v>
          </cell>
          <cell r="BE1" t="str">
            <v>2013 Q3</v>
          </cell>
          <cell r="BF1" t="str">
            <v>2013 Q4</v>
          </cell>
          <cell r="BG1">
            <v>2013</v>
          </cell>
          <cell r="BH1" t="str">
            <v>2014 Q1</v>
          </cell>
          <cell r="BI1" t="str">
            <v>2014 Q2</v>
          </cell>
          <cell r="BJ1" t="str">
            <v>2014 Q3</v>
          </cell>
          <cell r="BK1" t="str">
            <v>2014 Q4</v>
          </cell>
          <cell r="BL1">
            <v>2014</v>
          </cell>
          <cell r="BM1" t="str">
            <v>2015 Q1</v>
          </cell>
          <cell r="BN1" t="str">
            <v>2015 Q2</v>
          </cell>
          <cell r="BO1" t="str">
            <v>2015 Q3</v>
          </cell>
          <cell r="BP1" t="str">
            <v>2015 Q4</v>
          </cell>
          <cell r="BQ1">
            <v>2015</v>
          </cell>
          <cell r="BR1" t="str">
            <v>2016 Q1</v>
          </cell>
          <cell r="BS1" t="str">
            <v>2016 Q2</v>
          </cell>
          <cell r="BT1" t="str">
            <v>2016 Q3</v>
          </cell>
          <cell r="BU1" t="str">
            <v>2016 Q4</v>
          </cell>
          <cell r="BV1">
            <v>2016</v>
          </cell>
          <cell r="BW1" t="str">
            <v>2017 Q1</v>
          </cell>
          <cell r="BX1" t="str">
            <v>2017 Q2</v>
          </cell>
          <cell r="BY1" t="str">
            <v>2017 Q3</v>
          </cell>
          <cell r="BZ1" t="str">
            <v>2017 Q4</v>
          </cell>
          <cell r="CA1">
            <v>2017</v>
          </cell>
          <cell r="CB1" t="str">
            <v>2018 Q1</v>
          </cell>
          <cell r="CC1" t="str">
            <v>2018 Q2</v>
          </cell>
          <cell r="CD1" t="str">
            <v>2018 Q3</v>
          </cell>
          <cell r="CE1" t="str">
            <v>2018 Q4</v>
          </cell>
          <cell r="CF1">
            <v>2018</v>
          </cell>
          <cell r="CG1" t="str">
            <v>2019 Q1</v>
          </cell>
          <cell r="CH1" t="str">
            <v>2019 Q2</v>
          </cell>
          <cell r="CI1" t="str">
            <v>2019 Q3</v>
          </cell>
          <cell r="CJ1" t="str">
            <v>2019 Q4</v>
          </cell>
          <cell r="CK1">
            <v>2019</v>
          </cell>
          <cell r="CL1" t="str">
            <v>2020 Q1</v>
          </cell>
          <cell r="CM1" t="str">
            <v>2020 Q2</v>
          </cell>
          <cell r="CN1" t="str">
            <v>2020 Q3</v>
          </cell>
          <cell r="CO1" t="str">
            <v>2020 Q4</v>
          </cell>
          <cell r="CP1">
            <v>2020</v>
          </cell>
          <cell r="CQ1" t="str">
            <v>2021 Q1</v>
          </cell>
          <cell r="CR1" t="str">
            <v>2021 Q2</v>
          </cell>
          <cell r="CS1" t="str">
            <v>2021 Q3</v>
          </cell>
          <cell r="CT1" t="str">
            <v>2021 Q4</v>
          </cell>
          <cell r="CU1">
            <v>2021</v>
          </cell>
          <cell r="CV1" t="str">
            <v>2022 Q1</v>
          </cell>
          <cell r="CW1" t="str">
            <v>2022 Q2</v>
          </cell>
          <cell r="CX1" t="str">
            <v>2022 Q3</v>
          </cell>
          <cell r="CY1" t="str">
            <v>2022 Q4</v>
          </cell>
          <cell r="CZ1">
            <v>2022</v>
          </cell>
          <cell r="DA1" t="str">
            <v>2023 Q1</v>
          </cell>
          <cell r="DB1" t="str">
            <v>2023 Q2</v>
          </cell>
          <cell r="DC1" t="str">
            <v>2023 Q3</v>
          </cell>
          <cell r="DD1" t="str">
            <v>2023 Q4</v>
          </cell>
          <cell r="DE1">
            <v>2023</v>
          </cell>
          <cell r="DF1" t="str">
            <v>2024 Q1</v>
          </cell>
          <cell r="DG1" t="str">
            <v>2024 Q2</v>
          </cell>
          <cell r="DH1" t="str">
            <v>2024 Q3</v>
          </cell>
          <cell r="DI1" t="str">
            <v>2024 Q4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Actual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Actual</v>
          </cell>
          <cell r="T2" t="str">
            <v>Actual</v>
          </cell>
          <cell r="U2" t="str">
            <v>Actual</v>
          </cell>
          <cell r="V2" t="str">
            <v>Actual</v>
          </cell>
          <cell r="W2" t="str">
            <v>Actual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  <cell r="AC2" t="str">
            <v>Actual</v>
          </cell>
          <cell r="AD2" t="str">
            <v>Actual</v>
          </cell>
          <cell r="AE2" t="str">
            <v>Actual</v>
          </cell>
          <cell r="AF2" t="str">
            <v>Actual</v>
          </cell>
          <cell r="AG2" t="str">
            <v>Actual</v>
          </cell>
          <cell r="AH2" t="str">
            <v>Actual</v>
          </cell>
          <cell r="AI2" t="str">
            <v>Actual</v>
          </cell>
          <cell r="AJ2" t="str">
            <v>Actual</v>
          </cell>
          <cell r="AK2" t="str">
            <v>Actual</v>
          </cell>
          <cell r="AL2" t="str">
            <v>Actual</v>
          </cell>
          <cell r="AM2" t="str">
            <v>Actual</v>
          </cell>
          <cell r="AN2" t="str">
            <v>Actual</v>
          </cell>
          <cell r="AO2" t="str">
            <v>Actual</v>
          </cell>
          <cell r="AP2" t="str">
            <v>Actual</v>
          </cell>
          <cell r="AQ2" t="str">
            <v>Actual</v>
          </cell>
          <cell r="AR2" t="str">
            <v>Actual</v>
          </cell>
          <cell r="AS2" t="str">
            <v>Actual</v>
          </cell>
          <cell r="AT2" t="str">
            <v>Actual</v>
          </cell>
          <cell r="AU2" t="str">
            <v>Actual</v>
          </cell>
          <cell r="AV2" t="str">
            <v>Actual</v>
          </cell>
          <cell r="AW2" t="str">
            <v>Actual</v>
          </cell>
          <cell r="AX2" t="str">
            <v>Actual</v>
          </cell>
          <cell r="AY2" t="str">
            <v>Actual</v>
          </cell>
          <cell r="AZ2" t="str">
            <v>Actual</v>
          </cell>
          <cell r="BA2" t="str">
            <v>Actual</v>
          </cell>
          <cell r="BB2" t="str">
            <v>Actual</v>
          </cell>
          <cell r="BC2" t="str">
            <v>Actual</v>
          </cell>
          <cell r="BD2" t="str">
            <v>Actual</v>
          </cell>
          <cell r="BE2" t="str">
            <v>Actual</v>
          </cell>
          <cell r="BF2" t="str">
            <v>Actual</v>
          </cell>
          <cell r="BG2" t="str">
            <v>Actual</v>
          </cell>
          <cell r="BH2" t="str">
            <v>Actual</v>
          </cell>
          <cell r="BI2" t="str">
            <v>Actual</v>
          </cell>
          <cell r="BJ2" t="str">
            <v>Actual</v>
          </cell>
          <cell r="BK2" t="str">
            <v>Actual</v>
          </cell>
          <cell r="BL2" t="str">
            <v>Actual</v>
          </cell>
          <cell r="BM2" t="str">
            <v>Actual</v>
          </cell>
          <cell r="BN2" t="str">
            <v>Actual</v>
          </cell>
          <cell r="BO2" t="str">
            <v>Actual</v>
          </cell>
          <cell r="BP2" t="str">
            <v>Actual</v>
          </cell>
          <cell r="BQ2" t="str">
            <v>Actual</v>
          </cell>
          <cell r="BR2" t="str">
            <v>Actual</v>
          </cell>
          <cell r="BS2" t="str">
            <v>Actual</v>
          </cell>
          <cell r="BT2" t="str">
            <v>Actual</v>
          </cell>
          <cell r="BU2" t="str">
            <v>Actual</v>
          </cell>
          <cell r="BV2" t="str">
            <v>Actual</v>
          </cell>
          <cell r="BW2" t="str">
            <v>Actual</v>
          </cell>
          <cell r="BX2" t="str">
            <v>Actual</v>
          </cell>
          <cell r="BY2" t="str">
            <v>Actual</v>
          </cell>
          <cell r="BZ2" t="str">
            <v>Actual</v>
          </cell>
          <cell r="CA2" t="str">
            <v>Actual</v>
          </cell>
          <cell r="CB2" t="str">
            <v>Actual</v>
          </cell>
          <cell r="CC2" t="str">
            <v>Actual</v>
          </cell>
          <cell r="CD2" t="str">
            <v>Actual</v>
          </cell>
          <cell r="CE2" t="str">
            <v>Actual</v>
          </cell>
          <cell r="CF2" t="str">
            <v>Actual</v>
          </cell>
          <cell r="CG2" t="str">
            <v>Actual</v>
          </cell>
          <cell r="CH2" t="str">
            <v>Actual</v>
          </cell>
          <cell r="CI2" t="str">
            <v>Actual</v>
          </cell>
          <cell r="CJ2" t="str">
            <v>Actual</v>
          </cell>
          <cell r="CK2" t="str">
            <v>Actual</v>
          </cell>
          <cell r="CL2" t="str">
            <v>Actual</v>
          </cell>
          <cell r="CM2" t="str">
            <v>Actual</v>
          </cell>
          <cell r="CN2" t="str">
            <v>Actual</v>
          </cell>
          <cell r="CO2" t="str">
            <v>Actual</v>
          </cell>
          <cell r="CP2" t="str">
            <v>Actual</v>
          </cell>
          <cell r="CQ2" t="str">
            <v>Actual</v>
          </cell>
          <cell r="CR2" t="str">
            <v>Actual</v>
          </cell>
          <cell r="CS2" t="str">
            <v>Actual</v>
          </cell>
          <cell r="CT2" t="str">
            <v>Actual</v>
          </cell>
          <cell r="CU2" t="str">
            <v>Actual</v>
          </cell>
          <cell r="CV2" t="str">
            <v>Actual</v>
          </cell>
          <cell r="CW2" t="str">
            <v>Actual</v>
          </cell>
          <cell r="CX2" t="str">
            <v>Actual</v>
          </cell>
          <cell r="CY2" t="str">
            <v>Actual</v>
          </cell>
          <cell r="CZ2" t="str">
            <v>Actual</v>
          </cell>
          <cell r="DA2" t="str">
            <v>Actual</v>
          </cell>
          <cell r="DB2" t="str">
            <v>Actual</v>
          </cell>
          <cell r="DC2" t="str">
            <v>Actual</v>
          </cell>
          <cell r="DD2" t="str">
            <v>Actual</v>
          </cell>
          <cell r="DE2" t="str">
            <v>Actual</v>
          </cell>
          <cell r="DF2" t="str">
            <v>Actual</v>
          </cell>
          <cell r="DG2" t="str">
            <v>Actual</v>
          </cell>
          <cell r="DH2" t="str">
            <v>Estimate</v>
          </cell>
          <cell r="DI2" t="str">
            <v>Estimate</v>
          </cell>
        </row>
        <row r="3">
          <cell r="F3">
            <v>34699</v>
          </cell>
          <cell r="G3">
            <v>35064</v>
          </cell>
          <cell r="H3">
            <v>35430</v>
          </cell>
          <cell r="I3">
            <v>35795</v>
          </cell>
          <cell r="J3">
            <v>36160</v>
          </cell>
          <cell r="K3">
            <v>36525</v>
          </cell>
          <cell r="L3">
            <v>36891</v>
          </cell>
          <cell r="M3">
            <v>36981</v>
          </cell>
          <cell r="N3">
            <v>37346</v>
          </cell>
          <cell r="O3">
            <v>37711</v>
          </cell>
          <cell r="P3">
            <v>38077</v>
          </cell>
          <cell r="Q3">
            <v>38352</v>
          </cell>
          <cell r="R3">
            <v>38442</v>
          </cell>
          <cell r="S3">
            <v>38442</v>
          </cell>
          <cell r="T3">
            <v>38533</v>
          </cell>
          <cell r="U3">
            <v>38625</v>
          </cell>
          <cell r="V3">
            <v>38717</v>
          </cell>
          <cell r="W3">
            <v>38807</v>
          </cell>
          <cell r="X3">
            <v>38807</v>
          </cell>
          <cell r="Y3">
            <v>38898</v>
          </cell>
          <cell r="Z3">
            <v>38990</v>
          </cell>
          <cell r="AA3">
            <v>39082</v>
          </cell>
          <cell r="AB3">
            <v>39172</v>
          </cell>
          <cell r="AC3">
            <v>39172</v>
          </cell>
          <cell r="AD3">
            <v>39263</v>
          </cell>
          <cell r="AE3">
            <v>39355</v>
          </cell>
          <cell r="AF3">
            <v>39447</v>
          </cell>
          <cell r="AG3">
            <v>39538</v>
          </cell>
          <cell r="AH3">
            <v>39538</v>
          </cell>
          <cell r="AI3">
            <v>39629</v>
          </cell>
          <cell r="AJ3">
            <v>39721</v>
          </cell>
          <cell r="AK3">
            <v>39813</v>
          </cell>
          <cell r="AL3">
            <v>39903</v>
          </cell>
          <cell r="AM3">
            <v>39903</v>
          </cell>
          <cell r="AN3">
            <v>39994</v>
          </cell>
          <cell r="AO3">
            <v>40086</v>
          </cell>
          <cell r="AP3">
            <v>40178</v>
          </cell>
          <cell r="AQ3">
            <v>40268</v>
          </cell>
          <cell r="AR3">
            <v>40268</v>
          </cell>
          <cell r="AS3">
            <v>40359</v>
          </cell>
          <cell r="AT3">
            <v>40451</v>
          </cell>
          <cell r="AU3">
            <v>40543</v>
          </cell>
          <cell r="AV3">
            <v>40633</v>
          </cell>
          <cell r="AW3">
            <v>40633</v>
          </cell>
          <cell r="AX3">
            <v>40724</v>
          </cell>
          <cell r="AY3">
            <v>40816</v>
          </cell>
          <cell r="AZ3">
            <v>40908</v>
          </cell>
          <cell r="BA3">
            <v>40999</v>
          </cell>
          <cell r="BB3">
            <v>40999</v>
          </cell>
          <cell r="BC3">
            <v>41090</v>
          </cell>
          <cell r="BD3">
            <v>41182</v>
          </cell>
          <cell r="BE3">
            <v>41274</v>
          </cell>
          <cell r="BF3">
            <v>41364</v>
          </cell>
          <cell r="BG3">
            <v>41364</v>
          </cell>
          <cell r="BH3">
            <v>41455</v>
          </cell>
          <cell r="BI3">
            <v>41547</v>
          </cell>
          <cell r="BJ3">
            <v>41639</v>
          </cell>
          <cell r="BK3">
            <v>41729</v>
          </cell>
          <cell r="BL3">
            <v>41729</v>
          </cell>
          <cell r="BM3">
            <v>41820</v>
          </cell>
          <cell r="BN3">
            <v>41912</v>
          </cell>
          <cell r="BO3">
            <v>42004</v>
          </cell>
          <cell r="BP3">
            <v>42094</v>
          </cell>
          <cell r="BQ3">
            <v>42094</v>
          </cell>
          <cell r="BR3">
            <v>42185</v>
          </cell>
          <cell r="BS3">
            <v>42277</v>
          </cell>
          <cell r="BT3">
            <v>42369</v>
          </cell>
          <cell r="BU3">
            <v>42460</v>
          </cell>
          <cell r="BV3">
            <v>42460</v>
          </cell>
          <cell r="BW3">
            <v>42551</v>
          </cell>
          <cell r="BX3">
            <v>42643</v>
          </cell>
          <cell r="BY3">
            <v>42735</v>
          </cell>
          <cell r="BZ3">
            <v>42825</v>
          </cell>
          <cell r="CA3">
            <v>42825</v>
          </cell>
          <cell r="CB3">
            <v>42916</v>
          </cell>
          <cell r="CC3">
            <v>43008</v>
          </cell>
          <cell r="CD3">
            <v>43100</v>
          </cell>
          <cell r="CE3">
            <v>43190</v>
          </cell>
          <cell r="CF3">
            <v>43190</v>
          </cell>
          <cell r="CG3">
            <v>43281</v>
          </cell>
          <cell r="CH3">
            <v>43373</v>
          </cell>
          <cell r="CI3">
            <v>43465</v>
          </cell>
          <cell r="CJ3">
            <v>43555</v>
          </cell>
          <cell r="CK3">
            <v>43555</v>
          </cell>
          <cell r="CL3">
            <v>43646</v>
          </cell>
          <cell r="CM3">
            <v>43738</v>
          </cell>
          <cell r="CN3">
            <v>43830</v>
          </cell>
          <cell r="CO3">
            <v>43921</v>
          </cell>
          <cell r="CP3">
            <v>43921</v>
          </cell>
          <cell r="CQ3">
            <v>44012</v>
          </cell>
          <cell r="CR3">
            <v>44104</v>
          </cell>
          <cell r="CS3">
            <v>44196</v>
          </cell>
          <cell r="CT3">
            <v>44286</v>
          </cell>
          <cell r="CU3">
            <v>44286</v>
          </cell>
          <cell r="CV3">
            <v>44377</v>
          </cell>
          <cell r="CW3">
            <v>44469</v>
          </cell>
          <cell r="CX3">
            <v>44561</v>
          </cell>
          <cell r="CY3">
            <v>44651</v>
          </cell>
          <cell r="CZ3">
            <v>44651</v>
          </cell>
          <cell r="DA3">
            <v>44742</v>
          </cell>
          <cell r="DB3">
            <v>44834</v>
          </cell>
          <cell r="DC3">
            <v>44926</v>
          </cell>
          <cell r="DD3">
            <v>45016</v>
          </cell>
          <cell r="DE3">
            <v>45016</v>
          </cell>
          <cell r="DF3">
            <v>45107</v>
          </cell>
          <cell r="DG3">
            <v>45199</v>
          </cell>
          <cell r="DH3">
            <v>45291</v>
          </cell>
          <cell r="DI3">
            <v>45382</v>
          </cell>
        </row>
        <row r="4">
          <cell r="A4" t="str">
            <v>Issuer: Kikkoman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Kikkoman</v>
          </cell>
        </row>
        <row r="7">
          <cell r="B7" t="str">
            <v>Reporting Currency</v>
          </cell>
          <cell r="C7" t="str">
            <v>CURRENCY_ISO</v>
          </cell>
          <cell r="E7" t="str">
            <v>JPY</v>
          </cell>
        </row>
        <row r="8">
          <cell r="A8" t="str">
            <v>General Information</v>
          </cell>
        </row>
        <row r="9">
          <cell r="B9" t="str">
            <v>Analyst Yen/USD assumption</v>
          </cell>
          <cell r="C9" t="str">
            <v>ASS_YEN_PER_USD_FX</v>
          </cell>
          <cell r="E9">
            <v>145</v>
          </cell>
        </row>
        <row r="10">
          <cell r="B10" t="str">
            <v>Analyst Yen/Euro assumption</v>
          </cell>
          <cell r="C10" t="str">
            <v>ASS_YEN_PER_EUR_FX</v>
          </cell>
          <cell r="E10">
            <v>155</v>
          </cell>
        </row>
        <row r="11">
          <cell r="B11" t="str">
            <v>M&amp;A probability (1 = high, 3 = low)</v>
          </cell>
          <cell r="C11" t="str">
            <v>MA_PROB</v>
          </cell>
          <cell r="E11">
            <v>3</v>
          </cell>
        </row>
        <row r="12">
          <cell r="B12" t="str">
            <v>Analyst USD rate assumption vs reporting currency</v>
          </cell>
          <cell r="C12" t="str">
            <v>FX_USD_ASSUMPTION</v>
          </cell>
        </row>
        <row r="13">
          <cell r="B13" t="str">
            <v>Analyst EUR rate assumption vs reporting currency</v>
          </cell>
          <cell r="C13" t="str">
            <v>FX_EUR_ASSUMPTION</v>
          </cell>
        </row>
        <row r="14">
          <cell r="A14" t="str">
            <v>Publishing Items</v>
          </cell>
        </row>
        <row r="15">
          <cell r="B15" t="str">
            <v>COE Yen/USD</v>
          </cell>
          <cell r="C15" t="str">
            <v>COE_YEN_PER_US_AVG_FX_PUB</v>
          </cell>
          <cell r="BL15">
            <v>90</v>
          </cell>
          <cell r="CF15" t="e">
            <v>#REF!</v>
          </cell>
        </row>
        <row r="16">
          <cell r="B16" t="str">
            <v>COE Yen/EUR</v>
          </cell>
          <cell r="C16" t="str">
            <v>COE_YEN_PER_EUR_AVG_FX_PUB</v>
          </cell>
          <cell r="BL16">
            <v>120</v>
          </cell>
          <cell r="CF16" t="e">
            <v>#REF!</v>
          </cell>
        </row>
        <row r="17">
          <cell r="A17" t="str">
            <v>Income Statement</v>
          </cell>
        </row>
        <row r="18">
          <cell r="B18" t="str">
            <v>Sales, net revenue</v>
          </cell>
          <cell r="C18" t="str">
            <v>SALES</v>
          </cell>
          <cell r="D18" t="str">
            <v>JPY</v>
          </cell>
          <cell r="F18">
            <v>0</v>
          </cell>
          <cell r="G18">
            <v>203286</v>
          </cell>
          <cell r="H18">
            <v>206001</v>
          </cell>
          <cell r="I18">
            <v>214338</v>
          </cell>
          <cell r="J18">
            <v>229475</v>
          </cell>
          <cell r="K18">
            <v>221724</v>
          </cell>
          <cell r="L18">
            <v>326708</v>
          </cell>
          <cell r="M18">
            <v>356706</v>
          </cell>
          <cell r="N18">
            <v>336887</v>
          </cell>
          <cell r="O18">
            <v>342508</v>
          </cell>
          <cell r="P18">
            <v>334656</v>
          </cell>
          <cell r="S18">
            <v>344625</v>
          </cell>
          <cell r="X18">
            <v>359906</v>
          </cell>
          <cell r="AC18">
            <v>392611</v>
          </cell>
          <cell r="AH18">
            <v>413938</v>
          </cell>
          <cell r="AM18">
            <v>412649</v>
          </cell>
          <cell r="AR18">
            <v>285690</v>
          </cell>
          <cell r="AW18">
            <v>283463</v>
          </cell>
          <cell r="BB18">
            <v>283239</v>
          </cell>
          <cell r="BG18">
            <v>300245</v>
          </cell>
          <cell r="BL18">
            <v>343168</v>
          </cell>
          <cell r="BM18">
            <v>87792</v>
          </cell>
          <cell r="BN18">
            <v>91007</v>
          </cell>
          <cell r="BO18">
            <v>99296</v>
          </cell>
          <cell r="BP18">
            <v>371339</v>
          </cell>
          <cell r="BQ18">
            <v>371339</v>
          </cell>
          <cell r="BR18">
            <v>101027</v>
          </cell>
          <cell r="BS18">
            <v>101747</v>
          </cell>
          <cell r="BT18">
            <v>107869</v>
          </cell>
          <cell r="BU18">
            <v>97729</v>
          </cell>
          <cell r="BV18">
            <v>408372</v>
          </cell>
          <cell r="BW18">
            <v>98863</v>
          </cell>
          <cell r="BX18">
            <v>97920</v>
          </cell>
          <cell r="BY18">
            <v>104994</v>
          </cell>
          <cell r="BZ18">
            <v>100397</v>
          </cell>
          <cell r="CA18">
            <v>402174</v>
          </cell>
          <cell r="CF18">
            <v>430602</v>
          </cell>
          <cell r="CK18">
            <v>453565</v>
          </cell>
          <cell r="CP18">
            <v>468616</v>
          </cell>
          <cell r="CU18">
            <v>468119</v>
          </cell>
          <cell r="CZ18">
            <v>516440</v>
          </cell>
          <cell r="DE18">
            <v>618899</v>
          </cell>
        </row>
        <row r="19">
          <cell r="B19" t="str">
            <v>Cost of goods sold, COGS</v>
          </cell>
          <cell r="C19" t="str">
            <v>COST_GD_SD</v>
          </cell>
          <cell r="D19" t="str">
            <v>JPY</v>
          </cell>
          <cell r="F19">
            <v>0</v>
          </cell>
          <cell r="G19">
            <v>-119656</v>
          </cell>
          <cell r="H19">
            <v>-120915</v>
          </cell>
          <cell r="I19">
            <v>-125834</v>
          </cell>
          <cell r="J19">
            <v>-135620</v>
          </cell>
          <cell r="K19">
            <v>-130122</v>
          </cell>
          <cell r="L19">
            <v>-187818</v>
          </cell>
          <cell r="M19">
            <v>-204411</v>
          </cell>
          <cell r="N19">
            <v>-195981</v>
          </cell>
          <cell r="O19">
            <v>-204759</v>
          </cell>
          <cell r="P19">
            <v>-200281</v>
          </cell>
          <cell r="S19">
            <v>-207276</v>
          </cell>
          <cell r="X19">
            <v>-216975</v>
          </cell>
          <cell r="AC19">
            <v>-237568</v>
          </cell>
          <cell r="AH19">
            <v>-250347</v>
          </cell>
          <cell r="AM19">
            <v>-254543</v>
          </cell>
          <cell r="AR19">
            <v>-166924</v>
          </cell>
          <cell r="AW19">
            <v>-168147</v>
          </cell>
          <cell r="BB19">
            <v>-168669</v>
          </cell>
          <cell r="BG19">
            <v>-177030</v>
          </cell>
          <cell r="BL19">
            <v>-204917</v>
          </cell>
          <cell r="BQ19">
            <v>-225378</v>
          </cell>
          <cell r="BV19">
            <v>-248215</v>
          </cell>
          <cell r="CA19">
            <v>-242343</v>
          </cell>
          <cell r="CF19">
            <v>-260426</v>
          </cell>
          <cell r="CK19">
            <v>-277805</v>
          </cell>
          <cell r="CP19">
            <v>-286978</v>
          </cell>
          <cell r="CU19">
            <v>-285289</v>
          </cell>
          <cell r="CZ19">
            <v>-337611</v>
          </cell>
          <cell r="DE19">
            <v>-414474</v>
          </cell>
        </row>
        <row r="20">
          <cell r="B20" t="str">
            <v>SG&amp;A, selling, general and admin. expense</v>
          </cell>
          <cell r="C20" t="str">
            <v>SEL_GL_AD</v>
          </cell>
          <cell r="D20" t="str">
            <v>JPY</v>
          </cell>
          <cell r="F20">
            <v>0</v>
          </cell>
          <cell r="G20">
            <v>-72836</v>
          </cell>
          <cell r="H20">
            <v>-75472</v>
          </cell>
          <cell r="I20">
            <v>-79775</v>
          </cell>
          <cell r="J20">
            <v>-83805</v>
          </cell>
          <cell r="K20">
            <v>-80556</v>
          </cell>
          <cell r="L20">
            <v>-124203</v>
          </cell>
          <cell r="M20">
            <v>-137405</v>
          </cell>
          <cell r="N20">
            <v>-125963</v>
          </cell>
          <cell r="O20">
            <v>-119844</v>
          </cell>
          <cell r="P20">
            <v>-117316</v>
          </cell>
          <cell r="S20">
            <v>-119500</v>
          </cell>
          <cell r="X20">
            <v>-124373</v>
          </cell>
          <cell r="AC20">
            <v>-133396</v>
          </cell>
          <cell r="AH20">
            <v>-139736</v>
          </cell>
          <cell r="AM20">
            <v>-137736</v>
          </cell>
          <cell r="AR20">
            <v>-97680</v>
          </cell>
          <cell r="AW20">
            <v>-96107</v>
          </cell>
          <cell r="BB20">
            <v>-96805</v>
          </cell>
          <cell r="BG20">
            <v>-103407</v>
          </cell>
          <cell r="BL20">
            <v>-114404</v>
          </cell>
          <cell r="BQ20">
            <v>-120590</v>
          </cell>
          <cell r="BV20">
            <v>-127558</v>
          </cell>
          <cell r="CA20">
            <v>-126988</v>
          </cell>
          <cell r="CF20">
            <v>-133673</v>
          </cell>
          <cell r="CK20">
            <v>-137341</v>
          </cell>
          <cell r="CP20">
            <v>-141812</v>
          </cell>
          <cell r="CU20">
            <v>-140216</v>
          </cell>
          <cell r="CZ20">
            <v>-126555</v>
          </cell>
          <cell r="DE20">
            <v>-145648</v>
          </cell>
        </row>
        <row r="21">
          <cell r="B21" t="str">
            <v>Total operating expense</v>
          </cell>
          <cell r="C21" t="str">
            <v>OP_COST</v>
          </cell>
          <cell r="D21" t="str">
            <v>JPY</v>
          </cell>
          <cell r="F21">
            <v>0</v>
          </cell>
          <cell r="G21">
            <v>-192492</v>
          </cell>
          <cell r="H21">
            <v>-196387</v>
          </cell>
          <cell r="I21">
            <v>-205609</v>
          </cell>
          <cell r="J21">
            <v>-219425</v>
          </cell>
          <cell r="K21">
            <v>-210678</v>
          </cell>
          <cell r="L21">
            <v>-312021</v>
          </cell>
          <cell r="M21">
            <v>-341816</v>
          </cell>
          <cell r="N21">
            <v>-321944</v>
          </cell>
          <cell r="O21">
            <v>-324603</v>
          </cell>
          <cell r="P21">
            <v>-317597</v>
          </cell>
          <cell r="S21">
            <v>-326776</v>
          </cell>
          <cell r="X21">
            <v>-341348</v>
          </cell>
          <cell r="AC21">
            <v>-370964</v>
          </cell>
          <cell r="AH21">
            <v>-390083</v>
          </cell>
          <cell r="AM21">
            <v>-392279</v>
          </cell>
          <cell r="AR21">
            <v>-264604</v>
          </cell>
          <cell r="AW21">
            <v>-264254</v>
          </cell>
          <cell r="BB21">
            <v>-265474</v>
          </cell>
          <cell r="BG21">
            <v>-280437</v>
          </cell>
          <cell r="BL21">
            <v>-319321</v>
          </cell>
          <cell r="BQ21">
            <v>-345968</v>
          </cell>
          <cell r="BV21">
            <v>-375773</v>
          </cell>
          <cell r="CA21">
            <v>-369331</v>
          </cell>
          <cell r="CF21">
            <v>-394099</v>
          </cell>
          <cell r="CK21">
            <v>-415146</v>
          </cell>
          <cell r="CP21">
            <v>-428790</v>
          </cell>
          <cell r="CU21">
            <v>-425505</v>
          </cell>
          <cell r="CZ21">
            <v>-464166</v>
          </cell>
          <cell r="DE21">
            <v>-560122</v>
          </cell>
        </row>
        <row r="22">
          <cell r="B22" t="str">
            <v>R&amp;D expense</v>
          </cell>
          <cell r="C22" t="str">
            <v>RD_EXP</v>
          </cell>
          <cell r="D22" t="str">
            <v>JPY</v>
          </cell>
          <cell r="BG22">
            <v>-3727</v>
          </cell>
          <cell r="BL22">
            <v>-4290.7668714551492</v>
          </cell>
        </row>
        <row r="23">
          <cell r="B23" t="str">
            <v>Other operating income/(expense) (incl. leases)</v>
          </cell>
          <cell r="C23" t="str">
            <v>OTH_OP_INC_EXP</v>
          </cell>
          <cell r="D23" t="str">
            <v>JPY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-1</v>
          </cell>
          <cell r="M23">
            <v>0</v>
          </cell>
          <cell r="N23">
            <v>-1</v>
          </cell>
          <cell r="O23">
            <v>-1</v>
          </cell>
          <cell r="P23">
            <v>0</v>
          </cell>
          <cell r="S23">
            <v>-2</v>
          </cell>
          <cell r="X23">
            <v>-1</v>
          </cell>
          <cell r="AC23">
            <v>-1</v>
          </cell>
          <cell r="AH23">
            <v>-1</v>
          </cell>
          <cell r="AM23">
            <v>-2</v>
          </cell>
          <cell r="AR23">
            <v>-1</v>
          </cell>
          <cell r="AW23">
            <v>-1</v>
          </cell>
          <cell r="BB23">
            <v>-1</v>
          </cell>
          <cell r="BG23">
            <v>-1</v>
          </cell>
          <cell r="BL23">
            <v>-1</v>
          </cell>
          <cell r="BV23">
            <v>0</v>
          </cell>
          <cell r="CA23">
            <v>0</v>
          </cell>
          <cell r="CF23">
            <v>0</v>
          </cell>
          <cell r="CK23">
            <v>0</v>
          </cell>
          <cell r="CP23">
            <v>0</v>
          </cell>
          <cell r="CU23">
            <v>0</v>
          </cell>
          <cell r="CZ23">
            <v>0</v>
          </cell>
          <cell r="DE23">
            <v>0</v>
          </cell>
        </row>
        <row r="24">
          <cell r="B24" t="str">
            <v>Total operating expense (incl. D&amp;A)</v>
          </cell>
          <cell r="C24" t="str">
            <v>TOT_OPS_EXP_DDA</v>
          </cell>
          <cell r="D24" t="str">
            <v>JPY</v>
          </cell>
          <cell r="F24">
            <v>0</v>
          </cell>
          <cell r="G24">
            <v>-192492</v>
          </cell>
          <cell r="H24">
            <v>-196387</v>
          </cell>
          <cell r="I24">
            <v>-205609</v>
          </cell>
          <cell r="J24">
            <v>-219425</v>
          </cell>
          <cell r="K24">
            <v>-210678</v>
          </cell>
          <cell r="L24">
            <v>-312021</v>
          </cell>
          <cell r="M24">
            <v>-341816</v>
          </cell>
          <cell r="N24">
            <v>-321944</v>
          </cell>
          <cell r="O24">
            <v>-324603</v>
          </cell>
          <cell r="P24">
            <v>-317597</v>
          </cell>
          <cell r="S24">
            <v>-326776</v>
          </cell>
          <cell r="X24">
            <v>-341348</v>
          </cell>
          <cell r="AC24">
            <v>-370964</v>
          </cell>
          <cell r="AH24">
            <v>-390083</v>
          </cell>
          <cell r="AM24">
            <v>-392279</v>
          </cell>
          <cell r="AR24">
            <v>-264604</v>
          </cell>
          <cell r="AW24">
            <v>-264254</v>
          </cell>
          <cell r="BB24">
            <v>-265474</v>
          </cell>
          <cell r="BG24">
            <v>-280437</v>
          </cell>
          <cell r="BL24">
            <v>-319321</v>
          </cell>
          <cell r="BQ24">
            <v>-345968</v>
          </cell>
          <cell r="BV24">
            <v>-375773</v>
          </cell>
          <cell r="CA24">
            <v>-369331</v>
          </cell>
          <cell r="CF24">
            <v>-394099</v>
          </cell>
          <cell r="CK24">
            <v>-415146</v>
          </cell>
          <cell r="CP24">
            <v>-428790</v>
          </cell>
          <cell r="CU24">
            <v>-425505</v>
          </cell>
          <cell r="CZ24">
            <v>-464166</v>
          </cell>
          <cell r="DE24">
            <v>-560122</v>
          </cell>
        </row>
        <row r="25">
          <cell r="B25" t="str">
            <v>Total operating expense (excl. D&amp;A)</v>
          </cell>
          <cell r="C25" t="str">
            <v>TOT_OPS_EXP</v>
          </cell>
          <cell r="D25" t="str">
            <v>JPY</v>
          </cell>
          <cell r="F25">
            <v>0</v>
          </cell>
          <cell r="G25">
            <v>-183940</v>
          </cell>
          <cell r="H25">
            <v>-187835</v>
          </cell>
          <cell r="I25">
            <v>-196701</v>
          </cell>
          <cell r="J25">
            <v>-209789</v>
          </cell>
          <cell r="K25">
            <v>-200728</v>
          </cell>
          <cell r="L25">
            <v>-296102</v>
          </cell>
          <cell r="M25">
            <v>-324135</v>
          </cell>
          <cell r="N25">
            <v>-305507</v>
          </cell>
          <cell r="O25">
            <v>-309575</v>
          </cell>
          <cell r="P25">
            <v>-303750</v>
          </cell>
          <cell r="S25">
            <v>-313154</v>
          </cell>
          <cell r="X25">
            <v>-327125</v>
          </cell>
          <cell r="AC25">
            <v>-354674</v>
          </cell>
          <cell r="AH25">
            <v>-372423</v>
          </cell>
          <cell r="AM25">
            <v>-375040</v>
          </cell>
          <cell r="AR25">
            <v>-252568</v>
          </cell>
          <cell r="AW25">
            <v>-252104</v>
          </cell>
          <cell r="BB25">
            <v>-252863</v>
          </cell>
          <cell r="BG25">
            <v>-268277</v>
          </cell>
          <cell r="BL25">
            <v>-306338</v>
          </cell>
          <cell r="BQ25">
            <v>-331567</v>
          </cell>
          <cell r="BV25">
            <v>-363837</v>
          </cell>
          <cell r="CA25">
            <v>-356992</v>
          </cell>
          <cell r="CF25">
            <v>-380940</v>
          </cell>
          <cell r="CK25">
            <v>-401888</v>
          </cell>
          <cell r="CP25">
            <v>-414958</v>
          </cell>
          <cell r="CU25">
            <v>-410579</v>
          </cell>
          <cell r="CZ25">
            <v>-444136</v>
          </cell>
          <cell r="DE25">
            <v>-537882</v>
          </cell>
        </row>
        <row r="26">
          <cell r="B26" t="str">
            <v>EBITDA</v>
          </cell>
          <cell r="C26" t="str">
            <v>EBITDA_CALC</v>
          </cell>
          <cell r="D26" t="str">
            <v>JPY</v>
          </cell>
          <cell r="F26">
            <v>0</v>
          </cell>
          <cell r="G26">
            <v>19346</v>
          </cell>
          <cell r="H26">
            <v>18166</v>
          </cell>
          <cell r="I26">
            <v>17637</v>
          </cell>
          <cell r="J26">
            <v>19686</v>
          </cell>
          <cell r="K26">
            <v>20996</v>
          </cell>
          <cell r="L26">
            <v>30605</v>
          </cell>
          <cell r="M26">
            <v>32571</v>
          </cell>
          <cell r="N26">
            <v>31379</v>
          </cell>
          <cell r="O26">
            <v>32932</v>
          </cell>
          <cell r="P26">
            <v>30906</v>
          </cell>
          <cell r="S26">
            <v>31469</v>
          </cell>
          <cell r="X26">
            <v>32780</v>
          </cell>
          <cell r="AC26">
            <v>37936</v>
          </cell>
          <cell r="AH26">
            <v>41514</v>
          </cell>
          <cell r="AM26">
            <v>37607</v>
          </cell>
          <cell r="AR26">
            <v>33121</v>
          </cell>
          <cell r="AW26">
            <v>31358</v>
          </cell>
          <cell r="BB26">
            <v>30375</v>
          </cell>
          <cell r="BG26">
            <v>31967</v>
          </cell>
          <cell r="BL26">
            <v>36829</v>
          </cell>
          <cell r="BQ26">
            <v>39772</v>
          </cell>
          <cell r="BV26">
            <v>44535</v>
          </cell>
          <cell r="CA26">
            <v>45182</v>
          </cell>
          <cell r="CF26">
            <v>49662</v>
          </cell>
          <cell r="CK26">
            <v>51677</v>
          </cell>
          <cell r="CP26">
            <v>53658</v>
          </cell>
          <cell r="CU26">
            <v>57540</v>
          </cell>
          <cell r="CZ26">
            <v>72304</v>
          </cell>
          <cell r="DE26">
            <v>81017</v>
          </cell>
        </row>
        <row r="27">
          <cell r="B27" t="str">
            <v>Depreciation</v>
          </cell>
          <cell r="C27" t="str">
            <v>DEPREC</v>
          </cell>
          <cell r="D27" t="str">
            <v>JPY</v>
          </cell>
          <cell r="F27">
            <v>0</v>
          </cell>
          <cell r="G27">
            <v>-8552</v>
          </cell>
          <cell r="H27">
            <v>-8552</v>
          </cell>
          <cell r="I27">
            <v>-8908</v>
          </cell>
          <cell r="J27">
            <v>-9636</v>
          </cell>
          <cell r="K27">
            <v>-9950</v>
          </cell>
          <cell r="L27">
            <v>-15919</v>
          </cell>
          <cell r="M27">
            <v>-17681</v>
          </cell>
          <cell r="N27">
            <v>-16437</v>
          </cell>
          <cell r="O27">
            <v>-15028</v>
          </cell>
          <cell r="P27">
            <v>-13847</v>
          </cell>
          <cell r="S27">
            <v>-13622</v>
          </cell>
          <cell r="X27">
            <v>-14223</v>
          </cell>
          <cell r="AC27">
            <v>-16290</v>
          </cell>
          <cell r="AH27">
            <v>-17660</v>
          </cell>
          <cell r="AM27">
            <v>-17239</v>
          </cell>
          <cell r="AR27">
            <v>-12036</v>
          </cell>
          <cell r="AW27">
            <v>-12150</v>
          </cell>
          <cell r="BB27">
            <v>-12611</v>
          </cell>
          <cell r="BG27">
            <v>-12160</v>
          </cell>
          <cell r="BL27">
            <v>-12983</v>
          </cell>
          <cell r="BQ27">
            <v>-12901</v>
          </cell>
          <cell r="BV27">
            <v>-10899</v>
          </cell>
          <cell r="CA27">
            <v>-11232</v>
          </cell>
          <cell r="CF27">
            <v>-12237</v>
          </cell>
          <cell r="CK27">
            <v>-12542</v>
          </cell>
          <cell r="CP27">
            <v>-13832</v>
          </cell>
          <cell r="CU27">
            <v>-14926</v>
          </cell>
          <cell r="CZ27">
            <v>-20030</v>
          </cell>
          <cell r="DE27">
            <v>-22240</v>
          </cell>
        </row>
        <row r="28">
          <cell r="B28" t="str">
            <v>Amortization</v>
          </cell>
          <cell r="C28" t="str">
            <v>GOODWILL_AMORT</v>
          </cell>
          <cell r="D28" t="str">
            <v>JPY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S28">
            <v>0</v>
          </cell>
          <cell r="X28">
            <v>0</v>
          </cell>
          <cell r="AC28">
            <v>0</v>
          </cell>
          <cell r="AH28">
            <v>0</v>
          </cell>
          <cell r="AM28">
            <v>0</v>
          </cell>
          <cell r="AR28">
            <v>0</v>
          </cell>
          <cell r="AW28">
            <v>0</v>
          </cell>
          <cell r="BB28">
            <v>0</v>
          </cell>
          <cell r="BG28">
            <v>0</v>
          </cell>
          <cell r="BL28">
            <v>0</v>
          </cell>
          <cell r="BQ28">
            <v>-1500</v>
          </cell>
          <cell r="BV28">
            <v>-1037</v>
          </cell>
          <cell r="CA28">
            <v>-1107</v>
          </cell>
          <cell r="CF28">
            <v>-922</v>
          </cell>
          <cell r="CK28">
            <v>-716</v>
          </cell>
          <cell r="CP28">
            <v>0</v>
          </cell>
          <cell r="CU28">
            <v>0</v>
          </cell>
          <cell r="CZ28">
            <v>0</v>
          </cell>
          <cell r="DE28">
            <v>0</v>
          </cell>
        </row>
        <row r="29">
          <cell r="B29" t="str">
            <v>EBIT, operating profit</v>
          </cell>
          <cell r="C29" t="str">
            <v>EBIT</v>
          </cell>
          <cell r="D29" t="str">
            <v>JPY</v>
          </cell>
          <cell r="F29">
            <v>0</v>
          </cell>
          <cell r="G29">
            <v>10794</v>
          </cell>
          <cell r="H29">
            <v>9614</v>
          </cell>
          <cell r="I29">
            <v>8729</v>
          </cell>
          <cell r="J29">
            <v>10050</v>
          </cell>
          <cell r="K29">
            <v>11046</v>
          </cell>
          <cell r="L29">
            <v>14686</v>
          </cell>
          <cell r="M29">
            <v>14890</v>
          </cell>
          <cell r="N29">
            <v>14942</v>
          </cell>
          <cell r="O29">
            <v>17904</v>
          </cell>
          <cell r="P29">
            <v>17059</v>
          </cell>
          <cell r="S29">
            <v>17847</v>
          </cell>
          <cell r="X29">
            <v>18557</v>
          </cell>
          <cell r="AC29">
            <v>21646</v>
          </cell>
          <cell r="AH29">
            <v>23854</v>
          </cell>
          <cell r="AM29">
            <v>20368</v>
          </cell>
          <cell r="AR29">
            <v>21085</v>
          </cell>
          <cell r="AW29">
            <v>19208</v>
          </cell>
          <cell r="BB29">
            <v>17764</v>
          </cell>
          <cell r="BG29">
            <v>19807</v>
          </cell>
          <cell r="BL29">
            <v>23846</v>
          </cell>
          <cell r="BQ29">
            <v>25371</v>
          </cell>
          <cell r="BV29">
            <v>32599</v>
          </cell>
          <cell r="CA29">
            <v>32843</v>
          </cell>
          <cell r="CF29">
            <v>36503</v>
          </cell>
          <cell r="CK29">
            <v>38419</v>
          </cell>
          <cell r="CP29">
            <v>39826</v>
          </cell>
          <cell r="CU29">
            <v>42614</v>
          </cell>
          <cell r="CZ29">
            <v>52274</v>
          </cell>
          <cell r="DE29">
            <v>58777</v>
          </cell>
        </row>
        <row r="30">
          <cell r="B30" t="str">
            <v>Interest income</v>
          </cell>
          <cell r="C30" t="str">
            <v>INT_INC_IND</v>
          </cell>
          <cell r="D30" t="str">
            <v>JPY</v>
          </cell>
          <cell r="F30">
            <v>0</v>
          </cell>
          <cell r="G30">
            <v>1324</v>
          </cell>
          <cell r="H30">
            <v>907</v>
          </cell>
          <cell r="I30">
            <v>844</v>
          </cell>
          <cell r="J30">
            <v>828</v>
          </cell>
          <cell r="K30">
            <v>837</v>
          </cell>
          <cell r="L30">
            <v>1086</v>
          </cell>
          <cell r="M30">
            <v>1298</v>
          </cell>
          <cell r="N30">
            <v>1080</v>
          </cell>
          <cell r="O30">
            <v>938</v>
          </cell>
          <cell r="P30">
            <v>789</v>
          </cell>
          <cell r="S30">
            <v>773</v>
          </cell>
          <cell r="X30">
            <v>851</v>
          </cell>
          <cell r="AC30">
            <v>1222</v>
          </cell>
          <cell r="AH30">
            <v>1301</v>
          </cell>
          <cell r="AM30">
            <v>964</v>
          </cell>
          <cell r="AR30">
            <v>747</v>
          </cell>
          <cell r="AW30">
            <v>812</v>
          </cell>
          <cell r="BB30">
            <v>721</v>
          </cell>
          <cell r="BG30">
            <v>929</v>
          </cell>
          <cell r="BL30">
            <v>1024</v>
          </cell>
          <cell r="BQ30">
            <v>898</v>
          </cell>
          <cell r="BV30">
            <v>880</v>
          </cell>
          <cell r="CA30">
            <v>1517</v>
          </cell>
          <cell r="CF30">
            <v>1244</v>
          </cell>
          <cell r="CK30">
            <v>1364</v>
          </cell>
          <cell r="CP30">
            <v>1236</v>
          </cell>
          <cell r="CU30">
            <v>1115</v>
          </cell>
          <cell r="CZ30">
            <v>10168</v>
          </cell>
          <cell r="DE30">
            <v>11911</v>
          </cell>
        </row>
        <row r="31">
          <cell r="B31" t="str">
            <v>Interest expense</v>
          </cell>
          <cell r="C31" t="str">
            <v>INT_EXP_IND</v>
          </cell>
          <cell r="D31" t="str">
            <v>JPY</v>
          </cell>
          <cell r="F31">
            <v>0</v>
          </cell>
          <cell r="G31">
            <v>-1880</v>
          </cell>
          <cell r="H31">
            <v>-1697</v>
          </cell>
          <cell r="I31">
            <v>-1434</v>
          </cell>
          <cell r="J31">
            <v>-1495</v>
          </cell>
          <cell r="K31">
            <v>-1199</v>
          </cell>
          <cell r="L31">
            <v>-1395</v>
          </cell>
          <cell r="M31">
            <v>-1527</v>
          </cell>
          <cell r="N31">
            <v>-1246</v>
          </cell>
          <cell r="O31">
            <v>-942</v>
          </cell>
          <cell r="P31">
            <v>-635</v>
          </cell>
          <cell r="S31">
            <v>-544</v>
          </cell>
          <cell r="X31">
            <v>-660</v>
          </cell>
          <cell r="AC31">
            <v>-1047</v>
          </cell>
          <cell r="AH31">
            <v>-1073</v>
          </cell>
          <cell r="AM31">
            <v>-1465</v>
          </cell>
          <cell r="AR31">
            <v>-1543</v>
          </cell>
          <cell r="AW31">
            <v>-1446</v>
          </cell>
          <cell r="BB31">
            <v>-1505</v>
          </cell>
          <cell r="BG31">
            <v>-1570</v>
          </cell>
          <cell r="BL31">
            <v>-1577</v>
          </cell>
          <cell r="BQ31">
            <v>-1137</v>
          </cell>
          <cell r="BV31">
            <v>-1067</v>
          </cell>
          <cell r="CA31">
            <v>-762</v>
          </cell>
          <cell r="CF31">
            <v>-304</v>
          </cell>
          <cell r="CK31">
            <v>-131</v>
          </cell>
          <cell r="CP31">
            <v>-464</v>
          </cell>
          <cell r="CU31">
            <v>-529</v>
          </cell>
          <cell r="CZ31">
            <v>-6869</v>
          </cell>
          <cell r="DE31">
            <v>-6739</v>
          </cell>
        </row>
        <row r="32">
          <cell r="B32" t="str">
            <v>Net interest income/(expense)</v>
          </cell>
          <cell r="C32" t="str">
            <v>NET_INT_EXP</v>
          </cell>
          <cell r="D32" t="str">
            <v>JPY</v>
          </cell>
          <cell r="F32">
            <v>0</v>
          </cell>
          <cell r="G32">
            <v>-556</v>
          </cell>
          <cell r="H32">
            <v>-790</v>
          </cell>
          <cell r="I32">
            <v>-590</v>
          </cell>
          <cell r="J32">
            <v>-667</v>
          </cell>
          <cell r="K32">
            <v>-362</v>
          </cell>
          <cell r="L32">
            <v>-309</v>
          </cell>
          <cell r="M32">
            <v>-229</v>
          </cell>
          <cell r="N32">
            <v>-166</v>
          </cell>
          <cell r="O32">
            <v>-4</v>
          </cell>
          <cell r="P32">
            <v>154</v>
          </cell>
          <cell r="S32">
            <v>229</v>
          </cell>
          <cell r="X32">
            <v>191</v>
          </cell>
          <cell r="AC32">
            <v>175</v>
          </cell>
          <cell r="AH32">
            <v>228</v>
          </cell>
          <cell r="AM32">
            <v>-501</v>
          </cell>
          <cell r="AR32">
            <v>-796</v>
          </cell>
          <cell r="AW32">
            <v>-634</v>
          </cell>
          <cell r="BB32">
            <v>-784</v>
          </cell>
          <cell r="BG32">
            <v>-641</v>
          </cell>
          <cell r="BL32">
            <v>-553</v>
          </cell>
          <cell r="BQ32">
            <v>-239</v>
          </cell>
          <cell r="BV32">
            <v>-187</v>
          </cell>
          <cell r="CA32">
            <v>755</v>
          </cell>
          <cell r="CF32">
            <v>940</v>
          </cell>
          <cell r="CK32">
            <v>1233</v>
          </cell>
          <cell r="CP32">
            <v>772</v>
          </cell>
          <cell r="CU32">
            <v>586</v>
          </cell>
          <cell r="CZ32">
            <v>3299</v>
          </cell>
          <cell r="DE32">
            <v>5172</v>
          </cell>
        </row>
        <row r="33">
          <cell r="B33" t="str">
            <v>Income/(loss) from unconsolidated subs &amp; associates</v>
          </cell>
          <cell r="C33" t="str">
            <v>ASSOCIATE</v>
          </cell>
          <cell r="D33" t="str">
            <v>JPY</v>
          </cell>
          <cell r="F33">
            <v>0</v>
          </cell>
          <cell r="G33">
            <v>996</v>
          </cell>
          <cell r="H33">
            <v>1225</v>
          </cell>
          <cell r="I33">
            <v>404</v>
          </cell>
          <cell r="J33">
            <v>845</v>
          </cell>
          <cell r="K33">
            <v>1252</v>
          </cell>
          <cell r="L33">
            <v>177</v>
          </cell>
          <cell r="M33">
            <v>177</v>
          </cell>
          <cell r="N33">
            <v>226</v>
          </cell>
          <cell r="O33">
            <v>-127</v>
          </cell>
          <cell r="P33">
            <v>444</v>
          </cell>
          <cell r="S33">
            <v>580</v>
          </cell>
          <cell r="X33">
            <v>716</v>
          </cell>
          <cell r="AC33">
            <v>620</v>
          </cell>
          <cell r="AH33">
            <v>406</v>
          </cell>
          <cell r="AM33">
            <v>69</v>
          </cell>
          <cell r="AR33">
            <v>500</v>
          </cell>
          <cell r="AW33">
            <v>19</v>
          </cell>
          <cell r="BB33">
            <v>232</v>
          </cell>
          <cell r="BG33">
            <v>695</v>
          </cell>
          <cell r="BL33">
            <v>1082</v>
          </cell>
          <cell r="BQ33">
            <v>1075</v>
          </cell>
          <cell r="BV33">
            <v>984</v>
          </cell>
          <cell r="CA33">
            <v>4</v>
          </cell>
          <cell r="CF33">
            <v>172</v>
          </cell>
          <cell r="CK33">
            <v>126</v>
          </cell>
          <cell r="CP33">
            <v>209</v>
          </cell>
          <cell r="CU33">
            <v>206</v>
          </cell>
          <cell r="CZ33">
            <v>249</v>
          </cell>
          <cell r="DE33">
            <v>254</v>
          </cell>
        </row>
        <row r="34">
          <cell r="B34" t="str">
            <v>Profit/(loss) on disposals of assets, pre-tax</v>
          </cell>
          <cell r="C34" t="str">
            <v>PROFIT_ON_DISP</v>
          </cell>
          <cell r="D34" t="str">
            <v>JPY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S34">
            <v>0</v>
          </cell>
          <cell r="X34">
            <v>0</v>
          </cell>
          <cell r="AC34">
            <v>0</v>
          </cell>
          <cell r="AH34">
            <v>0</v>
          </cell>
          <cell r="AM34">
            <v>0</v>
          </cell>
          <cell r="AR34">
            <v>0</v>
          </cell>
          <cell r="AW34">
            <v>0</v>
          </cell>
          <cell r="BB34">
            <v>0</v>
          </cell>
          <cell r="BG34">
            <v>0</v>
          </cell>
          <cell r="BL34">
            <v>0</v>
          </cell>
          <cell r="BQ34">
            <v>0</v>
          </cell>
          <cell r="BV34">
            <v>0</v>
          </cell>
          <cell r="CA34">
            <v>0</v>
          </cell>
          <cell r="CF34">
            <v>0</v>
          </cell>
          <cell r="CK34">
            <v>0</v>
          </cell>
          <cell r="CP34">
            <v>0</v>
          </cell>
          <cell r="CU34">
            <v>0</v>
          </cell>
          <cell r="CZ34">
            <v>0</v>
          </cell>
          <cell r="DE34">
            <v>0</v>
          </cell>
        </row>
        <row r="35">
          <cell r="B35" t="str">
            <v>Other non-ops income/(expense)</v>
          </cell>
          <cell r="C35" t="str">
            <v>OTH_COST_INC</v>
          </cell>
          <cell r="D35" t="str">
            <v>JPY</v>
          </cell>
          <cell r="F35">
            <v>0</v>
          </cell>
          <cell r="G35">
            <v>-3924</v>
          </cell>
          <cell r="H35">
            <v>-1262</v>
          </cell>
          <cell r="I35">
            <v>778</v>
          </cell>
          <cell r="J35">
            <v>-1790</v>
          </cell>
          <cell r="K35">
            <v>-1376</v>
          </cell>
          <cell r="L35">
            <v>-3329</v>
          </cell>
          <cell r="M35">
            <v>-5781</v>
          </cell>
          <cell r="N35">
            <v>-6026</v>
          </cell>
          <cell r="O35">
            <v>-562</v>
          </cell>
          <cell r="P35">
            <v>-1658</v>
          </cell>
          <cell r="S35">
            <v>-2320</v>
          </cell>
          <cell r="X35">
            <v>-2102</v>
          </cell>
          <cell r="AC35">
            <v>-1461</v>
          </cell>
          <cell r="AH35">
            <v>-1122</v>
          </cell>
          <cell r="AM35">
            <v>-3194</v>
          </cell>
          <cell r="AR35">
            <v>-5959</v>
          </cell>
          <cell r="AW35">
            <v>-5146</v>
          </cell>
          <cell r="BB35">
            <v>-1781</v>
          </cell>
          <cell r="BG35">
            <v>-2150</v>
          </cell>
          <cell r="BL35">
            <v>-2099</v>
          </cell>
          <cell r="BQ35">
            <v>-2385</v>
          </cell>
          <cell r="BV35">
            <v>-3143</v>
          </cell>
          <cell r="CA35">
            <v>-6523</v>
          </cell>
          <cell r="CF35">
            <v>-1616</v>
          </cell>
          <cell r="CK35">
            <v>-2183</v>
          </cell>
          <cell r="CP35">
            <v>-2877</v>
          </cell>
          <cell r="CU35">
            <v>-2887</v>
          </cell>
          <cell r="CZ35">
            <v>-1591</v>
          </cell>
          <cell r="DE35">
            <v>-3406</v>
          </cell>
        </row>
        <row r="36">
          <cell r="B36" t="str">
            <v>Pre-tax profit</v>
          </cell>
          <cell r="C36" t="str">
            <v>PT_PROF</v>
          </cell>
          <cell r="D36" t="str">
            <v>JPY</v>
          </cell>
          <cell r="F36">
            <v>0</v>
          </cell>
          <cell r="G36">
            <v>7310</v>
          </cell>
          <cell r="H36">
            <v>8787</v>
          </cell>
          <cell r="I36">
            <v>9321</v>
          </cell>
          <cell r="J36">
            <v>8438</v>
          </cell>
          <cell r="K36">
            <v>10560</v>
          </cell>
          <cell r="L36">
            <v>11225</v>
          </cell>
          <cell r="M36">
            <v>9057</v>
          </cell>
          <cell r="N36">
            <v>8976</v>
          </cell>
          <cell r="O36">
            <v>17211</v>
          </cell>
          <cell r="P36">
            <v>15999</v>
          </cell>
          <cell r="S36">
            <v>16336</v>
          </cell>
          <cell r="X36">
            <v>17362</v>
          </cell>
          <cell r="AC36">
            <v>20980</v>
          </cell>
          <cell r="AH36">
            <v>23366</v>
          </cell>
          <cell r="AM36">
            <v>16742</v>
          </cell>
          <cell r="AR36">
            <v>14830</v>
          </cell>
          <cell r="AW36">
            <v>13447</v>
          </cell>
          <cell r="BB36">
            <v>15431</v>
          </cell>
          <cell r="BG36">
            <v>17711</v>
          </cell>
          <cell r="BL36">
            <v>22276</v>
          </cell>
          <cell r="BQ36">
            <v>23822</v>
          </cell>
          <cell r="BV36">
            <v>30253</v>
          </cell>
          <cell r="CA36">
            <v>27079</v>
          </cell>
          <cell r="CF36">
            <v>35999</v>
          </cell>
          <cell r="CK36">
            <v>37595</v>
          </cell>
          <cell r="CP36">
            <v>37930</v>
          </cell>
          <cell r="CU36">
            <v>40519</v>
          </cell>
          <cell r="CZ36">
            <v>54231</v>
          </cell>
          <cell r="DE36">
            <v>60797</v>
          </cell>
        </row>
        <row r="37">
          <cell r="A37" t="str">
            <v>Additional Income Statement Items</v>
          </cell>
        </row>
        <row r="38">
          <cell r="B38" t="str">
            <v>Contribution margin ratio</v>
          </cell>
          <cell r="C38" t="str">
            <v>CONTRIB_MARGIN_RATIO</v>
          </cell>
          <cell r="D38" t="str">
            <v>JPY</v>
          </cell>
        </row>
        <row r="39">
          <cell r="B39" t="str">
            <v>Organic sales growth (excl. acquisitions)</v>
          </cell>
          <cell r="C39" t="str">
            <v>ORG_REV_GRTH</v>
          </cell>
          <cell r="BG39">
            <v>0</v>
          </cell>
          <cell r="BL39">
            <v>0</v>
          </cell>
        </row>
        <row r="40">
          <cell r="B40" t="str">
            <v>Operating lease cost</v>
          </cell>
          <cell r="C40" t="str">
            <v>LEASE_PAY</v>
          </cell>
          <cell r="D40" t="str">
            <v>JPY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S40">
            <v>0</v>
          </cell>
          <cell r="X40">
            <v>0</v>
          </cell>
          <cell r="AC40">
            <v>0</v>
          </cell>
          <cell r="AH40">
            <v>0</v>
          </cell>
          <cell r="AM40">
            <v>0</v>
          </cell>
          <cell r="AR40">
            <v>0</v>
          </cell>
          <cell r="AW40">
            <v>0</v>
          </cell>
          <cell r="BB40">
            <v>0</v>
          </cell>
          <cell r="BG40">
            <v>0</v>
          </cell>
          <cell r="BL40">
            <v>0</v>
          </cell>
          <cell r="BQ40">
            <v>0</v>
          </cell>
          <cell r="BV40">
            <v>0</v>
          </cell>
          <cell r="CA40">
            <v>0</v>
          </cell>
          <cell r="CF40">
            <v>0</v>
          </cell>
          <cell r="CK40">
            <v>0</v>
          </cell>
          <cell r="CP40">
            <v>0</v>
          </cell>
          <cell r="CU40">
            <v>0</v>
          </cell>
          <cell r="CZ40">
            <v>0</v>
          </cell>
          <cell r="DE40">
            <v>0</v>
          </cell>
        </row>
        <row r="41">
          <cell r="B41" t="str">
            <v>Lease payments (deemed interest portion)</v>
          </cell>
          <cell r="C41" t="str">
            <v>LEASE_DEEM_INT</v>
          </cell>
          <cell r="D41" t="str">
            <v>JPY</v>
          </cell>
        </row>
        <row r="42">
          <cell r="B42" t="str">
            <v>Lease payments (deemed depreciation portion)</v>
          </cell>
          <cell r="C42" t="str">
            <v>LEASE_DEEM_DEPR</v>
          </cell>
          <cell r="D42" t="str">
            <v>JPY</v>
          </cell>
        </row>
        <row r="43">
          <cell r="B43" t="str">
            <v>Gross interest charge</v>
          </cell>
          <cell r="C43" t="str">
            <v>NET_INT_CH</v>
          </cell>
          <cell r="D43" t="str">
            <v>JPY</v>
          </cell>
          <cell r="F43">
            <v>0</v>
          </cell>
          <cell r="G43">
            <v>-1880</v>
          </cell>
          <cell r="H43">
            <v>-1697</v>
          </cell>
          <cell r="I43">
            <v>-1434</v>
          </cell>
          <cell r="J43">
            <v>-1495</v>
          </cell>
          <cell r="K43">
            <v>-1199</v>
          </cell>
          <cell r="L43">
            <v>-1395</v>
          </cell>
          <cell r="M43">
            <v>-1527</v>
          </cell>
          <cell r="N43">
            <v>-1246</v>
          </cell>
          <cell r="O43">
            <v>-942</v>
          </cell>
          <cell r="P43">
            <v>-635</v>
          </cell>
          <cell r="S43">
            <v>-544</v>
          </cell>
          <cell r="X43">
            <v>-660</v>
          </cell>
          <cell r="AC43">
            <v>-1047</v>
          </cell>
          <cell r="AH43">
            <v>-1073</v>
          </cell>
          <cell r="AM43">
            <v>-1465</v>
          </cell>
          <cell r="AR43">
            <v>-1543</v>
          </cell>
          <cell r="AW43">
            <v>-1446</v>
          </cell>
          <cell r="BB43">
            <v>-1505</v>
          </cell>
          <cell r="BG43">
            <v>-1570</v>
          </cell>
          <cell r="BL43">
            <v>-1577</v>
          </cell>
          <cell r="BQ43">
            <v>-1137</v>
          </cell>
          <cell r="BV43">
            <v>-1067</v>
          </cell>
          <cell r="CA43">
            <v>-762</v>
          </cell>
          <cell r="CF43">
            <v>-304</v>
          </cell>
          <cell r="CK43">
            <v>-131</v>
          </cell>
          <cell r="CP43">
            <v>-464</v>
          </cell>
          <cell r="CU43">
            <v>-529</v>
          </cell>
          <cell r="CZ43">
            <v>-6869</v>
          </cell>
          <cell r="DE43">
            <v>-6739</v>
          </cell>
        </row>
        <row r="44">
          <cell r="B44" t="str">
            <v>Income from associates (operating)</v>
          </cell>
          <cell r="C44" t="str">
            <v>ASSOCIATE_OP</v>
          </cell>
          <cell r="D44" t="str">
            <v>JPY</v>
          </cell>
        </row>
        <row r="45">
          <cell r="B45" t="str">
            <v>SG&amp;A, selling, general and admin. expense</v>
          </cell>
          <cell r="C45" t="str">
            <v>SGA_JPN</v>
          </cell>
          <cell r="D45" t="str">
            <v>JPY</v>
          </cell>
          <cell r="F45">
            <v>0</v>
          </cell>
          <cell r="G45">
            <v>-72836</v>
          </cell>
          <cell r="H45">
            <v>-75472</v>
          </cell>
          <cell r="I45">
            <v>-79775</v>
          </cell>
          <cell r="J45">
            <v>-83805</v>
          </cell>
          <cell r="K45">
            <v>-80556</v>
          </cell>
          <cell r="L45">
            <v>-124203</v>
          </cell>
          <cell r="M45">
            <v>-137405</v>
          </cell>
          <cell r="N45">
            <v>-125963</v>
          </cell>
          <cell r="O45">
            <v>-119844</v>
          </cell>
          <cell r="P45">
            <v>-117316</v>
          </cell>
          <cell r="S45">
            <v>-119500</v>
          </cell>
          <cell r="X45">
            <v>-124373</v>
          </cell>
          <cell r="AC45">
            <v>-133396</v>
          </cell>
          <cell r="AH45">
            <v>-139736</v>
          </cell>
          <cell r="AM45">
            <v>-137736</v>
          </cell>
          <cell r="AR45">
            <v>-97680</v>
          </cell>
          <cell r="AW45">
            <v>-96107</v>
          </cell>
          <cell r="BB45">
            <v>-96805</v>
          </cell>
          <cell r="BG45">
            <v>-107134</v>
          </cell>
          <cell r="BL45">
            <v>-118694.76687145515</v>
          </cell>
          <cell r="BQ45">
            <v>-120590</v>
          </cell>
          <cell r="BV45">
            <v>-127558</v>
          </cell>
          <cell r="CA45">
            <v>-126988</v>
          </cell>
          <cell r="CF45">
            <v>-133673</v>
          </cell>
          <cell r="CK45">
            <v>-137341</v>
          </cell>
          <cell r="CP45">
            <v>-141812</v>
          </cell>
          <cell r="CU45">
            <v>-140216</v>
          </cell>
          <cell r="CZ45">
            <v>-126555</v>
          </cell>
          <cell r="DE45">
            <v>-145648</v>
          </cell>
        </row>
        <row r="46">
          <cell r="B46" t="str">
            <v>Gross profit</v>
          </cell>
          <cell r="C46" t="str">
            <v>GP_JPN</v>
          </cell>
          <cell r="D46" t="str">
            <v>JPY</v>
          </cell>
          <cell r="F46">
            <v>0</v>
          </cell>
          <cell r="G46">
            <v>83630</v>
          </cell>
          <cell r="H46">
            <v>85086</v>
          </cell>
          <cell r="I46">
            <v>88504</v>
          </cell>
          <cell r="J46">
            <v>93855</v>
          </cell>
          <cell r="K46">
            <v>91602</v>
          </cell>
          <cell r="L46">
            <v>138890</v>
          </cell>
          <cell r="M46">
            <v>152295</v>
          </cell>
          <cell r="N46">
            <v>140906</v>
          </cell>
          <cell r="O46">
            <v>137749</v>
          </cell>
          <cell r="P46">
            <v>134375</v>
          </cell>
          <cell r="S46">
            <v>137349</v>
          </cell>
          <cell r="X46">
            <v>142931</v>
          </cell>
          <cell r="AC46">
            <v>155043</v>
          </cell>
          <cell r="AH46">
            <v>163591</v>
          </cell>
          <cell r="AM46">
            <v>158106</v>
          </cell>
          <cell r="AR46">
            <v>118766</v>
          </cell>
          <cell r="AW46">
            <v>115316</v>
          </cell>
          <cell r="BB46">
            <v>114570</v>
          </cell>
          <cell r="BG46">
            <v>123215</v>
          </cell>
          <cell r="BL46">
            <v>138251</v>
          </cell>
          <cell r="BQ46">
            <v>145961</v>
          </cell>
          <cell r="BV46">
            <v>160157</v>
          </cell>
          <cell r="CA46">
            <v>159831</v>
          </cell>
          <cell r="CF46">
            <v>170176</v>
          </cell>
          <cell r="CK46">
            <v>175760</v>
          </cell>
          <cell r="CP46">
            <v>181638</v>
          </cell>
          <cell r="CU46">
            <v>182830</v>
          </cell>
          <cell r="CZ46">
            <v>178829</v>
          </cell>
          <cell r="DE46">
            <v>204425</v>
          </cell>
        </row>
        <row r="47">
          <cell r="B47" t="str">
            <v>EBITDA adjustment</v>
          </cell>
          <cell r="C47" t="str">
            <v>EBITDA_ADJ</v>
          </cell>
          <cell r="D47" t="str">
            <v>JPY</v>
          </cell>
        </row>
        <row r="48">
          <cell r="B48" t="str">
            <v>EBITDA</v>
          </cell>
          <cell r="C48" t="str">
            <v>EBITDA_JPN</v>
          </cell>
          <cell r="D48" t="str">
            <v>JPY</v>
          </cell>
          <cell r="F48">
            <v>0</v>
          </cell>
          <cell r="G48">
            <v>19346</v>
          </cell>
          <cell r="H48">
            <v>18166</v>
          </cell>
          <cell r="I48">
            <v>17637</v>
          </cell>
          <cell r="J48">
            <v>19686</v>
          </cell>
          <cell r="K48">
            <v>20996</v>
          </cell>
          <cell r="L48">
            <v>30605</v>
          </cell>
          <cell r="M48">
            <v>32571</v>
          </cell>
          <cell r="N48">
            <v>31379</v>
          </cell>
          <cell r="O48">
            <v>32932</v>
          </cell>
          <cell r="P48">
            <v>30906</v>
          </cell>
          <cell r="S48">
            <v>31469</v>
          </cell>
          <cell r="X48">
            <v>32780</v>
          </cell>
          <cell r="AC48">
            <v>37936</v>
          </cell>
          <cell r="AH48">
            <v>41514</v>
          </cell>
          <cell r="AM48">
            <v>37607</v>
          </cell>
          <cell r="AR48">
            <v>33121</v>
          </cell>
          <cell r="AW48">
            <v>31358</v>
          </cell>
          <cell r="BB48">
            <v>30375</v>
          </cell>
          <cell r="BG48">
            <v>31967</v>
          </cell>
          <cell r="BL48">
            <v>36829</v>
          </cell>
          <cell r="BQ48">
            <v>39772</v>
          </cell>
          <cell r="BV48">
            <v>44535</v>
          </cell>
          <cell r="CA48">
            <v>45182</v>
          </cell>
          <cell r="CF48">
            <v>49662</v>
          </cell>
          <cell r="CK48">
            <v>51677</v>
          </cell>
          <cell r="CP48">
            <v>53658</v>
          </cell>
          <cell r="CU48">
            <v>57540</v>
          </cell>
          <cell r="CZ48">
            <v>72304</v>
          </cell>
          <cell r="DE48">
            <v>81017</v>
          </cell>
        </row>
        <row r="49">
          <cell r="B49" t="str">
            <v>Income/(loss) from unconsolidated subs &amp; associates</v>
          </cell>
          <cell r="C49" t="str">
            <v>ASSOCIATE_JPN</v>
          </cell>
          <cell r="D49" t="str">
            <v>JPY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177</v>
          </cell>
          <cell r="M49">
            <v>177</v>
          </cell>
          <cell r="N49">
            <v>226</v>
          </cell>
          <cell r="O49">
            <v>-127</v>
          </cell>
          <cell r="P49">
            <v>444</v>
          </cell>
          <cell r="S49">
            <v>580</v>
          </cell>
          <cell r="X49">
            <v>716</v>
          </cell>
          <cell r="AC49">
            <v>620</v>
          </cell>
          <cell r="AH49">
            <v>406</v>
          </cell>
          <cell r="AM49">
            <v>69</v>
          </cell>
          <cell r="AR49">
            <v>500</v>
          </cell>
          <cell r="AW49">
            <v>19</v>
          </cell>
          <cell r="BB49">
            <v>232</v>
          </cell>
          <cell r="BG49">
            <v>695</v>
          </cell>
          <cell r="BL49">
            <v>1082</v>
          </cell>
          <cell r="BQ49">
            <v>1075</v>
          </cell>
          <cell r="BV49">
            <v>984</v>
          </cell>
          <cell r="CA49">
            <v>0</v>
          </cell>
          <cell r="CF49">
            <v>0</v>
          </cell>
          <cell r="CK49">
            <v>0</v>
          </cell>
          <cell r="CP49">
            <v>0</v>
          </cell>
          <cell r="CU49">
            <v>0</v>
          </cell>
          <cell r="CZ49">
            <v>0</v>
          </cell>
          <cell r="DE49">
            <v>0</v>
          </cell>
        </row>
        <row r="50">
          <cell r="B50" t="str">
            <v>Income/(loss) from unconsolidated subs &amp; associates (SEC)</v>
          </cell>
          <cell r="C50" t="str">
            <v>ASSOCIATE_SEC_JPN</v>
          </cell>
          <cell r="D50" t="str">
            <v>JPY</v>
          </cell>
          <cell r="F50">
            <v>0</v>
          </cell>
          <cell r="G50">
            <v>996</v>
          </cell>
          <cell r="H50">
            <v>1225</v>
          </cell>
          <cell r="I50">
            <v>404</v>
          </cell>
          <cell r="J50">
            <v>845</v>
          </cell>
          <cell r="K50">
            <v>1252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>
            <v>0</v>
          </cell>
          <cell r="X50">
            <v>0</v>
          </cell>
          <cell r="AC50">
            <v>0</v>
          </cell>
          <cell r="AH50">
            <v>0</v>
          </cell>
          <cell r="AM50">
            <v>0</v>
          </cell>
          <cell r="AR50">
            <v>0</v>
          </cell>
          <cell r="AW50">
            <v>0</v>
          </cell>
          <cell r="BB50">
            <v>0</v>
          </cell>
          <cell r="BG50">
            <v>0</v>
          </cell>
          <cell r="BL50">
            <v>0</v>
          </cell>
          <cell r="BQ50">
            <v>0</v>
          </cell>
          <cell r="BV50">
            <v>0</v>
          </cell>
          <cell r="CA50">
            <v>4</v>
          </cell>
          <cell r="CF50">
            <v>172</v>
          </cell>
          <cell r="CK50">
            <v>126</v>
          </cell>
          <cell r="CP50">
            <v>209</v>
          </cell>
          <cell r="CU50">
            <v>206</v>
          </cell>
          <cell r="CZ50">
            <v>249</v>
          </cell>
          <cell r="DE50">
            <v>254</v>
          </cell>
        </row>
        <row r="51">
          <cell r="B51" t="str">
            <v>Other non-operating income/(expense)</v>
          </cell>
          <cell r="C51" t="str">
            <v>OTH_NOP_INC_EXP_JPN</v>
          </cell>
          <cell r="D51" t="str">
            <v>JPY</v>
          </cell>
          <cell r="F51">
            <v>0</v>
          </cell>
          <cell r="G51">
            <v>-1751</v>
          </cell>
          <cell r="H51">
            <v>-954</v>
          </cell>
          <cell r="I51">
            <v>-665</v>
          </cell>
          <cell r="J51">
            <v>-1183</v>
          </cell>
          <cell r="K51">
            <v>-362</v>
          </cell>
          <cell r="L51">
            <v>-1643</v>
          </cell>
          <cell r="M51">
            <v>-1482</v>
          </cell>
          <cell r="N51">
            <v>-1819</v>
          </cell>
          <cell r="O51">
            <v>-2133</v>
          </cell>
          <cell r="P51">
            <v>-2229</v>
          </cell>
          <cell r="S51">
            <v>-2007</v>
          </cell>
          <cell r="X51">
            <v>-2114</v>
          </cell>
          <cell r="AC51">
            <v>-1458</v>
          </cell>
          <cell r="AH51">
            <v>-2100</v>
          </cell>
          <cell r="AM51">
            <v>-1970</v>
          </cell>
          <cell r="AR51">
            <v>-1653</v>
          </cell>
          <cell r="AW51">
            <v>-1842</v>
          </cell>
          <cell r="BB51">
            <v>-1970</v>
          </cell>
          <cell r="BG51">
            <v>-1161</v>
          </cell>
          <cell r="BL51">
            <v>-1693</v>
          </cell>
          <cell r="BQ51">
            <v>-1843</v>
          </cell>
          <cell r="BV51">
            <v>-2367</v>
          </cell>
          <cell r="CA51">
            <v>-1561</v>
          </cell>
          <cell r="CF51">
            <v>-1458</v>
          </cell>
          <cell r="CK51">
            <v>-1727</v>
          </cell>
          <cell r="CP51">
            <v>-1520</v>
          </cell>
          <cell r="CU51">
            <v>-1736</v>
          </cell>
          <cell r="CZ51">
            <v>-55573</v>
          </cell>
          <cell r="DE51">
            <v>-63949</v>
          </cell>
        </row>
        <row r="52">
          <cell r="B52" t="str">
            <v>Extraordinary income</v>
          </cell>
          <cell r="C52" t="str">
            <v>EXTRA_INC_JPN</v>
          </cell>
          <cell r="D52" t="str">
            <v>JPY</v>
          </cell>
          <cell r="F52">
            <v>0</v>
          </cell>
          <cell r="G52">
            <v>384</v>
          </cell>
          <cell r="H52">
            <v>4600</v>
          </cell>
          <cell r="I52">
            <v>3034</v>
          </cell>
          <cell r="J52">
            <v>237</v>
          </cell>
          <cell r="K52">
            <v>424</v>
          </cell>
          <cell r="L52">
            <v>6203</v>
          </cell>
          <cell r="M52">
            <v>6675</v>
          </cell>
          <cell r="N52">
            <v>957</v>
          </cell>
          <cell r="O52">
            <v>4502</v>
          </cell>
          <cell r="P52">
            <v>679</v>
          </cell>
          <cell r="S52">
            <v>624</v>
          </cell>
          <cell r="X52">
            <v>3931</v>
          </cell>
          <cell r="AC52">
            <v>1375</v>
          </cell>
          <cell r="AH52">
            <v>7850</v>
          </cell>
          <cell r="AM52">
            <v>4244</v>
          </cell>
          <cell r="AR52">
            <v>412</v>
          </cell>
          <cell r="AW52">
            <v>2307</v>
          </cell>
          <cell r="BB52">
            <v>1865</v>
          </cell>
          <cell r="BG52">
            <v>1891</v>
          </cell>
          <cell r="BL52">
            <v>8973</v>
          </cell>
          <cell r="BQ52">
            <v>3427</v>
          </cell>
          <cell r="BV52">
            <v>21</v>
          </cell>
          <cell r="CA52">
            <v>213</v>
          </cell>
          <cell r="CF52">
            <v>3981</v>
          </cell>
          <cell r="CK52">
            <v>2714</v>
          </cell>
          <cell r="CP52">
            <v>217</v>
          </cell>
          <cell r="CU52">
            <v>1095</v>
          </cell>
          <cell r="CZ52">
            <v>0</v>
          </cell>
          <cell r="DE52">
            <v>0</v>
          </cell>
        </row>
        <row r="53">
          <cell r="B53" t="str">
            <v>Extraordinary expense</v>
          </cell>
          <cell r="C53" t="str">
            <v>EXTRA_EXP_JPN</v>
          </cell>
          <cell r="D53" t="str">
            <v>JPY</v>
          </cell>
          <cell r="F53">
            <v>0</v>
          </cell>
          <cell r="G53">
            <v>-1561</v>
          </cell>
          <cell r="H53">
            <v>-3683</v>
          </cell>
          <cell r="I53">
            <v>-1187</v>
          </cell>
          <cell r="J53">
            <v>0</v>
          </cell>
          <cell r="K53">
            <v>-186</v>
          </cell>
          <cell r="L53">
            <v>-7889</v>
          </cell>
          <cell r="M53">
            <v>-10975</v>
          </cell>
          <cell r="N53">
            <v>-5165</v>
          </cell>
          <cell r="O53">
            <v>-2931</v>
          </cell>
          <cell r="P53">
            <v>-107</v>
          </cell>
          <cell r="S53">
            <v>-938</v>
          </cell>
          <cell r="X53">
            <v>-3918</v>
          </cell>
          <cell r="AC53">
            <v>-1377</v>
          </cell>
          <cell r="AH53">
            <v>-6872</v>
          </cell>
          <cell r="AM53">
            <v>-5469</v>
          </cell>
          <cell r="AR53">
            <v>-4718</v>
          </cell>
          <cell r="AW53">
            <v>-5610</v>
          </cell>
          <cell r="BB53">
            <v>-1676</v>
          </cell>
          <cell r="BG53">
            <v>-2889</v>
          </cell>
          <cell r="BL53">
            <v>-9377</v>
          </cell>
          <cell r="BQ53">
            <v>-3969</v>
          </cell>
          <cell r="BV53">
            <v>-797</v>
          </cell>
          <cell r="CA53">
            <v>-5170</v>
          </cell>
          <cell r="CF53">
            <v>-3967</v>
          </cell>
          <cell r="CK53">
            <v>-3044</v>
          </cell>
          <cell r="CP53">
            <v>-1365</v>
          </cell>
          <cell r="CU53">
            <v>-2040</v>
          </cell>
          <cell r="CZ53">
            <v>0</v>
          </cell>
          <cell r="DE53">
            <v>0</v>
          </cell>
        </row>
        <row r="54">
          <cell r="B54" t="str">
            <v>Pre-tax profit</v>
          </cell>
          <cell r="C54" t="str">
            <v>PTP_JPN</v>
          </cell>
          <cell r="D54" t="str">
            <v>JPY</v>
          </cell>
          <cell r="F54">
            <v>0</v>
          </cell>
          <cell r="G54">
            <v>7310</v>
          </cell>
          <cell r="H54">
            <v>8787</v>
          </cell>
          <cell r="I54">
            <v>9321</v>
          </cell>
          <cell r="J54">
            <v>8438</v>
          </cell>
          <cell r="K54">
            <v>10560</v>
          </cell>
          <cell r="L54">
            <v>11225</v>
          </cell>
          <cell r="M54">
            <v>9057</v>
          </cell>
          <cell r="N54">
            <v>8976</v>
          </cell>
          <cell r="O54">
            <v>17211</v>
          </cell>
          <cell r="P54">
            <v>15999</v>
          </cell>
          <cell r="S54">
            <v>16336</v>
          </cell>
          <cell r="X54">
            <v>17362</v>
          </cell>
          <cell r="AC54">
            <v>20980</v>
          </cell>
          <cell r="AH54">
            <v>23366</v>
          </cell>
          <cell r="AM54">
            <v>16742</v>
          </cell>
          <cell r="AR54">
            <v>14830</v>
          </cell>
          <cell r="AW54">
            <v>13447</v>
          </cell>
          <cell r="BB54">
            <v>15431</v>
          </cell>
          <cell r="BG54">
            <v>17711</v>
          </cell>
          <cell r="BL54">
            <v>22276</v>
          </cell>
          <cell r="BQ54">
            <v>23822</v>
          </cell>
          <cell r="BV54">
            <v>30253</v>
          </cell>
          <cell r="CA54">
            <v>27079</v>
          </cell>
          <cell r="CF54">
            <v>35999</v>
          </cell>
          <cell r="CK54">
            <v>37595</v>
          </cell>
          <cell r="CP54">
            <v>37930</v>
          </cell>
          <cell r="CU54">
            <v>40519</v>
          </cell>
          <cell r="CZ54">
            <v>54231</v>
          </cell>
          <cell r="DE54">
            <v>60797</v>
          </cell>
        </row>
        <row r="55">
          <cell r="B55" t="str">
            <v>NI impact from a 10% reporting currency depreciation vs USD</v>
          </cell>
          <cell r="C55" t="str">
            <v>FX_USD_NI_SENSITIVITY</v>
          </cell>
          <cell r="D55" t="str">
            <v>JPY</v>
          </cell>
        </row>
        <row r="56">
          <cell r="B56" t="str">
            <v>NI impact from a 10% reporting currency depreciation vs EUR</v>
          </cell>
          <cell r="C56" t="str">
            <v>FX_EUR_NI_SENSITIVITY</v>
          </cell>
          <cell r="D56" t="str">
            <v>JPY</v>
          </cell>
        </row>
        <row r="57">
          <cell r="B57" t="str">
            <v>Depreciation ROU assets   (applicable to IFRS cos.)</v>
          </cell>
          <cell r="C57" t="str">
            <v>DEPR_ROU_ASSETS</v>
          </cell>
          <cell r="D57" t="str">
            <v>JPY</v>
          </cell>
        </row>
        <row r="58">
          <cell r="B58" t="str">
            <v>Lease interest charge  (applicable to IFRS cos.)</v>
          </cell>
          <cell r="C58" t="str">
            <v>LEASE_INT_CHG</v>
          </cell>
          <cell r="D58" t="str">
            <v>JPY</v>
          </cell>
        </row>
        <row r="59">
          <cell r="B59" t="str">
            <v>Lease standard adopted (US GAAP ASC 842/ IFRS 16)</v>
          </cell>
          <cell r="C59" t="str">
            <v>LEASE_ADOPT</v>
          </cell>
        </row>
        <row r="60">
          <cell r="A60" t="str">
            <v>Balance Sheet</v>
          </cell>
        </row>
        <row r="61">
          <cell r="B61" t="str">
            <v>Cash &amp; cash equivalents</v>
          </cell>
          <cell r="C61" t="str">
            <v>CASH_EQ</v>
          </cell>
          <cell r="D61" t="str">
            <v>JPY</v>
          </cell>
          <cell r="F61">
            <v>0</v>
          </cell>
          <cell r="G61">
            <v>40673</v>
          </cell>
          <cell r="H61">
            <v>28638</v>
          </cell>
          <cell r="I61">
            <v>35372</v>
          </cell>
          <cell r="J61">
            <v>21478</v>
          </cell>
          <cell r="K61">
            <v>23553</v>
          </cell>
          <cell r="L61">
            <v>28987</v>
          </cell>
          <cell r="M61">
            <v>27801</v>
          </cell>
          <cell r="N61">
            <v>32835</v>
          </cell>
          <cell r="O61">
            <v>34694</v>
          </cell>
          <cell r="P61">
            <v>25679</v>
          </cell>
          <cell r="S61">
            <v>20664</v>
          </cell>
          <cell r="X61">
            <v>36487</v>
          </cell>
          <cell r="AC61">
            <v>24505</v>
          </cell>
          <cell r="AH61">
            <v>34168</v>
          </cell>
          <cell r="AM61">
            <v>28985</v>
          </cell>
          <cell r="AR61">
            <v>26798</v>
          </cell>
          <cell r="AW61">
            <v>30378</v>
          </cell>
          <cell r="BB61">
            <v>48072</v>
          </cell>
          <cell r="BG61">
            <v>30729</v>
          </cell>
          <cell r="BL61">
            <v>28695</v>
          </cell>
          <cell r="BQ61">
            <v>34838</v>
          </cell>
          <cell r="BV61">
            <v>36529</v>
          </cell>
          <cell r="CA61">
            <v>46481</v>
          </cell>
          <cell r="CF61">
            <v>25088</v>
          </cell>
          <cell r="CK61">
            <v>30162</v>
          </cell>
          <cell r="CP61">
            <v>30088</v>
          </cell>
          <cell r="CU61">
            <v>55678</v>
          </cell>
          <cell r="CZ61">
            <v>79229</v>
          </cell>
          <cell r="DE61">
            <v>99347</v>
          </cell>
        </row>
        <row r="62">
          <cell r="B62" t="str">
            <v>Accounts receivable</v>
          </cell>
          <cell r="C62" t="str">
            <v>DEBTORS</v>
          </cell>
          <cell r="D62" t="str">
            <v>JPY</v>
          </cell>
          <cell r="F62">
            <v>0</v>
          </cell>
          <cell r="G62">
            <v>43969</v>
          </cell>
          <cell r="H62">
            <v>43142</v>
          </cell>
          <cell r="I62">
            <v>43323</v>
          </cell>
          <cell r="J62">
            <v>44968</v>
          </cell>
          <cell r="K62">
            <v>44515</v>
          </cell>
          <cell r="L62">
            <v>50134</v>
          </cell>
          <cell r="M62">
            <v>38746</v>
          </cell>
          <cell r="N62">
            <v>40512</v>
          </cell>
          <cell r="O62">
            <v>39918</v>
          </cell>
          <cell r="P62">
            <v>39460</v>
          </cell>
          <cell r="S62">
            <v>42916</v>
          </cell>
          <cell r="X62">
            <v>43866</v>
          </cell>
          <cell r="AC62">
            <v>49689</v>
          </cell>
          <cell r="AH62">
            <v>48210</v>
          </cell>
          <cell r="AM62">
            <v>39898</v>
          </cell>
          <cell r="AR62">
            <v>40907</v>
          </cell>
          <cell r="AW62">
            <v>38608</v>
          </cell>
          <cell r="BB62">
            <v>42051</v>
          </cell>
          <cell r="BG62">
            <v>45291</v>
          </cell>
          <cell r="BL62">
            <v>46948</v>
          </cell>
          <cell r="BQ62">
            <v>49719</v>
          </cell>
          <cell r="BV62">
            <v>51525</v>
          </cell>
          <cell r="CA62">
            <v>54447</v>
          </cell>
          <cell r="CF62">
            <v>57953</v>
          </cell>
          <cell r="CK62">
            <v>60002</v>
          </cell>
          <cell r="CP62">
            <v>59953</v>
          </cell>
          <cell r="CU62">
            <v>61074</v>
          </cell>
          <cell r="CZ62">
            <v>69407</v>
          </cell>
          <cell r="DE62">
            <v>75070</v>
          </cell>
        </row>
        <row r="63">
          <cell r="B63" t="str">
            <v>Inventory</v>
          </cell>
          <cell r="C63" t="str">
            <v>STOCKS</v>
          </cell>
          <cell r="D63" t="str">
            <v>JPY</v>
          </cell>
          <cell r="F63">
            <v>0</v>
          </cell>
          <cell r="G63">
            <v>19258</v>
          </cell>
          <cell r="H63">
            <v>20441</v>
          </cell>
          <cell r="I63">
            <v>23054</v>
          </cell>
          <cell r="J63">
            <v>24341</v>
          </cell>
          <cell r="K63">
            <v>23592</v>
          </cell>
          <cell r="L63">
            <v>27925</v>
          </cell>
          <cell r="M63">
            <v>27801</v>
          </cell>
          <cell r="N63">
            <v>28525</v>
          </cell>
          <cell r="O63">
            <v>25239</v>
          </cell>
          <cell r="P63">
            <v>24726</v>
          </cell>
          <cell r="S63">
            <v>26427</v>
          </cell>
          <cell r="X63">
            <v>27142</v>
          </cell>
          <cell r="AC63">
            <v>29910</v>
          </cell>
          <cell r="AH63">
            <v>29720</v>
          </cell>
          <cell r="AM63">
            <v>28964</v>
          </cell>
          <cell r="AR63">
            <v>32231</v>
          </cell>
          <cell r="AW63">
            <v>30983</v>
          </cell>
          <cell r="BB63">
            <v>34225</v>
          </cell>
          <cell r="BG63">
            <v>37620</v>
          </cell>
          <cell r="BL63">
            <v>42432</v>
          </cell>
          <cell r="BQ63">
            <v>49009</v>
          </cell>
          <cell r="BV63">
            <v>48457</v>
          </cell>
          <cell r="CA63">
            <v>49615</v>
          </cell>
          <cell r="CF63">
            <v>53645</v>
          </cell>
          <cell r="CK63">
            <v>58840</v>
          </cell>
          <cell r="CP63">
            <v>60954</v>
          </cell>
          <cell r="CU63">
            <v>63084</v>
          </cell>
          <cell r="CZ63">
            <v>82700</v>
          </cell>
          <cell r="DE63">
            <v>92222</v>
          </cell>
        </row>
        <row r="64">
          <cell r="B64" t="str">
            <v>Other current assets</v>
          </cell>
          <cell r="C64" t="str">
            <v>OTH_CUR_ASS</v>
          </cell>
          <cell r="D64" t="str">
            <v>JPY</v>
          </cell>
          <cell r="F64">
            <v>0</v>
          </cell>
          <cell r="G64">
            <v>3439</v>
          </cell>
          <cell r="H64">
            <v>3397</v>
          </cell>
          <cell r="I64">
            <v>3824</v>
          </cell>
          <cell r="J64">
            <v>4072</v>
          </cell>
          <cell r="K64">
            <v>3983</v>
          </cell>
          <cell r="L64">
            <v>7232</v>
          </cell>
          <cell r="M64">
            <v>9006</v>
          </cell>
          <cell r="N64">
            <v>13531</v>
          </cell>
          <cell r="O64">
            <v>7881</v>
          </cell>
          <cell r="P64">
            <v>9901</v>
          </cell>
          <cell r="S64">
            <v>10772</v>
          </cell>
          <cell r="X64">
            <v>11648</v>
          </cell>
          <cell r="AC64">
            <v>12287</v>
          </cell>
          <cell r="AH64">
            <v>16901</v>
          </cell>
          <cell r="AM64">
            <v>15506</v>
          </cell>
          <cell r="AR64">
            <v>14654</v>
          </cell>
          <cell r="AW64">
            <v>9476</v>
          </cell>
          <cell r="BB64">
            <v>9456</v>
          </cell>
          <cell r="BG64">
            <v>12957</v>
          </cell>
          <cell r="BL64">
            <v>15147</v>
          </cell>
          <cell r="BQ64">
            <v>16183</v>
          </cell>
          <cell r="BV64">
            <v>9783</v>
          </cell>
          <cell r="CA64">
            <v>16415</v>
          </cell>
          <cell r="CF64">
            <v>7161</v>
          </cell>
          <cell r="CK64">
            <v>7514</v>
          </cell>
          <cell r="CP64">
            <v>8545</v>
          </cell>
          <cell r="CU64">
            <v>12351</v>
          </cell>
          <cell r="CZ64">
            <v>8856</v>
          </cell>
          <cell r="DE64">
            <v>14572</v>
          </cell>
        </row>
        <row r="65">
          <cell r="B65" t="str">
            <v>Total current assets</v>
          </cell>
          <cell r="C65" t="str">
            <v>CUR_ASS</v>
          </cell>
          <cell r="D65" t="str">
            <v>JPY</v>
          </cell>
          <cell r="F65">
            <v>0</v>
          </cell>
          <cell r="G65">
            <v>107339</v>
          </cell>
          <cell r="H65">
            <v>95618</v>
          </cell>
          <cell r="I65">
            <v>105573</v>
          </cell>
          <cell r="J65">
            <v>94859</v>
          </cell>
          <cell r="K65">
            <v>95643</v>
          </cell>
          <cell r="L65">
            <v>114278</v>
          </cell>
          <cell r="M65">
            <v>103354</v>
          </cell>
          <cell r="N65">
            <v>115403</v>
          </cell>
          <cell r="O65">
            <v>107732</v>
          </cell>
          <cell r="P65">
            <v>99766</v>
          </cell>
          <cell r="S65">
            <v>100779</v>
          </cell>
          <cell r="X65">
            <v>119143</v>
          </cell>
          <cell r="AC65">
            <v>116391</v>
          </cell>
          <cell r="AH65">
            <v>128999</v>
          </cell>
          <cell r="AM65">
            <v>113353</v>
          </cell>
          <cell r="AR65">
            <v>114590</v>
          </cell>
          <cell r="AW65">
            <v>109445</v>
          </cell>
          <cell r="BB65">
            <v>133804</v>
          </cell>
          <cell r="BG65">
            <v>126597</v>
          </cell>
          <cell r="BL65">
            <v>133222</v>
          </cell>
          <cell r="BQ65">
            <v>149749</v>
          </cell>
          <cell r="BV65">
            <v>146294</v>
          </cell>
          <cell r="CA65">
            <v>166958</v>
          </cell>
          <cell r="CF65">
            <v>143847</v>
          </cell>
          <cell r="CK65">
            <v>156518</v>
          </cell>
          <cell r="CP65">
            <v>159540</v>
          </cell>
          <cell r="CU65">
            <v>192187</v>
          </cell>
          <cell r="CZ65">
            <v>240192</v>
          </cell>
          <cell r="DE65">
            <v>281211</v>
          </cell>
        </row>
        <row r="66">
          <cell r="B66" t="str">
            <v>Gross fixed assets, PP&amp;E</v>
          </cell>
          <cell r="C66" t="str">
            <v>GR_FIX_ASS</v>
          </cell>
          <cell r="D66" t="str">
            <v>JPY</v>
          </cell>
          <cell r="F66">
            <v>0</v>
          </cell>
          <cell r="G66">
            <v>72864</v>
          </cell>
          <cell r="H66">
            <v>74712</v>
          </cell>
          <cell r="I66">
            <v>85231</v>
          </cell>
          <cell r="J66">
            <v>84154</v>
          </cell>
          <cell r="K66">
            <v>82111</v>
          </cell>
          <cell r="L66">
            <v>331511</v>
          </cell>
          <cell r="M66">
            <v>332349</v>
          </cell>
          <cell r="N66">
            <v>334017</v>
          </cell>
          <cell r="O66">
            <v>316041</v>
          </cell>
          <cell r="P66">
            <v>314124</v>
          </cell>
          <cell r="S66">
            <v>321141</v>
          </cell>
          <cell r="X66">
            <v>326983</v>
          </cell>
          <cell r="AC66">
            <v>356476</v>
          </cell>
          <cell r="AH66">
            <v>357979</v>
          </cell>
          <cell r="AM66">
            <v>272455</v>
          </cell>
          <cell r="AR66">
            <v>277102</v>
          </cell>
          <cell r="AW66">
            <v>279705</v>
          </cell>
          <cell r="BB66">
            <v>286374</v>
          </cell>
          <cell r="BG66">
            <v>303057</v>
          </cell>
          <cell r="BL66">
            <v>317364</v>
          </cell>
          <cell r="BQ66">
            <v>329943</v>
          </cell>
          <cell r="BV66">
            <v>342135</v>
          </cell>
          <cell r="CA66">
            <v>355867</v>
          </cell>
          <cell r="CF66">
            <v>372804</v>
          </cell>
          <cell r="CK66">
            <v>399331</v>
          </cell>
          <cell r="CP66">
            <v>441795</v>
          </cell>
          <cell r="CU66">
            <v>397999</v>
          </cell>
          <cell r="CZ66">
            <v>427031</v>
          </cell>
          <cell r="DE66">
            <v>460591</v>
          </cell>
        </row>
        <row r="67">
          <cell r="B67" t="str">
            <v>Accumulated depreciation</v>
          </cell>
          <cell r="C67" t="str">
            <v>ACC_DDA</v>
          </cell>
          <cell r="D67" t="str">
            <v>JPY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-206070</v>
          </cell>
          <cell r="M67">
            <v>-207381</v>
          </cell>
          <cell r="N67">
            <v>-209975</v>
          </cell>
          <cell r="O67">
            <v>-199456</v>
          </cell>
          <cell r="P67">
            <v>-200954</v>
          </cell>
          <cell r="S67">
            <v>-207426</v>
          </cell>
          <cell r="X67">
            <v>-212921</v>
          </cell>
          <cell r="AC67">
            <v>-222954</v>
          </cell>
          <cell r="AH67">
            <v>-223937</v>
          </cell>
          <cell r="AM67">
            <v>-175784</v>
          </cell>
          <cell r="AR67">
            <v>-179147</v>
          </cell>
          <cell r="AW67">
            <v>-183382</v>
          </cell>
          <cell r="BB67">
            <v>-187204</v>
          </cell>
          <cell r="BG67">
            <v>-199364</v>
          </cell>
          <cell r="BL67">
            <v>-212347</v>
          </cell>
          <cell r="BQ67">
            <v>-225248</v>
          </cell>
          <cell r="BV67">
            <v>-237184</v>
          </cell>
          <cell r="CA67">
            <v>-249523</v>
          </cell>
          <cell r="CF67">
            <v>-262683</v>
          </cell>
          <cell r="CK67">
            <v>-275941</v>
          </cell>
          <cell r="CP67">
            <v>-292728</v>
          </cell>
          <cell r="CU67">
            <v>-270921</v>
          </cell>
          <cell r="CZ67">
            <v>-290740</v>
          </cell>
          <cell r="DE67">
            <v>-309915</v>
          </cell>
        </row>
        <row r="68">
          <cell r="B68" t="str">
            <v>Net PP&amp;E</v>
          </cell>
          <cell r="C68" t="str">
            <v>NET_FIX_ASS</v>
          </cell>
          <cell r="D68" t="str">
            <v>JPY</v>
          </cell>
          <cell r="F68">
            <v>0</v>
          </cell>
          <cell r="G68">
            <v>72864</v>
          </cell>
          <cell r="H68">
            <v>74712</v>
          </cell>
          <cell r="I68">
            <v>85231</v>
          </cell>
          <cell r="J68">
            <v>84154</v>
          </cell>
          <cell r="K68">
            <v>82111</v>
          </cell>
          <cell r="L68">
            <v>125441</v>
          </cell>
          <cell r="M68">
            <v>124968</v>
          </cell>
          <cell r="N68">
            <v>124042</v>
          </cell>
          <cell r="O68">
            <v>116585</v>
          </cell>
          <cell r="P68">
            <v>113170</v>
          </cell>
          <cell r="S68">
            <v>113715</v>
          </cell>
          <cell r="X68">
            <v>114062</v>
          </cell>
          <cell r="AC68">
            <v>133522</v>
          </cell>
          <cell r="AH68">
            <v>134042</v>
          </cell>
          <cell r="AM68">
            <v>96671</v>
          </cell>
          <cell r="AR68">
            <v>97955</v>
          </cell>
          <cell r="AW68">
            <v>96323</v>
          </cell>
          <cell r="BB68">
            <v>99170</v>
          </cell>
          <cell r="BG68">
            <v>103693</v>
          </cell>
          <cell r="BL68">
            <v>105017</v>
          </cell>
          <cell r="BQ68">
            <v>104695</v>
          </cell>
          <cell r="BV68">
            <v>104951</v>
          </cell>
          <cell r="CA68">
            <v>106344</v>
          </cell>
          <cell r="CF68">
            <v>110121</v>
          </cell>
          <cell r="CK68">
            <v>123390</v>
          </cell>
          <cell r="CP68">
            <v>149067</v>
          </cell>
          <cell r="CU68">
            <v>127078</v>
          </cell>
          <cell r="CZ68">
            <v>136291</v>
          </cell>
          <cell r="DE68">
            <v>150676</v>
          </cell>
        </row>
        <row r="69">
          <cell r="B69" t="str">
            <v>Gross intangibles</v>
          </cell>
          <cell r="C69" t="str">
            <v>GR_INTANG</v>
          </cell>
          <cell r="D69" t="str">
            <v>JPY</v>
          </cell>
          <cell r="F69">
            <v>0</v>
          </cell>
          <cell r="G69">
            <v>11540</v>
          </cell>
          <cell r="H69">
            <v>10737</v>
          </cell>
          <cell r="I69">
            <v>10140</v>
          </cell>
          <cell r="J69">
            <v>9250</v>
          </cell>
          <cell r="K69">
            <v>8367</v>
          </cell>
          <cell r="L69">
            <v>8336</v>
          </cell>
          <cell r="M69">
            <v>8130</v>
          </cell>
          <cell r="N69">
            <v>8376</v>
          </cell>
          <cell r="O69">
            <v>7533</v>
          </cell>
          <cell r="P69">
            <v>7725</v>
          </cell>
          <cell r="S69">
            <v>7462</v>
          </cell>
          <cell r="X69">
            <v>6841</v>
          </cell>
          <cell r="AC69">
            <v>34015</v>
          </cell>
          <cell r="AH69">
            <v>28680</v>
          </cell>
          <cell r="AM69">
            <v>32840</v>
          </cell>
          <cell r="AR69">
            <v>29669</v>
          </cell>
          <cell r="AW69">
            <v>27782</v>
          </cell>
          <cell r="BB69">
            <v>26879</v>
          </cell>
          <cell r="BG69">
            <v>25468</v>
          </cell>
          <cell r="BL69">
            <v>23198</v>
          </cell>
          <cell r="BQ69">
            <v>22404</v>
          </cell>
          <cell r="BV69">
            <v>16564</v>
          </cell>
          <cell r="CA69">
            <v>11595</v>
          </cell>
          <cell r="CF69">
            <v>10522</v>
          </cell>
          <cell r="CK69">
            <v>10308</v>
          </cell>
          <cell r="CP69">
            <v>9168</v>
          </cell>
          <cell r="CU69">
            <v>10081</v>
          </cell>
          <cell r="CZ69">
            <v>9573</v>
          </cell>
          <cell r="DE69">
            <v>9452</v>
          </cell>
        </row>
        <row r="70">
          <cell r="B70" t="str">
            <v>Accumulated amortization</v>
          </cell>
          <cell r="C70" t="str">
            <v>ACC_AMORT</v>
          </cell>
          <cell r="D70" t="str">
            <v>JPY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S70">
            <v>0</v>
          </cell>
          <cell r="X70">
            <v>0</v>
          </cell>
          <cell r="AC70">
            <v>0</v>
          </cell>
          <cell r="AH70">
            <v>0</v>
          </cell>
          <cell r="AM70">
            <v>0</v>
          </cell>
          <cell r="AR70">
            <v>0</v>
          </cell>
          <cell r="AW70">
            <v>0</v>
          </cell>
          <cell r="BB70">
            <v>0</v>
          </cell>
          <cell r="BG70">
            <v>0</v>
          </cell>
          <cell r="BL70">
            <v>0</v>
          </cell>
          <cell r="BQ70">
            <v>0</v>
          </cell>
          <cell r="BV70">
            <v>0</v>
          </cell>
          <cell r="CA70">
            <v>0</v>
          </cell>
          <cell r="CF70">
            <v>0</v>
          </cell>
          <cell r="CK70">
            <v>0</v>
          </cell>
          <cell r="CP70">
            <v>0</v>
          </cell>
          <cell r="CU70">
            <v>0</v>
          </cell>
          <cell r="CZ70">
            <v>0</v>
          </cell>
          <cell r="DE70">
            <v>0</v>
          </cell>
        </row>
        <row r="71">
          <cell r="B71" t="str">
            <v>Net intangible assets</v>
          </cell>
          <cell r="C71" t="str">
            <v>NET_INTANG</v>
          </cell>
          <cell r="D71" t="str">
            <v>JPY</v>
          </cell>
          <cell r="F71">
            <v>0</v>
          </cell>
          <cell r="G71">
            <v>11540</v>
          </cell>
          <cell r="H71">
            <v>10737</v>
          </cell>
          <cell r="I71">
            <v>10140</v>
          </cell>
          <cell r="J71">
            <v>9250</v>
          </cell>
          <cell r="K71">
            <v>8367</v>
          </cell>
          <cell r="L71">
            <v>8336</v>
          </cell>
          <cell r="M71">
            <v>8130</v>
          </cell>
          <cell r="N71">
            <v>8376</v>
          </cell>
          <cell r="O71">
            <v>7533</v>
          </cell>
          <cell r="P71">
            <v>7725</v>
          </cell>
          <cell r="S71">
            <v>7462</v>
          </cell>
          <cell r="X71">
            <v>6841</v>
          </cell>
          <cell r="AC71">
            <v>34015</v>
          </cell>
          <cell r="AH71">
            <v>28680</v>
          </cell>
          <cell r="AM71">
            <v>32840</v>
          </cell>
          <cell r="AR71">
            <v>29669</v>
          </cell>
          <cell r="AW71">
            <v>27782</v>
          </cell>
          <cell r="BB71">
            <v>26879</v>
          </cell>
          <cell r="BG71">
            <v>25468</v>
          </cell>
          <cell r="BL71">
            <v>23198</v>
          </cell>
          <cell r="BQ71">
            <v>22404</v>
          </cell>
          <cell r="BV71">
            <v>16564</v>
          </cell>
          <cell r="CA71">
            <v>11595</v>
          </cell>
          <cell r="CF71">
            <v>10522</v>
          </cell>
          <cell r="CK71">
            <v>10308</v>
          </cell>
          <cell r="CP71">
            <v>9168</v>
          </cell>
          <cell r="CU71">
            <v>10081</v>
          </cell>
          <cell r="CZ71">
            <v>9573</v>
          </cell>
          <cell r="DE71">
            <v>9452</v>
          </cell>
        </row>
        <row r="72">
          <cell r="B72" t="str">
            <v>Equity method investments</v>
          </cell>
          <cell r="C72" t="str">
            <v>FIX_ASS_INV</v>
          </cell>
          <cell r="D72" t="str">
            <v>JPY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S72">
            <v>0</v>
          </cell>
          <cell r="X72">
            <v>0</v>
          </cell>
          <cell r="AC72">
            <v>0</v>
          </cell>
          <cell r="AH72">
            <v>0</v>
          </cell>
          <cell r="AM72">
            <v>0</v>
          </cell>
          <cell r="AR72">
            <v>0</v>
          </cell>
          <cell r="AW72">
            <v>0</v>
          </cell>
          <cell r="BB72">
            <v>0</v>
          </cell>
          <cell r="BG72">
            <v>0</v>
          </cell>
          <cell r="BL72">
            <v>0</v>
          </cell>
          <cell r="BQ72">
            <v>0</v>
          </cell>
          <cell r="BV72">
            <v>0</v>
          </cell>
          <cell r="CA72">
            <v>0</v>
          </cell>
          <cell r="CF72">
            <v>0</v>
          </cell>
          <cell r="CK72">
            <v>0</v>
          </cell>
          <cell r="CP72">
            <v>0</v>
          </cell>
          <cell r="CU72">
            <v>0</v>
          </cell>
          <cell r="CZ72">
            <v>0</v>
          </cell>
          <cell r="DE72">
            <v>0</v>
          </cell>
        </row>
        <row r="73">
          <cell r="B73" t="str">
            <v>Investments in securities</v>
          </cell>
          <cell r="C73" t="str">
            <v>INV_SECUR</v>
          </cell>
          <cell r="D73" t="str">
            <v>JPY</v>
          </cell>
          <cell r="F73">
            <v>0</v>
          </cell>
          <cell r="G73">
            <v>28544</v>
          </cell>
          <cell r="H73">
            <v>29126</v>
          </cell>
          <cell r="I73">
            <v>23429</v>
          </cell>
          <cell r="J73">
            <v>23869</v>
          </cell>
          <cell r="K73">
            <v>27916</v>
          </cell>
          <cell r="L73">
            <v>16420</v>
          </cell>
          <cell r="M73">
            <v>37633</v>
          </cell>
          <cell r="N73">
            <v>33668</v>
          </cell>
          <cell r="O73">
            <v>29345</v>
          </cell>
          <cell r="P73">
            <v>46511</v>
          </cell>
          <cell r="S73">
            <v>58496</v>
          </cell>
          <cell r="X73">
            <v>82631</v>
          </cell>
          <cell r="AC73">
            <v>55155</v>
          </cell>
          <cell r="AH73">
            <v>38326</v>
          </cell>
          <cell r="AM73">
            <v>50765</v>
          </cell>
          <cell r="AR73">
            <v>54542</v>
          </cell>
          <cell r="AW73">
            <v>51944</v>
          </cell>
          <cell r="BB73">
            <v>59536</v>
          </cell>
          <cell r="BG73">
            <v>70858</v>
          </cell>
          <cell r="BL73">
            <v>75609</v>
          </cell>
          <cell r="BQ73">
            <v>86483</v>
          </cell>
          <cell r="BV73">
            <v>86109</v>
          </cell>
          <cell r="CA73">
            <v>63180</v>
          </cell>
          <cell r="CF73">
            <v>65151</v>
          </cell>
          <cell r="CK73">
            <v>59207</v>
          </cell>
          <cell r="CP73">
            <v>57672</v>
          </cell>
          <cell r="CU73">
            <v>63267</v>
          </cell>
          <cell r="CZ73">
            <v>68961</v>
          </cell>
          <cell r="DE73">
            <v>69680</v>
          </cell>
        </row>
        <row r="74">
          <cell r="B74" t="str">
            <v>Other long-term assets</v>
          </cell>
          <cell r="C74" t="str">
            <v>OTH_LT_ASS</v>
          </cell>
          <cell r="D74" t="str">
            <v>JPY</v>
          </cell>
          <cell r="F74">
            <v>0</v>
          </cell>
          <cell r="G74">
            <v>8021</v>
          </cell>
          <cell r="H74">
            <v>7648</v>
          </cell>
          <cell r="I74">
            <v>5922</v>
          </cell>
          <cell r="J74">
            <v>9047</v>
          </cell>
          <cell r="K74">
            <v>13986</v>
          </cell>
          <cell r="L74">
            <v>17635</v>
          </cell>
          <cell r="M74">
            <v>13474</v>
          </cell>
          <cell r="N74">
            <v>13038</v>
          </cell>
          <cell r="O74">
            <v>12707</v>
          </cell>
          <cell r="P74">
            <v>11430</v>
          </cell>
          <cell r="S74">
            <v>15350</v>
          </cell>
          <cell r="X74">
            <v>9104</v>
          </cell>
          <cell r="AC74">
            <v>9912</v>
          </cell>
          <cell r="AH74">
            <v>12240</v>
          </cell>
          <cell r="AM74">
            <v>17244</v>
          </cell>
          <cell r="AR74">
            <v>14419</v>
          </cell>
          <cell r="AW74">
            <v>13373</v>
          </cell>
          <cell r="BB74">
            <v>11982</v>
          </cell>
          <cell r="BG74">
            <v>11023</v>
          </cell>
          <cell r="BL74">
            <v>12057</v>
          </cell>
          <cell r="BQ74">
            <v>15435</v>
          </cell>
          <cell r="BV74">
            <v>11753</v>
          </cell>
          <cell r="CA74">
            <v>13171</v>
          </cell>
          <cell r="CF74">
            <v>14288</v>
          </cell>
          <cell r="CK74">
            <v>12696</v>
          </cell>
          <cell r="CP74">
            <v>11882</v>
          </cell>
          <cell r="CU74">
            <v>45896</v>
          </cell>
          <cell r="CZ74">
            <v>48043</v>
          </cell>
          <cell r="DE74">
            <v>55367</v>
          </cell>
        </row>
        <row r="75">
          <cell r="B75" t="str">
            <v>Total assets</v>
          </cell>
          <cell r="C75" t="str">
            <v>TOT_ASSET</v>
          </cell>
          <cell r="D75" t="str">
            <v>JPY</v>
          </cell>
          <cell r="F75">
            <v>0</v>
          </cell>
          <cell r="G75">
            <v>228308</v>
          </cell>
          <cell r="H75">
            <v>217841</v>
          </cell>
          <cell r="I75">
            <v>230295</v>
          </cell>
          <cell r="J75">
            <v>221179</v>
          </cell>
          <cell r="K75">
            <v>228023</v>
          </cell>
          <cell r="L75">
            <v>282110</v>
          </cell>
          <cell r="M75">
            <v>287559</v>
          </cell>
          <cell r="N75">
            <v>294527</v>
          </cell>
          <cell r="O75">
            <v>273902</v>
          </cell>
          <cell r="P75">
            <v>278602</v>
          </cell>
          <cell r="S75">
            <v>295802</v>
          </cell>
          <cell r="X75">
            <v>331781</v>
          </cell>
          <cell r="AC75">
            <v>348995</v>
          </cell>
          <cell r="AH75">
            <v>342287</v>
          </cell>
          <cell r="AM75">
            <v>310873</v>
          </cell>
          <cell r="AR75">
            <v>311175</v>
          </cell>
          <cell r="AW75">
            <v>298867</v>
          </cell>
          <cell r="BB75">
            <v>331371</v>
          </cell>
          <cell r="BG75">
            <v>337639</v>
          </cell>
          <cell r="BL75">
            <v>349103</v>
          </cell>
          <cell r="BQ75">
            <v>378766</v>
          </cell>
          <cell r="BV75">
            <v>365671</v>
          </cell>
          <cell r="CA75">
            <v>361248</v>
          </cell>
          <cell r="CF75">
            <v>343929</v>
          </cell>
          <cell r="CK75">
            <v>362119</v>
          </cell>
          <cell r="CP75">
            <v>387329</v>
          </cell>
          <cell r="CU75">
            <v>438508</v>
          </cell>
          <cell r="CZ75">
            <v>503061</v>
          </cell>
          <cell r="DE75">
            <v>566386</v>
          </cell>
        </row>
        <row r="76">
          <cell r="B76" t="str">
            <v>Accounts payable</v>
          </cell>
          <cell r="C76" t="str">
            <v>ACC_PAY_GQ</v>
          </cell>
          <cell r="D76" t="str">
            <v>JPY</v>
          </cell>
          <cell r="F76">
            <v>0</v>
          </cell>
          <cell r="G76">
            <v>12711</v>
          </cell>
          <cell r="H76">
            <v>12273</v>
          </cell>
          <cell r="I76">
            <v>12321</v>
          </cell>
          <cell r="J76">
            <v>13063</v>
          </cell>
          <cell r="K76">
            <v>12841</v>
          </cell>
          <cell r="L76">
            <v>14832</v>
          </cell>
          <cell r="M76">
            <v>13213</v>
          </cell>
          <cell r="N76">
            <v>14069</v>
          </cell>
          <cell r="O76">
            <v>12172</v>
          </cell>
          <cell r="P76">
            <v>12590</v>
          </cell>
          <cell r="S76">
            <v>13183</v>
          </cell>
          <cell r="X76">
            <v>13391</v>
          </cell>
          <cell r="AC76">
            <v>16242</v>
          </cell>
          <cell r="AH76">
            <v>17365</v>
          </cell>
          <cell r="AM76">
            <v>13854</v>
          </cell>
          <cell r="AR76">
            <v>14507</v>
          </cell>
          <cell r="AW76">
            <v>14626</v>
          </cell>
          <cell r="BB76">
            <v>15474</v>
          </cell>
          <cell r="BG76">
            <v>16161</v>
          </cell>
          <cell r="BL76">
            <v>18193</v>
          </cell>
          <cell r="BQ76">
            <v>20766</v>
          </cell>
          <cell r="BV76">
            <v>20279</v>
          </cell>
          <cell r="CA76">
            <v>21196</v>
          </cell>
          <cell r="CF76">
            <v>21535</v>
          </cell>
          <cell r="CK76">
            <v>22383</v>
          </cell>
          <cell r="CP76">
            <v>23414</v>
          </cell>
          <cell r="CU76">
            <v>25530</v>
          </cell>
          <cell r="CZ76">
            <v>59573</v>
          </cell>
          <cell r="DE76">
            <v>61333</v>
          </cell>
        </row>
        <row r="77">
          <cell r="B77" t="str">
            <v>Short-term debt</v>
          </cell>
          <cell r="C77" t="str">
            <v>SHORT_T_DEBT</v>
          </cell>
          <cell r="D77" t="str">
            <v>JPY</v>
          </cell>
          <cell r="F77">
            <v>0</v>
          </cell>
          <cell r="G77">
            <v>30596</v>
          </cell>
          <cell r="H77">
            <v>16308</v>
          </cell>
          <cell r="I77">
            <v>26476</v>
          </cell>
          <cell r="J77">
            <v>15306</v>
          </cell>
          <cell r="K77">
            <v>31344</v>
          </cell>
          <cell r="L77">
            <v>26483</v>
          </cell>
          <cell r="M77">
            <v>26463</v>
          </cell>
          <cell r="N77">
            <v>36359</v>
          </cell>
          <cell r="O77">
            <v>21827</v>
          </cell>
          <cell r="P77">
            <v>16344</v>
          </cell>
          <cell r="S77">
            <v>32188</v>
          </cell>
          <cell r="X77">
            <v>8825</v>
          </cell>
          <cell r="AC77">
            <v>24448</v>
          </cell>
          <cell r="AH77">
            <v>11996</v>
          </cell>
          <cell r="AM77">
            <v>10741</v>
          </cell>
          <cell r="AR77">
            <v>9962</v>
          </cell>
          <cell r="AW77">
            <v>5054</v>
          </cell>
          <cell r="BB77">
            <v>26412</v>
          </cell>
          <cell r="BG77">
            <v>7338</v>
          </cell>
          <cell r="BL77">
            <v>12961</v>
          </cell>
          <cell r="BQ77">
            <v>7473</v>
          </cell>
          <cell r="BV77">
            <v>6871</v>
          </cell>
          <cell r="CA77">
            <v>2820</v>
          </cell>
          <cell r="CF77">
            <v>3692</v>
          </cell>
          <cell r="CK77">
            <v>3487</v>
          </cell>
          <cell r="CP77">
            <v>5311</v>
          </cell>
          <cell r="CU77">
            <v>3950</v>
          </cell>
          <cell r="CZ77">
            <v>4503</v>
          </cell>
          <cell r="DE77">
            <v>17054</v>
          </cell>
        </row>
        <row r="78">
          <cell r="B78" t="str">
            <v>Current lease liabilities (op lease: US GAAP)</v>
          </cell>
          <cell r="C78" t="str">
            <v>ST_LEASE_LIAB</v>
          </cell>
          <cell r="D78" t="str">
            <v>JPY</v>
          </cell>
        </row>
        <row r="79">
          <cell r="B79" t="str">
            <v>Other current liabilities</v>
          </cell>
          <cell r="C79" t="str">
            <v>OTH_CUR_LIABS</v>
          </cell>
          <cell r="D79" t="str">
            <v>JPY</v>
          </cell>
          <cell r="F79">
            <v>0</v>
          </cell>
          <cell r="G79">
            <v>20093</v>
          </cell>
          <cell r="H79">
            <v>16796</v>
          </cell>
          <cell r="I79">
            <v>21882</v>
          </cell>
          <cell r="J79">
            <v>21823</v>
          </cell>
          <cell r="K79">
            <v>20795</v>
          </cell>
          <cell r="L79">
            <v>28730</v>
          </cell>
          <cell r="M79">
            <v>22299</v>
          </cell>
          <cell r="N79">
            <v>26941</v>
          </cell>
          <cell r="O79">
            <v>21478</v>
          </cell>
          <cell r="P79">
            <v>22763</v>
          </cell>
          <cell r="S79">
            <v>23982</v>
          </cell>
          <cell r="X79">
            <v>24532</v>
          </cell>
          <cell r="AC79">
            <v>26141</v>
          </cell>
          <cell r="AH79">
            <v>27962</v>
          </cell>
          <cell r="AM79">
            <v>23975</v>
          </cell>
          <cell r="AR79">
            <v>21389</v>
          </cell>
          <cell r="AW79">
            <v>21824</v>
          </cell>
          <cell r="BB79">
            <v>19228</v>
          </cell>
          <cell r="BG79">
            <v>22854</v>
          </cell>
          <cell r="BL79">
            <v>24464</v>
          </cell>
          <cell r="BQ79">
            <v>25340</v>
          </cell>
          <cell r="BV79">
            <v>30417</v>
          </cell>
          <cell r="CA79">
            <v>27859</v>
          </cell>
          <cell r="CF79">
            <v>32254</v>
          </cell>
          <cell r="CK79">
            <v>30370</v>
          </cell>
          <cell r="CP79">
            <v>33066</v>
          </cell>
          <cell r="CU79">
            <v>38664</v>
          </cell>
          <cell r="CZ79">
            <v>19149</v>
          </cell>
          <cell r="DE79">
            <v>20368</v>
          </cell>
        </row>
        <row r="80">
          <cell r="B80" t="str">
            <v>Total current liabilities</v>
          </cell>
          <cell r="C80" t="str">
            <v>SHORT_TERM_LIABS</v>
          </cell>
          <cell r="D80" t="str">
            <v>JPY</v>
          </cell>
          <cell r="F80">
            <v>0</v>
          </cell>
          <cell r="G80">
            <v>63400</v>
          </cell>
          <cell r="H80">
            <v>45377</v>
          </cell>
          <cell r="I80">
            <v>60679</v>
          </cell>
          <cell r="J80">
            <v>50192</v>
          </cell>
          <cell r="K80">
            <v>64980</v>
          </cell>
          <cell r="L80">
            <v>70045</v>
          </cell>
          <cell r="M80">
            <v>61975</v>
          </cell>
          <cell r="N80">
            <v>77369</v>
          </cell>
          <cell r="O80">
            <v>55477</v>
          </cell>
          <cell r="P80">
            <v>51697</v>
          </cell>
          <cell r="S80">
            <v>69353</v>
          </cell>
          <cell r="X80">
            <v>46748</v>
          </cell>
          <cell r="AC80">
            <v>66831</v>
          </cell>
          <cell r="AH80">
            <v>57323</v>
          </cell>
          <cell r="AM80">
            <v>48570</v>
          </cell>
          <cell r="AR80">
            <v>45858</v>
          </cell>
          <cell r="AW80">
            <v>41504</v>
          </cell>
          <cell r="BB80">
            <v>61114</v>
          </cell>
          <cell r="BG80">
            <v>46353</v>
          </cell>
          <cell r="BL80">
            <v>55618</v>
          </cell>
          <cell r="BQ80">
            <v>53579</v>
          </cell>
          <cell r="BV80">
            <v>57567</v>
          </cell>
          <cell r="CA80">
            <v>51875</v>
          </cell>
          <cell r="CF80">
            <v>57481</v>
          </cell>
          <cell r="CK80">
            <v>56240</v>
          </cell>
          <cell r="CP80">
            <v>61791</v>
          </cell>
          <cell r="CU80">
            <v>68144</v>
          </cell>
          <cell r="CZ80">
            <v>83225</v>
          </cell>
          <cell r="DE80">
            <v>98755</v>
          </cell>
        </row>
        <row r="81">
          <cell r="B81" t="str">
            <v>Long-term  debt</v>
          </cell>
          <cell r="C81" t="str">
            <v>LT_DEBT</v>
          </cell>
          <cell r="D81" t="str">
            <v>JPY</v>
          </cell>
          <cell r="F81">
            <v>0</v>
          </cell>
          <cell r="G81">
            <v>32233</v>
          </cell>
          <cell r="H81">
            <v>31667</v>
          </cell>
          <cell r="I81">
            <v>24230</v>
          </cell>
          <cell r="J81">
            <v>23479</v>
          </cell>
          <cell r="K81">
            <v>11486</v>
          </cell>
          <cell r="L81">
            <v>24660</v>
          </cell>
          <cell r="M81">
            <v>24660</v>
          </cell>
          <cell r="N81">
            <v>16256</v>
          </cell>
          <cell r="O81">
            <v>23662</v>
          </cell>
          <cell r="P81">
            <v>24723</v>
          </cell>
          <cell r="S81">
            <v>17381</v>
          </cell>
          <cell r="X81">
            <v>55005</v>
          </cell>
          <cell r="AC81">
            <v>41070</v>
          </cell>
          <cell r="AH81">
            <v>61592</v>
          </cell>
          <cell r="AM81">
            <v>86209</v>
          </cell>
          <cell r="AR81">
            <v>81950</v>
          </cell>
          <cell r="AW81">
            <v>79555</v>
          </cell>
          <cell r="BB81">
            <v>87600</v>
          </cell>
          <cell r="BG81">
            <v>85600</v>
          </cell>
          <cell r="BL81">
            <v>63000</v>
          </cell>
          <cell r="BQ81">
            <v>61300</v>
          </cell>
          <cell r="BV81">
            <v>59300</v>
          </cell>
          <cell r="CA81">
            <v>43300</v>
          </cell>
          <cell r="CF81">
            <v>13000</v>
          </cell>
          <cell r="CK81">
            <v>13602</v>
          </cell>
          <cell r="CP81">
            <v>13602</v>
          </cell>
          <cell r="CU81">
            <v>13400</v>
          </cell>
          <cell r="CZ81">
            <v>13000</v>
          </cell>
          <cell r="DE81">
            <v>400</v>
          </cell>
        </row>
        <row r="82">
          <cell r="B82" t="str">
            <v>Non-current lease liabilities (op lease: US GAAP)</v>
          </cell>
          <cell r="C82" t="str">
            <v>LT_LEASE_LIAB</v>
          </cell>
          <cell r="D82" t="str">
            <v>JPY</v>
          </cell>
        </row>
        <row r="83">
          <cell r="B83" t="str">
            <v>Other long-term liabilities</v>
          </cell>
          <cell r="C83" t="str">
            <v>OTH_LT_CRED_GQ</v>
          </cell>
          <cell r="D83" t="str">
            <v>JPY</v>
          </cell>
          <cell r="F83">
            <v>0</v>
          </cell>
          <cell r="G83">
            <v>39476</v>
          </cell>
          <cell r="H83">
            <v>39652</v>
          </cell>
          <cell r="I83">
            <v>39981</v>
          </cell>
          <cell r="J83">
            <v>38374</v>
          </cell>
          <cell r="K83">
            <v>38555</v>
          </cell>
          <cell r="L83">
            <v>47679</v>
          </cell>
          <cell r="M83">
            <v>61198</v>
          </cell>
          <cell r="N83">
            <v>50066</v>
          </cell>
          <cell r="O83">
            <v>43684</v>
          </cell>
          <cell r="P83">
            <v>40137</v>
          </cell>
          <cell r="S83">
            <v>39071</v>
          </cell>
          <cell r="X83">
            <v>38021</v>
          </cell>
          <cell r="AC83">
            <v>34175</v>
          </cell>
          <cell r="AH83">
            <v>23957</v>
          </cell>
          <cell r="AM83">
            <v>14277</v>
          </cell>
          <cell r="AR83">
            <v>16281</v>
          </cell>
          <cell r="AW83">
            <v>15208</v>
          </cell>
          <cell r="BB83">
            <v>15305</v>
          </cell>
          <cell r="BG83">
            <v>17830</v>
          </cell>
          <cell r="BL83">
            <v>20078</v>
          </cell>
          <cell r="BQ83">
            <v>25456</v>
          </cell>
          <cell r="BV83">
            <v>23128</v>
          </cell>
          <cell r="CA83">
            <v>21636</v>
          </cell>
          <cell r="CF83">
            <v>20158</v>
          </cell>
          <cell r="CK83">
            <v>21825</v>
          </cell>
          <cell r="CP83">
            <v>34178</v>
          </cell>
          <cell r="CU83">
            <v>34523</v>
          </cell>
          <cell r="CZ83">
            <v>42928</v>
          </cell>
          <cell r="DE83">
            <v>50261</v>
          </cell>
        </row>
        <row r="84">
          <cell r="B84" t="str">
            <v>Total long-term liabilities</v>
          </cell>
          <cell r="C84" t="str">
            <v>TOT_LT_LIAB</v>
          </cell>
          <cell r="D84" t="str">
            <v>JPY</v>
          </cell>
          <cell r="F84">
            <v>0</v>
          </cell>
          <cell r="G84">
            <v>71709</v>
          </cell>
          <cell r="H84">
            <v>71319</v>
          </cell>
          <cell r="I84">
            <v>64211</v>
          </cell>
          <cell r="J84">
            <v>61853</v>
          </cell>
          <cell r="K84">
            <v>50041</v>
          </cell>
          <cell r="L84">
            <v>72339</v>
          </cell>
          <cell r="M84">
            <v>85858</v>
          </cell>
          <cell r="N84">
            <v>66322</v>
          </cell>
          <cell r="O84">
            <v>67346</v>
          </cell>
          <cell r="P84">
            <v>64860</v>
          </cell>
          <cell r="S84">
            <v>56452</v>
          </cell>
          <cell r="X84">
            <v>93026</v>
          </cell>
          <cell r="AC84">
            <v>75245</v>
          </cell>
          <cell r="AH84">
            <v>85549</v>
          </cell>
          <cell r="AM84">
            <v>100486</v>
          </cell>
          <cell r="AR84">
            <v>98231</v>
          </cell>
          <cell r="AW84">
            <v>94763</v>
          </cell>
          <cell r="BB84">
            <v>102905</v>
          </cell>
          <cell r="BG84">
            <v>103430</v>
          </cell>
          <cell r="BL84">
            <v>83078</v>
          </cell>
          <cell r="BQ84">
            <v>86756</v>
          </cell>
          <cell r="BV84">
            <v>82428</v>
          </cell>
          <cell r="CA84">
            <v>64936</v>
          </cell>
          <cell r="CF84">
            <v>33158</v>
          </cell>
          <cell r="CK84">
            <v>35427</v>
          </cell>
          <cell r="CP84">
            <v>47780</v>
          </cell>
          <cell r="CU84">
            <v>47923</v>
          </cell>
          <cell r="CZ84">
            <v>55928</v>
          </cell>
          <cell r="DE84">
            <v>50661</v>
          </cell>
        </row>
        <row r="85">
          <cell r="B85" t="str">
            <v>Total liabilities</v>
          </cell>
          <cell r="C85" t="str">
            <v>TOT_LIAB</v>
          </cell>
          <cell r="D85" t="str">
            <v>JPY</v>
          </cell>
          <cell r="F85">
            <v>0</v>
          </cell>
          <cell r="G85">
            <v>135109</v>
          </cell>
          <cell r="H85">
            <v>116696</v>
          </cell>
          <cell r="I85">
            <v>124890</v>
          </cell>
          <cell r="J85">
            <v>112045</v>
          </cell>
          <cell r="K85">
            <v>115021</v>
          </cell>
          <cell r="L85">
            <v>142384</v>
          </cell>
          <cell r="M85">
            <v>147833</v>
          </cell>
          <cell r="N85">
            <v>143691</v>
          </cell>
          <cell r="O85">
            <v>122823</v>
          </cell>
          <cell r="P85">
            <v>116557</v>
          </cell>
          <cell r="S85">
            <v>125805</v>
          </cell>
          <cell r="X85">
            <v>139774</v>
          </cell>
          <cell r="AC85">
            <v>142076</v>
          </cell>
          <cell r="AH85">
            <v>142872</v>
          </cell>
          <cell r="AM85">
            <v>149056</v>
          </cell>
          <cell r="AR85">
            <v>144089</v>
          </cell>
          <cell r="AW85">
            <v>136267</v>
          </cell>
          <cell r="BB85">
            <v>164019</v>
          </cell>
          <cell r="BG85">
            <v>149783</v>
          </cell>
          <cell r="BL85">
            <v>138696</v>
          </cell>
          <cell r="BQ85">
            <v>140335</v>
          </cell>
          <cell r="BV85">
            <v>139995</v>
          </cell>
          <cell r="CA85">
            <v>116811</v>
          </cell>
          <cell r="CF85">
            <v>90639</v>
          </cell>
          <cell r="CK85">
            <v>91667</v>
          </cell>
          <cell r="CP85">
            <v>109571</v>
          </cell>
          <cell r="CU85">
            <v>116067</v>
          </cell>
          <cell r="CZ85">
            <v>139153</v>
          </cell>
          <cell r="DE85">
            <v>149416</v>
          </cell>
        </row>
        <row r="86">
          <cell r="B86" t="str">
            <v>Preferred shares</v>
          </cell>
          <cell r="C86" t="str">
            <v>PREF_SH</v>
          </cell>
          <cell r="D86" t="str">
            <v>JPY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S86">
            <v>0</v>
          </cell>
          <cell r="X86">
            <v>0</v>
          </cell>
          <cell r="AC86">
            <v>0</v>
          </cell>
          <cell r="AH86">
            <v>0</v>
          </cell>
          <cell r="AM86">
            <v>0</v>
          </cell>
          <cell r="AR86">
            <v>0</v>
          </cell>
          <cell r="AW86">
            <v>0</v>
          </cell>
          <cell r="BB86">
            <v>0</v>
          </cell>
          <cell r="BG86">
            <v>0</v>
          </cell>
          <cell r="BL86">
            <v>0</v>
          </cell>
          <cell r="BQ86">
            <v>0</v>
          </cell>
          <cell r="BV86">
            <v>0</v>
          </cell>
          <cell r="CA86">
            <v>0</v>
          </cell>
          <cell r="CF86">
            <v>0</v>
          </cell>
          <cell r="CK86">
            <v>0</v>
          </cell>
          <cell r="CP86">
            <v>0</v>
          </cell>
          <cell r="CU86">
            <v>0</v>
          </cell>
          <cell r="CZ86">
            <v>0</v>
          </cell>
          <cell r="DE86">
            <v>0</v>
          </cell>
        </row>
        <row r="87">
          <cell r="B87" t="str">
            <v>Total common equity</v>
          </cell>
          <cell r="C87" t="str">
            <v>ORD_SH_FUND</v>
          </cell>
          <cell r="D87" t="str">
            <v>JPY</v>
          </cell>
          <cell r="F87">
            <v>0</v>
          </cell>
          <cell r="G87">
            <v>92772</v>
          </cell>
          <cell r="H87">
            <v>100758</v>
          </cell>
          <cell r="I87">
            <v>105005</v>
          </cell>
          <cell r="J87">
            <v>108790</v>
          </cell>
          <cell r="K87">
            <v>112639</v>
          </cell>
          <cell r="L87">
            <v>119503</v>
          </cell>
          <cell r="M87">
            <v>120595</v>
          </cell>
          <cell r="N87">
            <v>132313</v>
          </cell>
          <cell r="O87">
            <v>131806</v>
          </cell>
          <cell r="P87">
            <v>141849</v>
          </cell>
          <cell r="S87">
            <v>147370</v>
          </cell>
          <cell r="X87">
            <v>168676</v>
          </cell>
          <cell r="AC87">
            <v>175523</v>
          </cell>
          <cell r="AH87">
            <v>167256</v>
          </cell>
          <cell r="AM87">
            <v>160173</v>
          </cell>
          <cell r="AR87">
            <v>165463</v>
          </cell>
          <cell r="AW87">
            <v>160910</v>
          </cell>
          <cell r="BB87">
            <v>165942</v>
          </cell>
          <cell r="BG87">
            <v>186682</v>
          </cell>
          <cell r="BL87">
            <v>209204</v>
          </cell>
          <cell r="BQ87">
            <v>236509</v>
          </cell>
          <cell r="BV87">
            <v>223685</v>
          </cell>
          <cell r="CA87">
            <v>240010</v>
          </cell>
          <cell r="CF87">
            <v>248073</v>
          </cell>
          <cell r="CK87">
            <v>265429</v>
          </cell>
          <cell r="CP87">
            <v>272435</v>
          </cell>
          <cell r="CU87">
            <v>305983</v>
          </cell>
          <cell r="CZ87">
            <v>357817</v>
          </cell>
          <cell r="DE87">
            <v>410514</v>
          </cell>
        </row>
        <row r="88">
          <cell r="B88" t="str">
            <v>Minority interest</v>
          </cell>
          <cell r="C88" t="str">
            <v>MINORITIES</v>
          </cell>
          <cell r="D88" t="str">
            <v>JPY</v>
          </cell>
          <cell r="F88">
            <v>0</v>
          </cell>
          <cell r="G88">
            <v>427</v>
          </cell>
          <cell r="H88">
            <v>387</v>
          </cell>
          <cell r="I88">
            <v>400</v>
          </cell>
          <cell r="J88">
            <v>344</v>
          </cell>
          <cell r="K88">
            <v>363</v>
          </cell>
          <cell r="L88">
            <v>20223</v>
          </cell>
          <cell r="M88">
            <v>19131</v>
          </cell>
          <cell r="N88">
            <v>18523</v>
          </cell>
          <cell r="O88">
            <v>19273</v>
          </cell>
          <cell r="P88">
            <v>20196</v>
          </cell>
          <cell r="S88">
            <v>22627</v>
          </cell>
          <cell r="X88">
            <v>23331</v>
          </cell>
          <cell r="AC88">
            <v>31396</v>
          </cell>
          <cell r="AH88">
            <v>32159</v>
          </cell>
          <cell r="AM88">
            <v>1644</v>
          </cell>
          <cell r="AR88">
            <v>1623</v>
          </cell>
          <cell r="AW88">
            <v>1690</v>
          </cell>
          <cell r="BB88">
            <v>1410</v>
          </cell>
          <cell r="BG88">
            <v>1174</v>
          </cell>
          <cell r="BL88">
            <v>1203</v>
          </cell>
          <cell r="BQ88">
            <v>1922</v>
          </cell>
          <cell r="BV88">
            <v>1991</v>
          </cell>
          <cell r="CA88">
            <v>4427</v>
          </cell>
          <cell r="CF88">
            <v>5216</v>
          </cell>
          <cell r="CK88">
            <v>5022</v>
          </cell>
          <cell r="CP88">
            <v>5322</v>
          </cell>
          <cell r="CU88">
            <v>5419</v>
          </cell>
          <cell r="CZ88">
            <v>6091</v>
          </cell>
          <cell r="DE88">
            <v>6456</v>
          </cell>
        </row>
        <row r="89">
          <cell r="B89" t="str">
            <v>Total shareholders' equity</v>
          </cell>
          <cell r="C89" t="str">
            <v>EQ</v>
          </cell>
          <cell r="D89" t="str">
            <v>JPY</v>
          </cell>
          <cell r="F89">
            <v>0</v>
          </cell>
          <cell r="G89">
            <v>93199</v>
          </cell>
          <cell r="H89">
            <v>101145</v>
          </cell>
          <cell r="I89">
            <v>105405</v>
          </cell>
          <cell r="J89">
            <v>109134</v>
          </cell>
          <cell r="K89">
            <v>113002</v>
          </cell>
          <cell r="L89">
            <v>139726</v>
          </cell>
          <cell r="M89">
            <v>139726</v>
          </cell>
          <cell r="N89">
            <v>150836</v>
          </cell>
          <cell r="O89">
            <v>151079</v>
          </cell>
          <cell r="P89">
            <v>162045</v>
          </cell>
          <cell r="S89">
            <v>169997</v>
          </cell>
          <cell r="X89">
            <v>192007</v>
          </cell>
          <cell r="AC89">
            <v>206919</v>
          </cell>
          <cell r="AH89">
            <v>199415</v>
          </cell>
          <cell r="AM89">
            <v>161817</v>
          </cell>
          <cell r="AR89">
            <v>167086</v>
          </cell>
          <cell r="AW89">
            <v>162600</v>
          </cell>
          <cell r="BB89">
            <v>167352</v>
          </cell>
          <cell r="BG89">
            <v>187856</v>
          </cell>
          <cell r="BL89">
            <v>210407</v>
          </cell>
          <cell r="BQ89">
            <v>238431</v>
          </cell>
          <cell r="BV89">
            <v>225676</v>
          </cell>
          <cell r="CA89">
            <v>244437</v>
          </cell>
          <cell r="CF89">
            <v>253289</v>
          </cell>
          <cell r="CK89">
            <v>270452</v>
          </cell>
          <cell r="CP89">
            <v>277757</v>
          </cell>
          <cell r="CU89">
            <v>311402</v>
          </cell>
          <cell r="CZ89">
            <v>363908</v>
          </cell>
          <cell r="DE89">
            <v>416970</v>
          </cell>
        </row>
        <row r="90">
          <cell r="B90" t="str">
            <v>Total liabilities and equity</v>
          </cell>
          <cell r="C90" t="str">
            <v>TOT_LIAB_EQ</v>
          </cell>
          <cell r="D90" t="str">
            <v>JPY</v>
          </cell>
          <cell r="F90">
            <v>0</v>
          </cell>
          <cell r="G90">
            <v>228308</v>
          </cell>
          <cell r="H90">
            <v>217841</v>
          </cell>
          <cell r="I90">
            <v>230295</v>
          </cell>
          <cell r="J90">
            <v>221179</v>
          </cell>
          <cell r="K90">
            <v>228023</v>
          </cell>
          <cell r="L90">
            <v>282110</v>
          </cell>
          <cell r="M90">
            <v>287559</v>
          </cell>
          <cell r="N90">
            <v>294527</v>
          </cell>
          <cell r="O90">
            <v>273902</v>
          </cell>
          <cell r="P90">
            <v>278602</v>
          </cell>
          <cell r="S90">
            <v>295802</v>
          </cell>
          <cell r="X90">
            <v>331781</v>
          </cell>
          <cell r="AC90">
            <v>348995</v>
          </cell>
          <cell r="AH90">
            <v>342287</v>
          </cell>
          <cell r="AM90">
            <v>310873</v>
          </cell>
          <cell r="AR90">
            <v>311175</v>
          </cell>
          <cell r="AW90">
            <v>298867</v>
          </cell>
          <cell r="BB90">
            <v>331371</v>
          </cell>
          <cell r="BG90">
            <v>337639</v>
          </cell>
          <cell r="BL90">
            <v>349103</v>
          </cell>
          <cell r="BQ90">
            <v>378766</v>
          </cell>
          <cell r="BV90">
            <v>365671</v>
          </cell>
          <cell r="CA90">
            <v>361248</v>
          </cell>
          <cell r="CF90">
            <v>343929</v>
          </cell>
          <cell r="CK90">
            <v>362119</v>
          </cell>
          <cell r="CP90">
            <v>387329</v>
          </cell>
          <cell r="CU90">
            <v>427470</v>
          </cell>
          <cell r="CZ90">
            <v>503061</v>
          </cell>
          <cell r="DE90">
            <v>566386</v>
          </cell>
        </row>
        <row r="91">
          <cell r="A91" t="str">
            <v>Additional Balance Sheet Items</v>
          </cell>
        </row>
        <row r="92">
          <cell r="B92" t="str">
            <v>Total US$ debt (in US$)</v>
          </cell>
          <cell r="C92" t="str">
            <v>TOT_USD_DEBT</v>
          </cell>
          <cell r="BV92">
            <v>0</v>
          </cell>
          <cell r="CA92">
            <v>0</v>
          </cell>
          <cell r="CF92">
            <v>0</v>
          </cell>
          <cell r="CK92">
            <v>0</v>
          </cell>
          <cell r="CP92">
            <v>0</v>
          </cell>
          <cell r="CU92">
            <v>0</v>
          </cell>
          <cell r="CZ92">
            <v>0</v>
          </cell>
          <cell r="DE92">
            <v>0</v>
          </cell>
        </row>
        <row r="93">
          <cell r="B93" t="str">
            <v>% US$ debt hedged (principal)</v>
          </cell>
          <cell r="C93" t="str">
            <v>TOT_PCT_USD_DEBT_HEDGED</v>
          </cell>
          <cell r="BV93">
            <v>0</v>
          </cell>
          <cell r="CA93">
            <v>0</v>
          </cell>
          <cell r="CF93">
            <v>0</v>
          </cell>
          <cell r="CK93">
            <v>0</v>
          </cell>
          <cell r="CP93">
            <v>0</v>
          </cell>
          <cell r="CU93">
            <v>0</v>
          </cell>
          <cell r="CZ93">
            <v>0</v>
          </cell>
          <cell r="DE93">
            <v>0</v>
          </cell>
        </row>
        <row r="94">
          <cell r="B94" t="str">
            <v>% Floating debt (local currency debt)</v>
          </cell>
          <cell r="C94" t="str">
            <v>FLOATING_PCT_LOCAL_DEBT</v>
          </cell>
          <cell r="BV94">
            <v>0</v>
          </cell>
        </row>
        <row r="95">
          <cell r="B95" t="str">
            <v>% floating debt hedged (rates)</v>
          </cell>
          <cell r="C95" t="str">
            <v>FLOATING_PCT_LOCAL_DEBT_HEDGED</v>
          </cell>
          <cell r="BV95">
            <v>0</v>
          </cell>
        </row>
        <row r="96">
          <cell r="B96" t="str">
            <v>Net debt</v>
          </cell>
          <cell r="C96" t="str">
            <v>NET_DEBT</v>
          </cell>
          <cell r="D96" t="str">
            <v>JPY</v>
          </cell>
          <cell r="F96">
            <v>0</v>
          </cell>
          <cell r="G96">
            <v>22156</v>
          </cell>
          <cell r="H96">
            <v>19337</v>
          </cell>
          <cell r="I96">
            <v>15334</v>
          </cell>
          <cell r="J96">
            <v>17307</v>
          </cell>
          <cell r="K96">
            <v>19277</v>
          </cell>
          <cell r="L96">
            <v>22156</v>
          </cell>
          <cell r="M96">
            <v>23322</v>
          </cell>
          <cell r="N96">
            <v>19780</v>
          </cell>
          <cell r="O96">
            <v>10795</v>
          </cell>
          <cell r="P96">
            <v>15388</v>
          </cell>
          <cell r="S96">
            <v>28905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27343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41013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39420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67965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65114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54231</v>
          </cell>
          <cell r="BB96">
            <v>65940</v>
          </cell>
          <cell r="BG96">
            <v>62209</v>
          </cell>
          <cell r="BL96">
            <v>47266</v>
          </cell>
          <cell r="BQ96">
            <v>33935</v>
          </cell>
          <cell r="BV96">
            <v>29642</v>
          </cell>
          <cell r="CA96">
            <v>-361</v>
          </cell>
          <cell r="CF96">
            <v>-8396</v>
          </cell>
          <cell r="CK96">
            <v>-13073</v>
          </cell>
          <cell r="CP96">
            <v>-11175</v>
          </cell>
          <cell r="CU96">
            <v>-38328</v>
          </cell>
          <cell r="CZ96">
            <v>-61726</v>
          </cell>
          <cell r="DE96">
            <v>-81893</v>
          </cell>
        </row>
        <row r="97">
          <cell r="B97" t="str">
            <v>Capitalized operating leases (off-balance sheet)</v>
          </cell>
          <cell r="C97" t="str">
            <v>CAP_LEASES</v>
          </cell>
          <cell r="D97" t="str">
            <v>JPY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S97">
            <v>0</v>
          </cell>
          <cell r="X97">
            <v>0</v>
          </cell>
          <cell r="AC97">
            <v>0</v>
          </cell>
          <cell r="AH97">
            <v>0</v>
          </cell>
          <cell r="AM97">
            <v>0</v>
          </cell>
          <cell r="AR97">
            <v>0</v>
          </cell>
          <cell r="AW97">
            <v>0</v>
          </cell>
          <cell r="BB97">
            <v>0</v>
          </cell>
          <cell r="BG97">
            <v>0</v>
          </cell>
          <cell r="BL97">
            <v>0</v>
          </cell>
          <cell r="BQ97">
            <v>0</v>
          </cell>
          <cell r="BV97">
            <v>0</v>
          </cell>
          <cell r="CA97">
            <v>0</v>
          </cell>
          <cell r="CF97">
            <v>0</v>
          </cell>
          <cell r="CK97">
            <v>0</v>
          </cell>
          <cell r="CP97">
            <v>0</v>
          </cell>
          <cell r="CU97">
            <v>0</v>
          </cell>
          <cell r="CZ97">
            <v>0</v>
          </cell>
          <cell r="DE97">
            <v>0</v>
          </cell>
        </row>
        <row r="98">
          <cell r="B98" t="str">
            <v>Deferred income taxes</v>
          </cell>
          <cell r="C98" t="str">
            <v>DEF_INC_TAX</v>
          </cell>
          <cell r="D98" t="str">
            <v>JPY</v>
          </cell>
        </row>
        <row r="99">
          <cell r="B99" t="str">
            <v>Associates (mkt value) used in EV calculation</v>
          </cell>
          <cell r="C99" t="str">
            <v>MV_ASSOCIATES</v>
          </cell>
          <cell r="D99" t="str">
            <v>JPY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S99">
            <v>0</v>
          </cell>
          <cell r="X99">
            <v>0</v>
          </cell>
          <cell r="AC99">
            <v>0</v>
          </cell>
          <cell r="AH99">
            <v>0</v>
          </cell>
          <cell r="AM99">
            <v>0</v>
          </cell>
          <cell r="AR99">
            <v>0</v>
          </cell>
          <cell r="AW99">
            <v>0</v>
          </cell>
          <cell r="BB99">
            <v>0</v>
          </cell>
          <cell r="BG99">
            <v>0</v>
          </cell>
          <cell r="BL99">
            <v>0</v>
          </cell>
          <cell r="BQ99">
            <v>0</v>
          </cell>
          <cell r="BV99">
            <v>0</v>
          </cell>
          <cell r="CA99">
            <v>0</v>
          </cell>
          <cell r="CF99">
            <v>0</v>
          </cell>
          <cell r="CK99">
            <v>0</v>
          </cell>
          <cell r="CP99">
            <v>0</v>
          </cell>
          <cell r="CU99">
            <v>0</v>
          </cell>
          <cell r="CZ99">
            <v>0</v>
          </cell>
          <cell r="DE99">
            <v>0</v>
          </cell>
        </row>
        <row r="100">
          <cell r="B100" t="str">
            <v>Net debt adjustment</v>
          </cell>
          <cell r="C100" t="str">
            <v>NET_DEBT_ADJ</v>
          </cell>
          <cell r="D100" t="str">
            <v>JPY</v>
          </cell>
        </row>
        <row r="101">
          <cell r="B101" t="str">
            <v>Company borrowing margin</v>
          </cell>
          <cell r="C101" t="str">
            <v>CO_BOR_MARGIN</v>
          </cell>
          <cell r="F101" t="e">
            <v>#VALUE!</v>
          </cell>
          <cell r="G101">
            <v>2.9922488023046683E-2</v>
          </cell>
          <cell r="H101">
            <v>3.5372589890568004E-2</v>
          </cell>
          <cell r="I101">
            <v>2.8280676842977161E-2</v>
          </cell>
          <cell r="J101">
            <v>3.8545829573288642E-2</v>
          </cell>
          <cell r="K101">
            <v>2.7994396451085687E-2</v>
          </cell>
          <cell r="L101">
            <v>2.7276460121619772E-2</v>
          </cell>
          <cell r="M101">
            <v>2.9869139135027287E-2</v>
          </cell>
          <cell r="N101">
            <v>2.3681459659792833E-2</v>
          </cell>
          <cell r="O101">
            <v>2.0708303106245465E-2</v>
          </cell>
          <cell r="P101">
            <v>1.5462536830058198E-2</v>
          </cell>
          <cell r="S101">
            <v>1.0974601061147088E-2</v>
          </cell>
          <cell r="X101">
            <v>1.0339965533448223E-2</v>
          </cell>
          <cell r="AC101">
            <v>1.598034128025886E-2</v>
          </cell>
          <cell r="AH101">
            <v>1.4581181714409959E-2</v>
          </cell>
          <cell r="AM101">
            <v>1.5110881897885509E-2</v>
          </cell>
          <cell r="AR101">
            <v>1.6787797023239622E-2</v>
          </cell>
          <cell r="AW101">
            <v>1.709038045597986E-2</v>
          </cell>
          <cell r="BB101">
            <v>1.3200364873872926E-2</v>
          </cell>
          <cell r="BG101">
            <v>1.6892982418386451E-2</v>
          </cell>
          <cell r="BL101">
            <v>2.0760653493239953E-2</v>
          </cell>
          <cell r="BQ101">
            <v>1.6532650894973317E-2</v>
          </cell>
          <cell r="BV101">
            <v>1.6124888546342052E-2</v>
          </cell>
          <cell r="CA101">
            <v>1.6522116218560277E-2</v>
          </cell>
          <cell r="CF101">
            <v>1.8212317277737838E-2</v>
          </cell>
          <cell r="CK101">
            <v>7.665749897594944E-3</v>
          </cell>
          <cell r="CP101">
            <v>2.4533389731930418E-2</v>
          </cell>
          <cell r="CU101">
            <v>3.0489913544668588E-2</v>
          </cell>
          <cell r="CZ101">
            <v>0.39244700908415703</v>
          </cell>
          <cell r="DE101">
            <v>0.38610060731064511</v>
          </cell>
        </row>
        <row r="102">
          <cell r="B102" t="str">
            <v>Unfunded pensions &amp; other provisions</v>
          </cell>
          <cell r="C102" t="str">
            <v>UNF_PENS</v>
          </cell>
          <cell r="D102" t="str">
            <v>JPY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S102">
            <v>0</v>
          </cell>
          <cell r="X102">
            <v>0</v>
          </cell>
          <cell r="AC102">
            <v>0</v>
          </cell>
          <cell r="AH102">
            <v>0</v>
          </cell>
          <cell r="AM102">
            <v>0</v>
          </cell>
          <cell r="AR102">
            <v>0</v>
          </cell>
          <cell r="AW102">
            <v>0</v>
          </cell>
          <cell r="BB102">
            <v>0</v>
          </cell>
          <cell r="BG102">
            <v>0</v>
          </cell>
          <cell r="BL102">
            <v>0</v>
          </cell>
          <cell r="BQ102">
            <v>0</v>
          </cell>
          <cell r="BV102">
            <v>0</v>
          </cell>
          <cell r="CA102">
            <v>0</v>
          </cell>
          <cell r="CF102">
            <v>0</v>
          </cell>
          <cell r="CK102">
            <v>0</v>
          </cell>
          <cell r="CP102">
            <v>0</v>
          </cell>
          <cell r="CU102">
            <v>0</v>
          </cell>
          <cell r="CZ102">
            <v>0</v>
          </cell>
          <cell r="DE102">
            <v>0</v>
          </cell>
        </row>
        <row r="103">
          <cell r="B103" t="str">
            <v>Unfunded pension liabilities (off balance sheet)</v>
          </cell>
          <cell r="C103" t="str">
            <v>UNF_PENS_OFF</v>
          </cell>
          <cell r="D103" t="str">
            <v>JPY</v>
          </cell>
        </row>
        <row r="104">
          <cell r="B104" t="str">
            <v>Unfunded pension liabilities &amp; other, used in EV</v>
          </cell>
          <cell r="C104" t="str">
            <v>UNF_PENS_LIAB_OTH</v>
          </cell>
          <cell r="D104" t="str">
            <v>JPY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S104">
            <v>0</v>
          </cell>
          <cell r="X104">
            <v>0</v>
          </cell>
          <cell r="AC104">
            <v>0</v>
          </cell>
          <cell r="AH104">
            <v>0</v>
          </cell>
          <cell r="AM104">
            <v>0</v>
          </cell>
          <cell r="AR104">
            <v>0</v>
          </cell>
          <cell r="AW104">
            <v>0</v>
          </cell>
          <cell r="BB104">
            <v>0</v>
          </cell>
          <cell r="BG104">
            <v>0</v>
          </cell>
          <cell r="BL104">
            <v>0</v>
          </cell>
          <cell r="BQ104">
            <v>0</v>
          </cell>
          <cell r="BV104">
            <v>0</v>
          </cell>
          <cell r="CA104">
            <v>0</v>
          </cell>
          <cell r="CF104">
            <v>0</v>
          </cell>
          <cell r="CK104">
            <v>0</v>
          </cell>
          <cell r="CP104">
            <v>0</v>
          </cell>
          <cell r="CU104">
            <v>0</v>
          </cell>
          <cell r="CZ104">
            <v>0</v>
          </cell>
          <cell r="DE104">
            <v>0</v>
          </cell>
        </row>
        <row r="105">
          <cell r="B105" t="str">
            <v>Adjustment for unfunded pensions &amp; goodwill</v>
          </cell>
          <cell r="C105" t="str">
            <v>ADJ_UNF_PENS_GOOD</v>
          </cell>
          <cell r="D105" t="str">
            <v>JPY</v>
          </cell>
        </row>
        <row r="106">
          <cell r="B106" t="str">
            <v>Other GCI adjustments</v>
          </cell>
          <cell r="C106" t="str">
            <v>OTH_GCI_ADJ</v>
          </cell>
          <cell r="D106" t="str">
            <v>JPY</v>
          </cell>
        </row>
        <row r="107">
          <cell r="B107" t="str">
            <v>GCI inflator</v>
          </cell>
          <cell r="C107" t="str">
            <v>GCI_INFL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J107">
            <v>1</v>
          </cell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S107">
            <v>1</v>
          </cell>
          <cell r="X107">
            <v>1</v>
          </cell>
          <cell r="AC107">
            <v>1</v>
          </cell>
          <cell r="AH107">
            <v>1</v>
          </cell>
          <cell r="AM107">
            <v>1</v>
          </cell>
          <cell r="AR107">
            <v>1</v>
          </cell>
          <cell r="AW107">
            <v>1</v>
          </cell>
          <cell r="BB107">
            <v>1</v>
          </cell>
          <cell r="BG107">
            <v>1</v>
          </cell>
          <cell r="BL107">
            <v>1</v>
          </cell>
          <cell r="BQ107">
            <v>1</v>
          </cell>
          <cell r="BV107">
            <v>1</v>
          </cell>
          <cell r="CA107">
            <v>1</v>
          </cell>
          <cell r="CF107">
            <v>1</v>
          </cell>
          <cell r="CK107">
            <v>1</v>
          </cell>
          <cell r="CP107">
            <v>1</v>
          </cell>
          <cell r="CU107">
            <v>1</v>
          </cell>
          <cell r="CZ107">
            <v>1</v>
          </cell>
          <cell r="DE107">
            <v>1</v>
          </cell>
        </row>
        <row r="108">
          <cell r="B108" t="str">
            <v>Minority interest</v>
          </cell>
          <cell r="C108" t="str">
            <v>BAL_MINO_INT</v>
          </cell>
          <cell r="D108" t="str">
            <v>JPY</v>
          </cell>
          <cell r="F108">
            <v>0</v>
          </cell>
          <cell r="G108">
            <v>427</v>
          </cell>
          <cell r="H108">
            <v>387</v>
          </cell>
          <cell r="I108">
            <v>400</v>
          </cell>
          <cell r="J108">
            <v>344</v>
          </cell>
          <cell r="K108">
            <v>363</v>
          </cell>
          <cell r="L108">
            <v>20223</v>
          </cell>
          <cell r="M108">
            <v>19131</v>
          </cell>
          <cell r="N108">
            <v>18523</v>
          </cell>
          <cell r="O108">
            <v>19273</v>
          </cell>
          <cell r="P108">
            <v>20196</v>
          </cell>
          <cell r="S108">
            <v>22627</v>
          </cell>
          <cell r="X108">
            <v>23331</v>
          </cell>
          <cell r="AC108">
            <v>31396</v>
          </cell>
          <cell r="AH108">
            <v>32159</v>
          </cell>
          <cell r="AM108">
            <v>1644</v>
          </cell>
          <cell r="AR108">
            <v>1623</v>
          </cell>
          <cell r="AW108">
            <v>1690</v>
          </cell>
          <cell r="BB108">
            <v>1410</v>
          </cell>
          <cell r="BG108">
            <v>1174</v>
          </cell>
          <cell r="BL108">
            <v>1203</v>
          </cell>
          <cell r="BQ108">
            <v>1922</v>
          </cell>
          <cell r="BV108">
            <v>1991</v>
          </cell>
          <cell r="CA108">
            <v>4427</v>
          </cell>
          <cell r="CF108">
            <v>5216</v>
          </cell>
          <cell r="CK108">
            <v>5022</v>
          </cell>
          <cell r="CP108">
            <v>5322</v>
          </cell>
          <cell r="CU108">
            <v>5419</v>
          </cell>
          <cell r="CZ108">
            <v>6091</v>
          </cell>
          <cell r="DE108">
            <v>6456</v>
          </cell>
        </row>
        <row r="109">
          <cell r="B109" t="str">
            <v>Cash &amp; cash equivalents</v>
          </cell>
          <cell r="C109" t="str">
            <v>CASH_EQ_JPN</v>
          </cell>
          <cell r="D109" t="str">
            <v>JPY</v>
          </cell>
          <cell r="F109">
            <v>0</v>
          </cell>
          <cell r="G109">
            <v>40673</v>
          </cell>
          <cell r="H109">
            <v>28638</v>
          </cell>
          <cell r="I109">
            <v>35372</v>
          </cell>
          <cell r="J109">
            <v>21478</v>
          </cell>
          <cell r="K109">
            <v>23553</v>
          </cell>
          <cell r="L109">
            <v>28987</v>
          </cell>
          <cell r="M109">
            <v>27801</v>
          </cell>
          <cell r="N109">
            <v>32835</v>
          </cell>
          <cell r="O109">
            <v>34694</v>
          </cell>
          <cell r="P109">
            <v>25679</v>
          </cell>
          <cell r="S109">
            <v>20664</v>
          </cell>
          <cell r="X109">
            <v>36487</v>
          </cell>
          <cell r="AC109">
            <v>24505</v>
          </cell>
          <cell r="AH109">
            <v>34168</v>
          </cell>
          <cell r="AM109">
            <v>28985</v>
          </cell>
          <cell r="AR109">
            <v>26798</v>
          </cell>
          <cell r="AW109">
            <v>30378</v>
          </cell>
          <cell r="BB109">
            <v>48072</v>
          </cell>
          <cell r="BG109">
            <v>30729</v>
          </cell>
          <cell r="BL109">
            <v>28695</v>
          </cell>
          <cell r="BQ109">
            <v>34838</v>
          </cell>
          <cell r="BV109">
            <v>36529</v>
          </cell>
          <cell r="CA109">
            <v>46481</v>
          </cell>
          <cell r="CF109">
            <v>25088</v>
          </cell>
          <cell r="CK109">
            <v>30162</v>
          </cell>
          <cell r="CP109">
            <v>30088</v>
          </cell>
          <cell r="CU109">
            <v>55678</v>
          </cell>
          <cell r="CZ109">
            <v>79229</v>
          </cell>
          <cell r="DE109">
            <v>99347</v>
          </cell>
        </row>
        <row r="110">
          <cell r="B110" t="str">
            <v>Other current assets</v>
          </cell>
          <cell r="C110" t="str">
            <v>OTH_CUR_ASS_JPN</v>
          </cell>
          <cell r="D110" t="str">
            <v>JPY</v>
          </cell>
          <cell r="F110">
            <v>0</v>
          </cell>
          <cell r="G110">
            <v>3439</v>
          </cell>
          <cell r="H110">
            <v>3397</v>
          </cell>
          <cell r="I110">
            <v>3824</v>
          </cell>
          <cell r="J110">
            <v>4072</v>
          </cell>
          <cell r="K110">
            <v>3983</v>
          </cell>
          <cell r="L110">
            <v>7232</v>
          </cell>
          <cell r="M110">
            <v>9006</v>
          </cell>
          <cell r="N110">
            <v>13531</v>
          </cell>
          <cell r="O110">
            <v>7881</v>
          </cell>
          <cell r="P110">
            <v>9901</v>
          </cell>
          <cell r="S110">
            <v>10772</v>
          </cell>
          <cell r="X110">
            <v>11648</v>
          </cell>
          <cell r="AC110">
            <v>12287</v>
          </cell>
          <cell r="AH110">
            <v>16901</v>
          </cell>
          <cell r="AM110">
            <v>15506</v>
          </cell>
          <cell r="AR110">
            <v>14654</v>
          </cell>
          <cell r="AW110">
            <v>9476</v>
          </cell>
          <cell r="BB110">
            <v>9456</v>
          </cell>
          <cell r="BG110">
            <v>12957</v>
          </cell>
          <cell r="BL110">
            <v>15147</v>
          </cell>
          <cell r="BQ110">
            <v>16183</v>
          </cell>
          <cell r="BV110">
            <v>9783</v>
          </cell>
          <cell r="CA110">
            <v>16415</v>
          </cell>
          <cell r="CF110">
            <v>7161</v>
          </cell>
          <cell r="CK110">
            <v>7514</v>
          </cell>
          <cell r="CP110">
            <v>8545</v>
          </cell>
          <cell r="CU110">
            <v>12351</v>
          </cell>
          <cell r="CZ110">
            <v>8856</v>
          </cell>
          <cell r="DE110">
            <v>14572</v>
          </cell>
        </row>
        <row r="111">
          <cell r="B111" t="str">
            <v>Right-of-use assets (op lease assets under US GAAP)</v>
          </cell>
          <cell r="C111" t="str">
            <v>ROU_ASSET</v>
          </cell>
          <cell r="D111" t="str">
            <v>JPY</v>
          </cell>
        </row>
        <row r="112">
          <cell r="A112" t="str">
            <v>Cash Flow Statement</v>
          </cell>
        </row>
        <row r="113">
          <cell r="B113" t="str">
            <v>Minority interest add-back</v>
          </cell>
          <cell r="C113" t="str">
            <v>CF_INC_MINORITY</v>
          </cell>
          <cell r="D113" t="str">
            <v>JPY</v>
          </cell>
          <cell r="K113">
            <v>-21</v>
          </cell>
          <cell r="L113">
            <v>-461</v>
          </cell>
          <cell r="M113">
            <v>435</v>
          </cell>
          <cell r="N113">
            <v>441</v>
          </cell>
          <cell r="O113">
            <v>-1414</v>
          </cell>
          <cell r="P113">
            <v>-1241</v>
          </cell>
          <cell r="S113">
            <v>-1106</v>
          </cell>
          <cell r="X113">
            <v>1002</v>
          </cell>
          <cell r="AC113">
            <v>1793</v>
          </cell>
          <cell r="AH113">
            <v>1452</v>
          </cell>
          <cell r="AM113">
            <v>724</v>
          </cell>
          <cell r="AR113">
            <v>85</v>
          </cell>
          <cell r="AW113">
            <v>83</v>
          </cell>
          <cell r="BB113">
            <v>51</v>
          </cell>
          <cell r="BG113">
            <v>102</v>
          </cell>
          <cell r="BL113">
            <v>5</v>
          </cell>
          <cell r="BQ113">
            <v>110</v>
          </cell>
          <cell r="BV113">
            <v>201</v>
          </cell>
          <cell r="CA113">
            <v>53</v>
          </cell>
          <cell r="CF113">
            <v>311</v>
          </cell>
          <cell r="CK113">
            <v>411</v>
          </cell>
          <cell r="CP113">
            <v>409</v>
          </cell>
          <cell r="CU113">
            <v>460</v>
          </cell>
          <cell r="CZ113">
            <v>441</v>
          </cell>
          <cell r="DE113">
            <v>466</v>
          </cell>
        </row>
        <row r="114">
          <cell r="B114" t="str">
            <v>Depreciation &amp; amortization add-back</v>
          </cell>
          <cell r="C114" t="str">
            <v>DEPR_AMORT</v>
          </cell>
          <cell r="D114" t="str">
            <v>JPY</v>
          </cell>
          <cell r="K114">
            <v>9950</v>
          </cell>
          <cell r="L114">
            <v>15919</v>
          </cell>
          <cell r="M114">
            <v>17681</v>
          </cell>
          <cell r="N114">
            <v>16437</v>
          </cell>
          <cell r="O114">
            <v>15028</v>
          </cell>
          <cell r="P114">
            <v>13847</v>
          </cell>
          <cell r="S114">
            <v>13622</v>
          </cell>
          <cell r="X114">
            <v>14223</v>
          </cell>
          <cell r="AC114">
            <v>16290</v>
          </cell>
          <cell r="AH114">
            <v>17660</v>
          </cell>
          <cell r="AM114">
            <v>17239</v>
          </cell>
          <cell r="AR114">
            <v>12036</v>
          </cell>
          <cell r="AW114">
            <v>12150</v>
          </cell>
          <cell r="BB114">
            <v>12611</v>
          </cell>
          <cell r="BG114">
            <v>12160</v>
          </cell>
          <cell r="BL114">
            <v>12983</v>
          </cell>
          <cell r="BQ114">
            <v>14401</v>
          </cell>
          <cell r="BV114">
            <v>11936</v>
          </cell>
          <cell r="CA114">
            <v>12339</v>
          </cell>
          <cell r="CF114">
            <v>13159</v>
          </cell>
          <cell r="CK114">
            <v>13258</v>
          </cell>
          <cell r="CP114">
            <v>13832</v>
          </cell>
          <cell r="CU114">
            <v>14926</v>
          </cell>
          <cell r="CZ114">
            <v>20030</v>
          </cell>
          <cell r="DE114">
            <v>22240</v>
          </cell>
        </row>
        <row r="115">
          <cell r="B115" t="str">
            <v>(Increase)/decrease in working capital</v>
          </cell>
          <cell r="C115" t="str">
            <v>WORK_CAP</v>
          </cell>
          <cell r="D115" t="str">
            <v>JPY</v>
          </cell>
          <cell r="K115">
            <v>0</v>
          </cell>
          <cell r="L115">
            <v>3006</v>
          </cell>
          <cell r="M115">
            <v>11216</v>
          </cell>
          <cell r="N115">
            <v>2541</v>
          </cell>
          <cell r="O115">
            <v>525</v>
          </cell>
          <cell r="P115">
            <v>259</v>
          </cell>
          <cell r="S115">
            <v>-3355</v>
          </cell>
          <cell r="X115">
            <v>213</v>
          </cell>
          <cell r="AC115">
            <v>-2071</v>
          </cell>
          <cell r="AH115">
            <v>1159</v>
          </cell>
          <cell r="AM115">
            <v>-5783</v>
          </cell>
          <cell r="AR115">
            <v>-4127</v>
          </cell>
          <cell r="AW115">
            <v>1312</v>
          </cell>
          <cell r="BB115">
            <v>-6277</v>
          </cell>
          <cell r="BG115">
            <v>-2775</v>
          </cell>
          <cell r="BL115">
            <v>-2585</v>
          </cell>
          <cell r="BQ115">
            <v>-2772</v>
          </cell>
          <cell r="BV115">
            <v>-3526</v>
          </cell>
          <cell r="CA115">
            <v>-2990</v>
          </cell>
          <cell r="CF115">
            <v>-7893</v>
          </cell>
          <cell r="CK115">
            <v>-5468</v>
          </cell>
          <cell r="CP115">
            <v>-3152</v>
          </cell>
          <cell r="CU115">
            <v>1851</v>
          </cell>
          <cell r="CZ115">
            <v>-13467</v>
          </cell>
          <cell r="DE115">
            <v>-9472</v>
          </cell>
        </row>
        <row r="116">
          <cell r="B116" t="str">
            <v>Other operating cash flow items</v>
          </cell>
          <cell r="C116" t="str">
            <v>OTH_OP_CF</v>
          </cell>
          <cell r="D116" t="str">
            <v>JPY</v>
          </cell>
          <cell r="K116">
            <v>-15215</v>
          </cell>
          <cell r="L116">
            <v>-2489</v>
          </cell>
          <cell r="M116">
            <v>-9709</v>
          </cell>
          <cell r="N116">
            <v>-2210</v>
          </cell>
          <cell r="O116">
            <v>-2438</v>
          </cell>
          <cell r="P116">
            <v>-1701</v>
          </cell>
          <cell r="S116">
            <v>1757</v>
          </cell>
          <cell r="X116">
            <v>-3710</v>
          </cell>
          <cell r="AC116">
            <v>-2583</v>
          </cell>
          <cell r="AH116">
            <v>-8018</v>
          </cell>
          <cell r="AM116">
            <v>6517</v>
          </cell>
          <cell r="AR116">
            <v>1698</v>
          </cell>
          <cell r="AW116">
            <v>1560</v>
          </cell>
          <cell r="BB116">
            <v>1161</v>
          </cell>
          <cell r="BG116">
            <v>7193</v>
          </cell>
          <cell r="BL116">
            <v>5164</v>
          </cell>
          <cell r="BQ116">
            <v>5629</v>
          </cell>
          <cell r="BV116">
            <v>6772</v>
          </cell>
          <cell r="CA116">
            <v>-6136</v>
          </cell>
          <cell r="CF116">
            <v>7792</v>
          </cell>
          <cell r="CK116">
            <v>3620</v>
          </cell>
          <cell r="CP116">
            <v>617</v>
          </cell>
          <cell r="CU116">
            <v>9515</v>
          </cell>
          <cell r="CZ116">
            <v>11649</v>
          </cell>
          <cell r="DE116">
            <v>10150</v>
          </cell>
        </row>
        <row r="117">
          <cell r="B117" t="str">
            <v>Cash flow from operating activities</v>
          </cell>
          <cell r="C117" t="str">
            <v>CF_OPS</v>
          </cell>
          <cell r="D117" t="str">
            <v>JPY</v>
          </cell>
          <cell r="K117">
            <v>0</v>
          </cell>
          <cell r="L117">
            <v>22125</v>
          </cell>
          <cell r="M117">
            <v>25367</v>
          </cell>
          <cell r="N117">
            <v>22572</v>
          </cell>
          <cell r="O117">
            <v>20012</v>
          </cell>
          <cell r="P117">
            <v>20451</v>
          </cell>
          <cell r="S117">
            <v>20405</v>
          </cell>
          <cell r="X117">
            <v>21853</v>
          </cell>
          <cell r="AC117">
            <v>24168</v>
          </cell>
          <cell r="AH117">
            <v>23700</v>
          </cell>
          <cell r="AM117">
            <v>21443</v>
          </cell>
          <cell r="AR117">
            <v>18294</v>
          </cell>
          <cell r="AW117">
            <v>22875</v>
          </cell>
          <cell r="BB117">
            <v>16529</v>
          </cell>
          <cell r="BG117">
            <v>27686</v>
          </cell>
          <cell r="BL117">
            <v>28126</v>
          </cell>
          <cell r="BQ117">
            <v>32750</v>
          </cell>
          <cell r="BV117">
            <v>35347</v>
          </cell>
          <cell r="CA117">
            <v>27076</v>
          </cell>
          <cell r="CF117">
            <v>37215</v>
          </cell>
          <cell r="CK117">
            <v>37813</v>
          </cell>
          <cell r="CP117">
            <v>38301</v>
          </cell>
          <cell r="CU117">
            <v>55580</v>
          </cell>
          <cell r="CZ117">
            <v>57556</v>
          </cell>
          <cell r="DE117">
            <v>67117</v>
          </cell>
        </row>
        <row r="118">
          <cell r="B118" t="str">
            <v>Capital expenditures, Capex</v>
          </cell>
          <cell r="C118" t="str">
            <v>CAPEX</v>
          </cell>
          <cell r="D118" t="str">
            <v>JPY</v>
          </cell>
          <cell r="K118">
            <v>0</v>
          </cell>
          <cell r="L118">
            <v>-15831</v>
          </cell>
          <cell r="M118">
            <v>-17445</v>
          </cell>
          <cell r="N118">
            <v>-14567</v>
          </cell>
          <cell r="O118">
            <v>-11841</v>
          </cell>
          <cell r="P118">
            <v>-15422</v>
          </cell>
          <cell r="S118">
            <v>-13663</v>
          </cell>
          <cell r="X118">
            <v>-17156</v>
          </cell>
          <cell r="AC118">
            <v>-17064</v>
          </cell>
          <cell r="AH118">
            <v>-21304</v>
          </cell>
          <cell r="AM118">
            <v>-17307</v>
          </cell>
          <cell r="AR118">
            <v>-15623</v>
          </cell>
          <cell r="AW118">
            <v>-14489</v>
          </cell>
          <cell r="BB118">
            <v>-18014</v>
          </cell>
          <cell r="BG118">
            <v>-14199</v>
          </cell>
          <cell r="BL118">
            <v>-17265</v>
          </cell>
          <cell r="BQ118">
            <v>-13087</v>
          </cell>
          <cell r="BV118">
            <v>-14795</v>
          </cell>
          <cell r="CA118">
            <v>-12165</v>
          </cell>
          <cell r="CF118">
            <v>-18180</v>
          </cell>
          <cell r="CK118">
            <v>-28346</v>
          </cell>
          <cell r="CP118">
            <v>-27464</v>
          </cell>
          <cell r="CU118">
            <v>-19703</v>
          </cell>
          <cell r="CZ118">
            <v>-24617</v>
          </cell>
          <cell r="DE118">
            <v>-38228</v>
          </cell>
        </row>
        <row r="119">
          <cell r="B119" t="str">
            <v>Acquisitions</v>
          </cell>
          <cell r="C119" t="str">
            <v>ACQ</v>
          </cell>
          <cell r="D119" t="str">
            <v>JPY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K119">
            <v>0</v>
          </cell>
          <cell r="CP119">
            <v>0</v>
          </cell>
          <cell r="CU119">
            <v>0</v>
          </cell>
          <cell r="CZ119">
            <v>0</v>
          </cell>
          <cell r="DE119">
            <v>0</v>
          </cell>
        </row>
        <row r="120">
          <cell r="B120" t="str">
            <v>Divestitures</v>
          </cell>
          <cell r="C120" t="str">
            <v>DIVEST</v>
          </cell>
          <cell r="D120" t="str">
            <v>JPY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K120">
            <v>0</v>
          </cell>
          <cell r="CP120">
            <v>0</v>
          </cell>
          <cell r="CU120">
            <v>0</v>
          </cell>
          <cell r="CZ120">
            <v>0</v>
          </cell>
          <cell r="DE120">
            <v>0</v>
          </cell>
        </row>
        <row r="121">
          <cell r="B121" t="str">
            <v>Other investing cash flow items</v>
          </cell>
          <cell r="C121" t="str">
            <v>OTH_INV_CF</v>
          </cell>
          <cell r="D121" t="str">
            <v>JPY</v>
          </cell>
          <cell r="K121">
            <v>0</v>
          </cell>
          <cell r="L121">
            <v>-492</v>
          </cell>
          <cell r="M121">
            <v>-784</v>
          </cell>
          <cell r="N121">
            <v>-3035</v>
          </cell>
          <cell r="O121">
            <v>3290</v>
          </cell>
          <cell r="P121">
            <v>-685</v>
          </cell>
          <cell r="S121">
            <v>-17561</v>
          </cell>
          <cell r="X121">
            <v>-114</v>
          </cell>
          <cell r="AC121">
            <v>-10570</v>
          </cell>
          <cell r="AH121">
            <v>1726</v>
          </cell>
          <cell r="AM121">
            <v>-29241</v>
          </cell>
          <cell r="AR121">
            <v>3664</v>
          </cell>
          <cell r="AW121">
            <v>6687</v>
          </cell>
          <cell r="BB121">
            <v>-6618</v>
          </cell>
          <cell r="BG121">
            <v>-1499</v>
          </cell>
          <cell r="BL121">
            <v>8736</v>
          </cell>
          <cell r="BQ121">
            <v>8046</v>
          </cell>
          <cell r="BV121">
            <v>-1060</v>
          </cell>
          <cell r="CA121">
            <v>25400</v>
          </cell>
          <cell r="CF121">
            <v>3540</v>
          </cell>
          <cell r="CK121">
            <v>2648</v>
          </cell>
          <cell r="CP121">
            <v>-1765</v>
          </cell>
          <cell r="CU121">
            <v>2892</v>
          </cell>
          <cell r="CZ121">
            <v>8512</v>
          </cell>
          <cell r="DE121">
            <v>11608</v>
          </cell>
        </row>
        <row r="122">
          <cell r="B122" t="str">
            <v>Cash flow from investing</v>
          </cell>
          <cell r="C122" t="str">
            <v>CF_INV</v>
          </cell>
          <cell r="D122" t="str">
            <v>JPY</v>
          </cell>
          <cell r="K122">
            <v>0</v>
          </cell>
          <cell r="L122">
            <v>-16323</v>
          </cell>
          <cell r="M122">
            <v>-18229</v>
          </cell>
          <cell r="N122">
            <v>-17602</v>
          </cell>
          <cell r="O122">
            <v>-8551</v>
          </cell>
          <cell r="P122">
            <v>-16107</v>
          </cell>
          <cell r="S122">
            <v>-31224</v>
          </cell>
          <cell r="X122">
            <v>-17270</v>
          </cell>
          <cell r="AC122">
            <v>-27634</v>
          </cell>
          <cell r="AH122">
            <v>-19578</v>
          </cell>
          <cell r="AM122">
            <v>-46548</v>
          </cell>
          <cell r="AR122">
            <v>-11959</v>
          </cell>
          <cell r="AW122">
            <v>-7802</v>
          </cell>
          <cell r="BB122">
            <v>-24632</v>
          </cell>
          <cell r="BG122">
            <v>-15698</v>
          </cell>
          <cell r="BL122">
            <v>-8529</v>
          </cell>
          <cell r="BQ122">
            <v>-5041</v>
          </cell>
          <cell r="BV122">
            <v>-15855</v>
          </cell>
          <cell r="CA122">
            <v>13235</v>
          </cell>
          <cell r="CF122">
            <v>-14640</v>
          </cell>
          <cell r="CK122">
            <v>-25698</v>
          </cell>
          <cell r="CP122">
            <v>-29229</v>
          </cell>
          <cell r="CU122">
            <v>-16811</v>
          </cell>
          <cell r="CZ122">
            <v>-16105</v>
          </cell>
          <cell r="DE122">
            <v>-26620</v>
          </cell>
        </row>
        <row r="123">
          <cell r="B123" t="str">
            <v>Dividends paid</v>
          </cell>
          <cell r="C123" t="str">
            <v>DIV_PAID</v>
          </cell>
          <cell r="D123" t="str">
            <v>JPY</v>
          </cell>
          <cell r="K123">
            <v>0</v>
          </cell>
          <cell r="L123">
            <v>-1569</v>
          </cell>
          <cell r="M123">
            <v>-1580</v>
          </cell>
          <cell r="N123">
            <v>-545</v>
          </cell>
          <cell r="O123">
            <v>-1581</v>
          </cell>
          <cell r="P123">
            <v>-1892</v>
          </cell>
          <cell r="S123">
            <v>-2200</v>
          </cell>
          <cell r="X123">
            <v>-2193</v>
          </cell>
          <cell r="AC123">
            <v>-3007</v>
          </cell>
          <cell r="AH123">
            <v>-3505</v>
          </cell>
          <cell r="AM123">
            <v>-3510</v>
          </cell>
          <cell r="AR123">
            <v>-3114</v>
          </cell>
          <cell r="AW123">
            <v>-3110</v>
          </cell>
          <cell r="BB123">
            <v>-3094</v>
          </cell>
          <cell r="BG123">
            <v>-3088</v>
          </cell>
          <cell r="BL123">
            <v>-4002</v>
          </cell>
          <cell r="BQ123">
            <v>-4697</v>
          </cell>
          <cell r="BV123">
            <v>-6182</v>
          </cell>
          <cell r="CA123">
            <v>-6568</v>
          </cell>
          <cell r="CF123">
            <v>-7514</v>
          </cell>
          <cell r="CK123">
            <v>-7873</v>
          </cell>
          <cell r="CP123">
            <v>-8065</v>
          </cell>
          <cell r="CU123">
            <v>-8641</v>
          </cell>
          <cell r="CZ123">
            <v>-8825</v>
          </cell>
          <cell r="DE123">
            <v>-13220</v>
          </cell>
        </row>
        <row r="124">
          <cell r="B124" t="str">
            <v>Common stock issuance/(repurchase)</v>
          </cell>
          <cell r="C124" t="str">
            <v>SH_REPUR</v>
          </cell>
          <cell r="D124" t="str">
            <v>JPY</v>
          </cell>
          <cell r="K124">
            <v>0</v>
          </cell>
          <cell r="L124">
            <v>0</v>
          </cell>
          <cell r="M124">
            <v>0</v>
          </cell>
          <cell r="N124">
            <v>-36</v>
          </cell>
          <cell r="O124">
            <v>-554</v>
          </cell>
          <cell r="P124">
            <v>-541</v>
          </cell>
          <cell r="S124">
            <v>-1523</v>
          </cell>
          <cell r="X124">
            <v>-130</v>
          </cell>
          <cell r="AC124">
            <v>-249</v>
          </cell>
          <cell r="AH124">
            <v>-237</v>
          </cell>
          <cell r="AM124">
            <v>-892</v>
          </cell>
          <cell r="AR124">
            <v>-271</v>
          </cell>
          <cell r="AW124">
            <v>-1161</v>
          </cell>
          <cell r="BB124">
            <v>-71</v>
          </cell>
          <cell r="BG124">
            <v>-5113</v>
          </cell>
          <cell r="BL124">
            <v>-130</v>
          </cell>
          <cell r="BQ124">
            <v>-10134</v>
          </cell>
          <cell r="BV124">
            <v>-10262</v>
          </cell>
          <cell r="CA124">
            <v>-101</v>
          </cell>
          <cell r="CF124">
            <v>-5035</v>
          </cell>
          <cell r="CK124">
            <v>-19</v>
          </cell>
          <cell r="CP124">
            <v>-16</v>
          </cell>
          <cell r="CU124">
            <v>-33</v>
          </cell>
          <cell r="CZ124">
            <v>-3154</v>
          </cell>
          <cell r="DE124">
            <v>-519</v>
          </cell>
        </row>
        <row r="125">
          <cell r="B125" t="str">
            <v>Increase/(decrease) in total debt</v>
          </cell>
          <cell r="C125" t="str">
            <v>CHG_LT_DEBT</v>
          </cell>
          <cell r="D125" t="str">
            <v>JPY</v>
          </cell>
          <cell r="K125">
            <v>0</v>
          </cell>
          <cell r="L125">
            <v>-6769</v>
          </cell>
          <cell r="M125">
            <v>-6789</v>
          </cell>
          <cell r="N125">
            <v>145</v>
          </cell>
          <cell r="O125">
            <v>-6454</v>
          </cell>
          <cell r="P125">
            <v>-3911</v>
          </cell>
          <cell r="S125">
            <v>8438</v>
          </cell>
          <cell r="X125">
            <v>-19288</v>
          </cell>
          <cell r="AC125">
            <v>-1376</v>
          </cell>
          <cell r="AH125">
            <v>8558</v>
          </cell>
          <cell r="AM125">
            <v>24356</v>
          </cell>
          <cell r="AR125">
            <v>-4998</v>
          </cell>
          <cell r="AW125">
            <v>-7058</v>
          </cell>
          <cell r="BB125">
            <v>29040</v>
          </cell>
          <cell r="BG125">
            <v>-21134</v>
          </cell>
          <cell r="BL125">
            <v>-17757</v>
          </cell>
          <cell r="BQ125">
            <v>-7275</v>
          </cell>
          <cell r="BV125">
            <v>-2558</v>
          </cell>
          <cell r="CA125">
            <v>-20468</v>
          </cell>
          <cell r="CF125">
            <v>-31132</v>
          </cell>
          <cell r="CK125">
            <v>681</v>
          </cell>
          <cell r="CP125">
            <v>1949</v>
          </cell>
          <cell r="CU125">
            <v>-1582</v>
          </cell>
          <cell r="CZ125">
            <v>34</v>
          </cell>
          <cell r="DE125">
            <v>-145</v>
          </cell>
        </row>
        <row r="126">
          <cell r="B126" t="str">
            <v>Lease principal payments  (applicable to IFRS cos.)</v>
          </cell>
          <cell r="C126" t="str">
            <v>LEASE_PRINCIPAL_CASH</v>
          </cell>
          <cell r="D126" t="str">
            <v>JPY</v>
          </cell>
        </row>
        <row r="127">
          <cell r="B127" t="str">
            <v>Other financing cash flow items</v>
          </cell>
          <cell r="C127" t="str">
            <v>OTH_FIN_CF</v>
          </cell>
          <cell r="D127" t="str">
            <v>JPY</v>
          </cell>
          <cell r="K127">
            <v>0</v>
          </cell>
          <cell r="L127">
            <v>5600</v>
          </cell>
          <cell r="M127">
            <v>4030</v>
          </cell>
          <cell r="N127">
            <v>-34</v>
          </cell>
          <cell r="O127">
            <v>39</v>
          </cell>
          <cell r="P127">
            <v>-4643</v>
          </cell>
          <cell r="S127">
            <v>-230</v>
          </cell>
          <cell r="X127">
            <v>32851</v>
          </cell>
          <cell r="AC127">
            <v>-3884</v>
          </cell>
          <cell r="AH127">
            <v>725</v>
          </cell>
          <cell r="AM127">
            <v>-32</v>
          </cell>
          <cell r="AR127">
            <v>-139</v>
          </cell>
          <cell r="AW127">
            <v>-164</v>
          </cell>
          <cell r="BB127">
            <v>-78</v>
          </cell>
          <cell r="BG127">
            <v>4</v>
          </cell>
          <cell r="BL127">
            <v>258</v>
          </cell>
          <cell r="BQ127">
            <v>540</v>
          </cell>
          <cell r="BV127">
            <v>1201</v>
          </cell>
          <cell r="CA127">
            <v>-3222</v>
          </cell>
          <cell r="CF127">
            <v>-287</v>
          </cell>
          <cell r="CK127">
            <v>170</v>
          </cell>
          <cell r="CP127">
            <v>-3014</v>
          </cell>
          <cell r="CU127">
            <v>-2923</v>
          </cell>
          <cell r="CZ127">
            <v>-5955</v>
          </cell>
          <cell r="DE127">
            <v>-6495</v>
          </cell>
        </row>
        <row r="128">
          <cell r="B128" t="str">
            <v>Cash flow from financing</v>
          </cell>
          <cell r="C128" t="str">
            <v>CF_FIN</v>
          </cell>
          <cell r="D128" t="str">
            <v>JPY</v>
          </cell>
          <cell r="K128">
            <v>0</v>
          </cell>
          <cell r="L128">
            <v>-2738</v>
          </cell>
          <cell r="M128">
            <v>-4339</v>
          </cell>
          <cell r="N128">
            <v>-470</v>
          </cell>
          <cell r="O128">
            <v>-8550</v>
          </cell>
          <cell r="P128">
            <v>-10987</v>
          </cell>
          <cell r="S128">
            <v>4485</v>
          </cell>
          <cell r="X128">
            <v>11240</v>
          </cell>
          <cell r="AC128">
            <v>-8516</v>
          </cell>
          <cell r="AH128">
            <v>5541</v>
          </cell>
          <cell r="AM128">
            <v>19922</v>
          </cell>
          <cell r="AR128">
            <v>-8522</v>
          </cell>
          <cell r="AW128">
            <v>-11493</v>
          </cell>
          <cell r="BB128">
            <v>25797</v>
          </cell>
          <cell r="BG128">
            <v>-29331</v>
          </cell>
          <cell r="BL128">
            <v>-21631</v>
          </cell>
          <cell r="BQ128">
            <v>-21566</v>
          </cell>
          <cell r="BV128">
            <v>-17801</v>
          </cell>
          <cell r="CA128">
            <v>-30359</v>
          </cell>
          <cell r="CF128">
            <v>-43968</v>
          </cell>
          <cell r="CK128">
            <v>-7041</v>
          </cell>
          <cell r="CP128">
            <v>-9146</v>
          </cell>
          <cell r="CU128">
            <v>-13179</v>
          </cell>
          <cell r="CZ128">
            <v>-17900</v>
          </cell>
          <cell r="DE128">
            <v>-20379</v>
          </cell>
        </row>
        <row r="129">
          <cell r="B129" t="str">
            <v>Total cash flow</v>
          </cell>
          <cell r="C129" t="str">
            <v>TOT_CF</v>
          </cell>
          <cell r="D129" t="str">
            <v>JPY</v>
          </cell>
          <cell r="K129">
            <v>0</v>
          </cell>
          <cell r="L129">
            <v>3064</v>
          </cell>
          <cell r="M129">
            <v>2799</v>
          </cell>
          <cell r="N129">
            <v>4500</v>
          </cell>
          <cell r="O129">
            <v>2911</v>
          </cell>
          <cell r="P129">
            <v>-6643</v>
          </cell>
          <cell r="S129">
            <v>-6334</v>
          </cell>
          <cell r="X129">
            <v>15823</v>
          </cell>
          <cell r="AC129">
            <v>-11982</v>
          </cell>
          <cell r="AH129">
            <v>9663</v>
          </cell>
          <cell r="AM129">
            <v>-5183</v>
          </cell>
          <cell r="AR129">
            <v>-2187</v>
          </cell>
          <cell r="AW129">
            <v>3580</v>
          </cell>
          <cell r="BB129">
            <v>17694</v>
          </cell>
          <cell r="BG129">
            <v>-17343</v>
          </cell>
          <cell r="BL129">
            <v>-2034</v>
          </cell>
          <cell r="BQ129">
            <v>6143</v>
          </cell>
          <cell r="BV129">
            <v>1691</v>
          </cell>
          <cell r="CA129">
            <v>9952</v>
          </cell>
          <cell r="CF129">
            <v>-21393</v>
          </cell>
          <cell r="CK129">
            <v>5074</v>
          </cell>
          <cell r="CP129">
            <v>-74</v>
          </cell>
          <cell r="CU129">
            <v>25590</v>
          </cell>
          <cell r="CZ129">
            <v>23551</v>
          </cell>
          <cell r="DE129">
            <v>20118</v>
          </cell>
        </row>
        <row r="130">
          <cell r="A130" t="str">
            <v>Additional Cash Flow Items</v>
          </cell>
        </row>
        <row r="131">
          <cell r="B131" t="str">
            <v>Associate and JV add-back</v>
          </cell>
          <cell r="C131" t="str">
            <v>ASSOC_JV_ADDBK</v>
          </cell>
          <cell r="D131" t="str">
            <v>JPY</v>
          </cell>
        </row>
        <row r="132">
          <cell r="B132" t="str">
            <v>Profit/(loss) on sale of assets</v>
          </cell>
          <cell r="C132" t="str">
            <v>PL_SALE_ASSETS</v>
          </cell>
          <cell r="D132" t="str">
            <v>JPY</v>
          </cell>
        </row>
        <row r="133">
          <cell r="B133" t="str">
            <v>Other non-cash adjustments</v>
          </cell>
          <cell r="C133" t="str">
            <v>OTH_NONCASH_ADJ</v>
          </cell>
          <cell r="D133" t="str">
            <v>JPY</v>
          </cell>
        </row>
        <row r="134">
          <cell r="B134" t="str">
            <v>Other DACF adjustments</v>
          </cell>
          <cell r="C134" t="str">
            <v>OTH_DACF_ADJ</v>
          </cell>
          <cell r="D134" t="str">
            <v>JPY</v>
          </cell>
        </row>
        <row r="135">
          <cell r="B135" t="str">
            <v>Cash interest expense</v>
          </cell>
          <cell r="C135" t="str">
            <v>CASH_INT_EXP</v>
          </cell>
          <cell r="D135" t="str">
            <v>JPY</v>
          </cell>
        </row>
        <row r="136">
          <cell r="B136" t="str">
            <v>Cash tax expense</v>
          </cell>
          <cell r="C136" t="str">
            <v>CASH_TAX_EXP</v>
          </cell>
          <cell r="D136" t="str">
            <v>JPY</v>
          </cell>
        </row>
        <row r="137">
          <cell r="B137" t="str">
            <v>Dividends received from associates/JVs</v>
          </cell>
          <cell r="C137" t="str">
            <v>DIVDS_ASSOC_JV</v>
          </cell>
          <cell r="D137" t="str">
            <v>JPY</v>
          </cell>
        </row>
        <row r="138">
          <cell r="B138" t="str">
            <v>Capex maintenance</v>
          </cell>
          <cell r="C138" t="str">
            <v>CAPEX_MAINTENANCE</v>
          </cell>
          <cell r="D138" t="str">
            <v>JPY</v>
          </cell>
        </row>
        <row r="139">
          <cell r="B139" t="str">
            <v>Capex expansion</v>
          </cell>
          <cell r="C139" t="str">
            <v>CAPEX_EXPANSION</v>
          </cell>
          <cell r="D139" t="str">
            <v>JPY</v>
          </cell>
        </row>
        <row r="140">
          <cell r="B140" t="str">
            <v>Non-PP&amp;E capex</v>
          </cell>
          <cell r="C140" t="str">
            <v>NONPPE_CAPEX</v>
          </cell>
          <cell r="D140" t="str">
            <v>JPY</v>
          </cell>
        </row>
        <row r="141">
          <cell r="B141" t="str">
            <v>Dividends paid to minorities</v>
          </cell>
          <cell r="C141" t="str">
            <v>DIVDS_PD_MINORITIES</v>
          </cell>
          <cell r="D141" t="str">
            <v>JPY</v>
          </cell>
        </row>
        <row r="142">
          <cell r="B142" t="str">
            <v>Capital expenditures (excl. leases)</v>
          </cell>
          <cell r="C142" t="str">
            <v>CAPEX_EX_LEASES</v>
          </cell>
          <cell r="D142" t="str">
            <v>JPY</v>
          </cell>
          <cell r="K142">
            <v>0</v>
          </cell>
          <cell r="L142">
            <v>-15831</v>
          </cell>
          <cell r="M142">
            <v>-17445</v>
          </cell>
          <cell r="N142">
            <v>-14567</v>
          </cell>
          <cell r="O142">
            <v>-11841</v>
          </cell>
          <cell r="P142">
            <v>-15422</v>
          </cell>
          <cell r="S142">
            <v>-13663</v>
          </cell>
          <cell r="X142">
            <v>-17156</v>
          </cell>
          <cell r="AC142">
            <v>-17064</v>
          </cell>
          <cell r="AH142">
            <v>-21304</v>
          </cell>
          <cell r="AM142">
            <v>-17307</v>
          </cell>
          <cell r="AR142">
            <v>-15623</v>
          </cell>
          <cell r="AW142">
            <v>-14489</v>
          </cell>
          <cell r="BB142">
            <v>-18014</v>
          </cell>
          <cell r="BG142">
            <v>-14199</v>
          </cell>
          <cell r="BL142">
            <v>-17265</v>
          </cell>
          <cell r="BQ142">
            <v>-13087</v>
          </cell>
          <cell r="BV142">
            <v>-14795</v>
          </cell>
          <cell r="CA142">
            <v>-12165</v>
          </cell>
          <cell r="CF142">
            <v>-18180</v>
          </cell>
          <cell r="CK142">
            <v>-28346</v>
          </cell>
          <cell r="CP142">
            <v>-27464</v>
          </cell>
          <cell r="CU142">
            <v>-19703</v>
          </cell>
          <cell r="CZ142">
            <v>-24617</v>
          </cell>
          <cell r="DE142">
            <v>-38228</v>
          </cell>
        </row>
        <row r="143">
          <cell r="A143" t="str">
            <v>Other Items</v>
          </cell>
        </row>
        <row r="144">
          <cell r="B144" t="str">
            <v>Number of employees</v>
          </cell>
          <cell r="C144" t="str">
            <v>EMPLOYEES</v>
          </cell>
          <cell r="BG144">
            <v>5.4729999999999999</v>
          </cell>
          <cell r="BL144">
            <v>5.5754999999999999</v>
          </cell>
        </row>
        <row r="145">
          <cell r="B145" t="str">
            <v>Media/advertising expense</v>
          </cell>
          <cell r="C145" t="str">
            <v>MEDIA_ADVERTISING</v>
          </cell>
          <cell r="D145" t="str">
            <v>JPY</v>
          </cell>
          <cell r="BG145">
            <v>6411</v>
          </cell>
          <cell r="BL145">
            <v>7051.9542409966598</v>
          </cell>
        </row>
        <row r="146">
          <cell r="A146" t="str">
            <v>COGS Breakdown</v>
          </cell>
        </row>
        <row r="147">
          <cell r="B147" t="str">
            <v>% of COGS from Corn</v>
          </cell>
          <cell r="C147" t="str">
            <v>COGS_CORN</v>
          </cell>
          <cell r="BG147">
            <v>0</v>
          </cell>
          <cell r="BL147">
            <v>0</v>
          </cell>
        </row>
        <row r="148">
          <cell r="B148" t="str">
            <v>% of COGS from Wheat</v>
          </cell>
          <cell r="C148" t="str">
            <v>COGS_WHEAT</v>
          </cell>
          <cell r="BG148">
            <v>0.1</v>
          </cell>
          <cell r="BL148">
            <v>0.1</v>
          </cell>
        </row>
        <row r="149">
          <cell r="B149" t="str">
            <v>% of COGS from Other agriculture</v>
          </cell>
          <cell r="C149" t="str">
            <v>COGS_OTH_AGRI</v>
          </cell>
          <cell r="BG149">
            <v>0</v>
          </cell>
          <cell r="BL149">
            <v>0</v>
          </cell>
        </row>
        <row r="150">
          <cell r="B150" t="str">
            <v>% of COGS from Beef</v>
          </cell>
          <cell r="C150" t="str">
            <v>COGS_BEEF</v>
          </cell>
          <cell r="BG150">
            <v>0</v>
          </cell>
          <cell r="BL150">
            <v>0</v>
          </cell>
        </row>
        <row r="151">
          <cell r="B151" t="str">
            <v>% of COGS from Chicken</v>
          </cell>
          <cell r="C151" t="str">
            <v>COGS_CHICKEN</v>
          </cell>
          <cell r="BG151">
            <v>0</v>
          </cell>
          <cell r="BL151">
            <v>0</v>
          </cell>
        </row>
        <row r="152">
          <cell r="B152" t="str">
            <v>% of COGS from Pork</v>
          </cell>
          <cell r="C152" t="str">
            <v>COGS_PORK</v>
          </cell>
          <cell r="BG152">
            <v>0</v>
          </cell>
          <cell r="BL152">
            <v>0</v>
          </cell>
        </row>
        <row r="153">
          <cell r="B153" t="str">
            <v>% of COGS from Sugar</v>
          </cell>
          <cell r="C153" t="str">
            <v>COGS_SUGAR</v>
          </cell>
          <cell r="BG153">
            <v>0</v>
          </cell>
          <cell r="BL153">
            <v>0</v>
          </cell>
        </row>
        <row r="154">
          <cell r="B154" t="str">
            <v>% of COGS from Coffee</v>
          </cell>
          <cell r="C154" t="str">
            <v>COGS_COFFEE</v>
          </cell>
          <cell r="BG154">
            <v>0</v>
          </cell>
          <cell r="BL154">
            <v>0</v>
          </cell>
        </row>
        <row r="155">
          <cell r="B155" t="str">
            <v>% of COGS from Dairy</v>
          </cell>
          <cell r="C155" t="str">
            <v>COGS_DAIRY</v>
          </cell>
          <cell r="BG155">
            <v>0</v>
          </cell>
          <cell r="BL155">
            <v>0</v>
          </cell>
        </row>
        <row r="156">
          <cell r="B156" t="str">
            <v>% of COGS from Nuts</v>
          </cell>
          <cell r="C156" t="str">
            <v>COGS_NUTS</v>
          </cell>
          <cell r="BG156">
            <v>0</v>
          </cell>
          <cell r="BL156">
            <v>0</v>
          </cell>
        </row>
        <row r="157">
          <cell r="B157" t="str">
            <v>% of COGS from Palm oil</v>
          </cell>
          <cell r="C157" t="str">
            <v>COGS_PALM_OIL</v>
          </cell>
          <cell r="BG157">
            <v>0</v>
          </cell>
          <cell r="BL157">
            <v>0</v>
          </cell>
        </row>
        <row r="158">
          <cell r="B158" t="str">
            <v>% of COGS from Other edible oil</v>
          </cell>
          <cell r="C158" t="str">
            <v>COGS_OTH_EDIBLE_OIL</v>
          </cell>
          <cell r="BG158">
            <v>0</v>
          </cell>
          <cell r="BL158">
            <v>0</v>
          </cell>
        </row>
        <row r="159">
          <cell r="B159" t="str">
            <v>% of COGS from Soybean</v>
          </cell>
          <cell r="C159" t="str">
            <v>COGS_SOYBEAN</v>
          </cell>
          <cell r="BG159">
            <v>0.15</v>
          </cell>
          <cell r="BL159">
            <v>0.15</v>
          </cell>
        </row>
        <row r="160">
          <cell r="B160" t="str">
            <v>% of COGS from Tobacco leaf</v>
          </cell>
          <cell r="C160" t="str">
            <v>COGS_TOBACCO</v>
          </cell>
          <cell r="BG160">
            <v>0</v>
          </cell>
          <cell r="BL160">
            <v>0</v>
          </cell>
        </row>
        <row r="161">
          <cell r="B161" t="str">
            <v>% of COGS from Energy</v>
          </cell>
          <cell r="C161" t="str">
            <v>COGS_ENERGY</v>
          </cell>
          <cell r="BG161">
            <v>0</v>
          </cell>
          <cell r="BL161">
            <v>0</v>
          </cell>
        </row>
        <row r="162">
          <cell r="B162" t="str">
            <v>% of COGS from Raws - Pulp</v>
          </cell>
          <cell r="C162" t="str">
            <v>COGS_RAW_PULP</v>
          </cell>
          <cell r="BG162">
            <v>0</v>
          </cell>
          <cell r="BL162">
            <v>0</v>
          </cell>
        </row>
        <row r="163">
          <cell r="B163" t="str">
            <v>% of COGS from Raws - Oil derivatives</v>
          </cell>
          <cell r="C163" t="str">
            <v>COGS_RAW_OIL_DERIV</v>
          </cell>
          <cell r="BG163">
            <v>0</v>
          </cell>
          <cell r="BL163">
            <v>0</v>
          </cell>
        </row>
        <row r="164">
          <cell r="B164" t="str">
            <v>% of COGS from Raws - Other</v>
          </cell>
          <cell r="C164" t="str">
            <v>COGS_RAW_OTH</v>
          </cell>
          <cell r="BG164">
            <v>0</v>
          </cell>
          <cell r="BL164">
            <v>0</v>
          </cell>
        </row>
        <row r="165">
          <cell r="B165" t="str">
            <v>% of COGS from Pack - Paper/pulp</v>
          </cell>
          <cell r="C165" t="str">
            <v>COGS_PACK_PAPER</v>
          </cell>
          <cell r="BG165">
            <v>0</v>
          </cell>
          <cell r="BL165">
            <v>0</v>
          </cell>
        </row>
        <row r="166">
          <cell r="B166" t="str">
            <v>% of COGS from Pack - Glass</v>
          </cell>
          <cell r="C166" t="str">
            <v>COGS_PACK_GLASS</v>
          </cell>
          <cell r="BG166">
            <v>0</v>
          </cell>
          <cell r="BL166">
            <v>0</v>
          </cell>
        </row>
        <row r="167">
          <cell r="B167" t="str">
            <v>% of COGS from Pack - Oil derivatives/plastics</v>
          </cell>
          <cell r="C167" t="str">
            <v>COGS_PACK_OIL_DERIV</v>
          </cell>
          <cell r="BG167">
            <v>0</v>
          </cell>
          <cell r="BL167">
            <v>0</v>
          </cell>
        </row>
        <row r="168">
          <cell r="B168" t="str">
            <v>% of COGS from Pack - Tin</v>
          </cell>
          <cell r="C168" t="str">
            <v>COGS_PACK_TIN</v>
          </cell>
          <cell r="BG168">
            <v>0</v>
          </cell>
          <cell r="BL168">
            <v>0</v>
          </cell>
        </row>
        <row r="169">
          <cell r="B169" t="str">
            <v>% of COGS from Pack - Aluminium</v>
          </cell>
          <cell r="C169" t="str">
            <v>COGS_PACK_ALUM</v>
          </cell>
          <cell r="BG169">
            <v>0</v>
          </cell>
          <cell r="BL169">
            <v>0</v>
          </cell>
        </row>
        <row r="170">
          <cell r="B170" t="str">
            <v>% of COGS from Overhead / wages</v>
          </cell>
          <cell r="C170" t="str">
            <v>COGS_OH_WAGES</v>
          </cell>
          <cell r="BG170">
            <v>0.22</v>
          </cell>
          <cell r="BL170">
            <v>0.22</v>
          </cell>
        </row>
        <row r="171">
          <cell r="A171" t="str">
            <v>Regional Sales Growth</v>
          </cell>
        </row>
        <row r="172">
          <cell r="B172" t="str">
            <v>North America sales growth</v>
          </cell>
          <cell r="C172" t="str">
            <v>NAMERICA_SALES_GROWTH</v>
          </cell>
          <cell r="BG172">
            <v>8.0324181603132594E-2</v>
          </cell>
          <cell r="BL172">
            <v>0.26264690909127264</v>
          </cell>
        </row>
        <row r="173">
          <cell r="B173" t="str">
            <v>LatAm sales growth</v>
          </cell>
          <cell r="C173" t="str">
            <v>LATAM_SALES_GROWTH</v>
          </cell>
          <cell r="BG173">
            <v>0</v>
          </cell>
          <cell r="BL173">
            <v>0</v>
          </cell>
        </row>
        <row r="174">
          <cell r="B174" t="str">
            <v>Europe sales growth</v>
          </cell>
          <cell r="C174" t="str">
            <v>EUROPE_SALES_GROWTH</v>
          </cell>
          <cell r="BG174">
            <v>9.0035742308869127E-2</v>
          </cell>
          <cell r="BL174">
            <v>0.37974372253480948</v>
          </cell>
        </row>
        <row r="175">
          <cell r="B175" t="str">
            <v>EEMEA sales growth</v>
          </cell>
          <cell r="C175" t="str">
            <v>EEMEA_SALES_GROWTH</v>
          </cell>
          <cell r="BG175">
            <v>0</v>
          </cell>
          <cell r="BL175">
            <v>0</v>
          </cell>
        </row>
        <row r="176">
          <cell r="B176" t="str">
            <v>Asia sales growth</v>
          </cell>
          <cell r="C176" t="str">
            <v>ASIA_SALES_GROWTH</v>
          </cell>
          <cell r="BG176">
            <v>4.6684088953070413E-2</v>
          </cell>
          <cell r="BL176">
            <v>5.6889235676252037E-2</v>
          </cell>
        </row>
        <row r="177">
          <cell r="A177" t="str">
            <v>Geographical Breakdown</v>
          </cell>
        </row>
        <row r="178">
          <cell r="B178" t="str">
            <v>Sales - % Canada</v>
          </cell>
          <cell r="C178" t="str">
            <v>SALES_CANADA</v>
          </cell>
        </row>
        <row r="179">
          <cell r="B179" t="str">
            <v>Sales - % United States</v>
          </cell>
          <cell r="C179" t="str">
            <v>SALES_US</v>
          </cell>
          <cell r="BB179">
            <v>0.34490552301532151</v>
          </cell>
          <cell r="BG179">
            <v>0.34490552301532151</v>
          </cell>
          <cell r="BL179">
            <v>0.38102289191538685</v>
          </cell>
          <cell r="BQ179">
            <v>0.41100217923250321</v>
          </cell>
          <cell r="BV179">
            <v>0.43070407107649245</v>
          </cell>
          <cell r="CA179">
            <v>0.4212399654192911</v>
          </cell>
          <cell r="CF179">
            <v>0.42783956967619607</v>
          </cell>
          <cell r="CK179">
            <v>0.43401716039358607</v>
          </cell>
          <cell r="CP179">
            <v>0.43723003164544361</v>
          </cell>
          <cell r="CU179">
            <v>0.43304697194296193</v>
          </cell>
          <cell r="CZ179">
            <v>0.49160475307451557</v>
          </cell>
          <cell r="DE179">
            <v>0.54277061010628325</v>
          </cell>
        </row>
        <row r="180">
          <cell r="B180" t="str">
            <v>Sales - % Other North Americas</v>
          </cell>
          <cell r="C180" t="str">
            <v>SALES_OTH_NO_AMER</v>
          </cell>
        </row>
        <row r="181">
          <cell r="B181" t="str">
            <v>Sales - % Argentina</v>
          </cell>
          <cell r="C181" t="str">
            <v>SALES_ARGENTINA</v>
          </cell>
        </row>
        <row r="182">
          <cell r="B182" t="str">
            <v>Sales - % Brazil</v>
          </cell>
          <cell r="C182" t="str">
            <v>SALES_BRAZIL</v>
          </cell>
        </row>
        <row r="183">
          <cell r="B183" t="str">
            <v>Sales - % Chile</v>
          </cell>
          <cell r="C183" t="str">
            <v>SALES_CHILE</v>
          </cell>
        </row>
        <row r="184">
          <cell r="B184" t="str">
            <v>Sales - % Colombia</v>
          </cell>
          <cell r="C184" t="str">
            <v>SALES_COLOMBIA</v>
          </cell>
        </row>
        <row r="185">
          <cell r="B185" t="str">
            <v>Sales - % Mexico</v>
          </cell>
          <cell r="C185" t="str">
            <v>SALES_MEXICO</v>
          </cell>
        </row>
        <row r="186">
          <cell r="B186" t="str">
            <v>Sales - % Venezuela</v>
          </cell>
          <cell r="C186" t="str">
            <v>SALES_VENEZUELA</v>
          </cell>
        </row>
        <row r="187">
          <cell r="B187" t="str">
            <v>Sales - % Other Latin Americas</v>
          </cell>
          <cell r="C187" t="str">
            <v>SALES_OTH_LATAM</v>
          </cell>
        </row>
        <row r="188">
          <cell r="B188" t="str">
            <v>Sales - % Austria</v>
          </cell>
          <cell r="C188" t="str">
            <v>SALES_AUSTRIA</v>
          </cell>
        </row>
        <row r="189">
          <cell r="B189" t="str">
            <v>Sales - % Belgium</v>
          </cell>
          <cell r="C189" t="str">
            <v>SALES_BEL</v>
          </cell>
        </row>
        <row r="190">
          <cell r="B190" t="str">
            <v>Sales - % France</v>
          </cell>
          <cell r="C190" t="str">
            <v>SALES_FRA</v>
          </cell>
        </row>
        <row r="191">
          <cell r="B191" t="str">
            <v>Sales - % Germany</v>
          </cell>
          <cell r="C191" t="str">
            <v>SALES_GER</v>
          </cell>
        </row>
        <row r="192">
          <cell r="B192" t="str">
            <v>Sales - % Greece</v>
          </cell>
          <cell r="C192" t="str">
            <v>SALES_GRE</v>
          </cell>
        </row>
        <row r="193">
          <cell r="B193" t="str">
            <v>Sales - % Ireland</v>
          </cell>
          <cell r="C193" t="str">
            <v>SALES_IRE</v>
          </cell>
        </row>
        <row r="194">
          <cell r="B194" t="str">
            <v>Sales - % Italy</v>
          </cell>
          <cell r="C194" t="str">
            <v>SALES_ITA</v>
          </cell>
        </row>
        <row r="195">
          <cell r="B195" t="str">
            <v>Sales - % Netherlands</v>
          </cell>
          <cell r="C195" t="str">
            <v>SALES_NETH</v>
          </cell>
        </row>
        <row r="196">
          <cell r="B196" t="str">
            <v>Sales - % Norway</v>
          </cell>
          <cell r="C196" t="str">
            <v>SALES_NOR</v>
          </cell>
        </row>
        <row r="197">
          <cell r="B197" t="str">
            <v>Sales - % Portugal</v>
          </cell>
          <cell r="C197" t="str">
            <v>SALES_POR</v>
          </cell>
        </row>
        <row r="198">
          <cell r="B198" t="str">
            <v>Sales - % Spain</v>
          </cell>
          <cell r="C198" t="str">
            <v>SALES_SPA</v>
          </cell>
        </row>
        <row r="199">
          <cell r="B199" t="str">
            <v>Sales - % Sweden</v>
          </cell>
          <cell r="C199" t="str">
            <v>SALES_SWE</v>
          </cell>
        </row>
        <row r="200">
          <cell r="B200" t="str">
            <v>Sales - % Switzerland</v>
          </cell>
          <cell r="C200" t="str">
            <v>SALES_SWIT</v>
          </cell>
        </row>
        <row r="201">
          <cell r="B201" t="str">
            <v>Sales - % UK</v>
          </cell>
          <cell r="C201" t="str">
            <v>SALES_UK</v>
          </cell>
        </row>
        <row r="202">
          <cell r="B202" t="str">
            <v>Sales - % Other Western Europe</v>
          </cell>
          <cell r="C202" t="str">
            <v>SALES_OTH_WEST_EURO</v>
          </cell>
        </row>
        <row r="203">
          <cell r="B203" t="str">
            <v>Sales - % Poland</v>
          </cell>
          <cell r="C203" t="str">
            <v>SALES_POLAND</v>
          </cell>
        </row>
        <row r="204">
          <cell r="B204" t="str">
            <v>Sales - % Russia</v>
          </cell>
          <cell r="C204" t="str">
            <v>SALES_RUSSIA</v>
          </cell>
        </row>
        <row r="205">
          <cell r="B205" t="str">
            <v>Sales - % Turkey</v>
          </cell>
          <cell r="C205" t="str">
            <v>SALES_TURKEY</v>
          </cell>
        </row>
        <row r="206">
          <cell r="B206" t="str">
            <v>Sales - % Other CEE</v>
          </cell>
          <cell r="C206" t="str">
            <v>SALES_OTH_CEE</v>
          </cell>
        </row>
        <row r="207">
          <cell r="B207" t="str">
            <v>Sales - % Saudi Arabia</v>
          </cell>
          <cell r="C207" t="str">
            <v>SALES_SAUDI_ARABIA</v>
          </cell>
        </row>
        <row r="208">
          <cell r="B208" t="str">
            <v>Sales - % United Arab Emirates</v>
          </cell>
          <cell r="C208" t="str">
            <v>SALES_UAE</v>
          </cell>
        </row>
        <row r="209">
          <cell r="B209" t="str">
            <v>Sales - % Other Middle East</v>
          </cell>
          <cell r="C209" t="str">
            <v>SALES_OTH_ME</v>
          </cell>
        </row>
        <row r="210">
          <cell r="B210" t="str">
            <v>Sales - % Nigeria</v>
          </cell>
          <cell r="C210" t="str">
            <v>SALES_NIGERIA</v>
          </cell>
        </row>
        <row r="211">
          <cell r="B211" t="str">
            <v>Sales - % South Africa</v>
          </cell>
          <cell r="C211" t="str">
            <v>SALES_SO_AFRICA</v>
          </cell>
        </row>
        <row r="212">
          <cell r="B212" t="str">
            <v>Sales - % Other Africa</v>
          </cell>
          <cell r="C212" t="str">
            <v>SALES_OTH_AFRICA</v>
          </cell>
        </row>
        <row r="213">
          <cell r="B213" t="str">
            <v>Sales - % Hong Kong</v>
          </cell>
          <cell r="C213" t="str">
            <v>SALES_HONG_KONG</v>
          </cell>
        </row>
        <row r="214">
          <cell r="B214" t="str">
            <v>Sales - % Japan</v>
          </cell>
          <cell r="C214" t="str">
            <v>SALES_JAPAN</v>
          </cell>
          <cell r="BB214">
            <v>0.54208610476852315</v>
          </cell>
          <cell r="BG214">
            <v>0.54208610476852315</v>
          </cell>
          <cell r="BL214">
            <v>0.49447696319907275</v>
          </cell>
          <cell r="BQ214">
            <v>0.45435659097358683</v>
          </cell>
          <cell r="BV214">
            <v>0.42974989350696768</v>
          </cell>
          <cell r="CA214">
            <v>0.43564283067802889</v>
          </cell>
          <cell r="CF214">
            <v>0.41844238283502561</v>
          </cell>
          <cell r="CK214">
            <v>0.40140920720037354</v>
          </cell>
          <cell r="CP214">
            <v>0.40097747556311092</v>
          </cell>
          <cell r="CU214">
            <v>0.38974593476571845</v>
          </cell>
          <cell r="CZ214">
            <v>0.3036019957781616</v>
          </cell>
          <cell r="DE214">
            <v>0.24801069726203323</v>
          </cell>
        </row>
        <row r="215">
          <cell r="B215" t="str">
            <v>Sales - % Singapore</v>
          </cell>
          <cell r="C215" t="str">
            <v>SALES_SINGAPORE</v>
          </cell>
        </row>
        <row r="216">
          <cell r="B216" t="str">
            <v>Sales - % South Korea</v>
          </cell>
          <cell r="C216" t="str">
            <v>SALES_SK</v>
          </cell>
        </row>
        <row r="217">
          <cell r="B217" t="str">
            <v>Sales - % Taiwan</v>
          </cell>
          <cell r="C217" t="str">
            <v>SALES_TAIWAN</v>
          </cell>
        </row>
        <row r="218">
          <cell r="B218" t="str">
            <v>Sales - % Other Developed Asia</v>
          </cell>
          <cell r="C218" t="str">
            <v>SALES_OTH_DEV_ASIA</v>
          </cell>
        </row>
        <row r="219">
          <cell r="B219" t="str">
            <v>Sales - % China</v>
          </cell>
          <cell r="C219" t="str">
            <v>SALES_CHINA</v>
          </cell>
        </row>
        <row r="220">
          <cell r="B220" t="str">
            <v>Sales - % India</v>
          </cell>
          <cell r="C220" t="str">
            <v>SALES_INDIA</v>
          </cell>
        </row>
        <row r="221">
          <cell r="B221" t="str">
            <v>Sales - % Indonesia</v>
          </cell>
          <cell r="C221" t="str">
            <v>SALES_INDONESIA</v>
          </cell>
        </row>
        <row r="222">
          <cell r="B222" t="str">
            <v>Sales - % Thailand</v>
          </cell>
          <cell r="C222" t="str">
            <v>SALES_THAILAND</v>
          </cell>
        </row>
        <row r="223">
          <cell r="B223" t="str">
            <v>Sales - % Other Emerging Asia</v>
          </cell>
          <cell r="C223" t="str">
            <v>SALES_OTH_EMERG_ASIA</v>
          </cell>
        </row>
        <row r="224">
          <cell r="B224" t="str">
            <v>Sales - % Australia</v>
          </cell>
          <cell r="C224" t="str">
            <v>SALES_AUSTRA</v>
          </cell>
        </row>
        <row r="225">
          <cell r="B225" t="str">
            <v>Sales - % New Zealand</v>
          </cell>
          <cell r="C225" t="str">
            <v>SALES_NZ</v>
          </cell>
        </row>
        <row r="226">
          <cell r="B226" t="str">
            <v>Sales - % Others</v>
          </cell>
          <cell r="C226" t="str">
            <v>SALES_OTHER</v>
          </cell>
          <cell r="BB226">
            <v>0.11300837221615534</v>
          </cell>
          <cell r="BG226">
            <v>0.11300837221615534</v>
          </cell>
          <cell r="BL226">
            <v>0.1245001448855404</v>
          </cell>
          <cell r="BQ226">
            <v>0.13464122979390991</v>
          </cell>
          <cell r="BV226">
            <v>0.13954603541653987</v>
          </cell>
          <cell r="CA226">
            <v>0.14311720390268001</v>
          </cell>
          <cell r="CF226">
            <v>0.15371804748877826</v>
          </cell>
          <cell r="CK226">
            <v>0.16457363240604039</v>
          </cell>
          <cell r="CP226">
            <v>0.16179249279144547</v>
          </cell>
          <cell r="CU226">
            <v>0.17720709329131967</v>
          </cell>
          <cell r="CZ226">
            <v>0.20479325114732283</v>
          </cell>
          <cell r="DE226">
            <v>0.20921869263168347</v>
          </cell>
        </row>
        <row r="227">
          <cell r="B227" t="str">
            <v>% of CoGS from U.S. (GS estimate)</v>
          </cell>
          <cell r="C227" t="str">
            <v>COGS_PCT_US</v>
          </cell>
          <cell r="BB227">
            <v>0.34490552301532151</v>
          </cell>
          <cell r="BG227">
            <v>0.34490552301532151</v>
          </cell>
          <cell r="BL227">
            <v>0.38102289191538685</v>
          </cell>
          <cell r="BQ227">
            <v>0.41100217923250321</v>
          </cell>
          <cell r="BV227">
            <v>0.44</v>
          </cell>
          <cell r="CA227">
            <v>0.4212399654192911</v>
          </cell>
          <cell r="CF227">
            <v>0.42783956967619607</v>
          </cell>
          <cell r="CK227">
            <v>0.43401716039358607</v>
          </cell>
          <cell r="CP227">
            <v>0.43723003164544361</v>
          </cell>
          <cell r="CU227">
            <v>0.43304697194296193</v>
          </cell>
          <cell r="CZ227">
            <v>0.49160475307451557</v>
          </cell>
          <cell r="DE227">
            <v>0.54277061010628325</v>
          </cell>
        </row>
        <row r="228">
          <cell r="B228" t="str">
            <v>% of CoGS from non-U.S. (GS estimate)</v>
          </cell>
          <cell r="C228" t="str">
            <v>COGS_PCT_ROW</v>
          </cell>
          <cell r="BB228">
            <v>0.65509447698467849</v>
          </cell>
          <cell r="BG228">
            <v>0.65509447698467849</v>
          </cell>
          <cell r="BL228">
            <v>0.61897710808461315</v>
          </cell>
          <cell r="BQ228">
            <v>0.58899782076749685</v>
          </cell>
          <cell r="BV228">
            <v>0.56000000000000005</v>
          </cell>
          <cell r="CA228">
            <v>0.5787600345807089</v>
          </cell>
          <cell r="CF228">
            <v>0.57216043032380393</v>
          </cell>
          <cell r="CK228">
            <v>0.56598283960641393</v>
          </cell>
          <cell r="CP228">
            <v>0.56276996835455639</v>
          </cell>
          <cell r="CU228">
            <v>0.56695302805703807</v>
          </cell>
          <cell r="CZ228">
            <v>0.50839524692548443</v>
          </cell>
          <cell r="DE228">
            <v>0.45722938989371675</v>
          </cell>
        </row>
        <row r="229">
          <cell r="B229" t="str">
            <v>% of SG&amp;A from U.S. (GS estimate)</v>
          </cell>
          <cell r="C229" t="str">
            <v>SGA_PCT_US</v>
          </cell>
          <cell r="BB229">
            <v>0.34490552301532151</v>
          </cell>
          <cell r="BG229">
            <v>0.34490552301532151</v>
          </cell>
          <cell r="BL229">
            <v>0.38102289191538685</v>
          </cell>
          <cell r="BQ229">
            <v>0.41100217923250321</v>
          </cell>
          <cell r="BV229">
            <v>0.39</v>
          </cell>
          <cell r="CA229">
            <v>0.4212399654192911</v>
          </cell>
          <cell r="CF229">
            <v>0.42783956967619607</v>
          </cell>
          <cell r="CK229">
            <v>0.43401716039358607</v>
          </cell>
          <cell r="CP229">
            <v>0.43723003164544361</v>
          </cell>
          <cell r="CU229">
            <v>0.43304697194296193</v>
          </cell>
          <cell r="CZ229">
            <v>0.49160475307451557</v>
          </cell>
          <cell r="DE229">
            <v>0.54277061010628325</v>
          </cell>
        </row>
        <row r="230">
          <cell r="B230" t="str">
            <v>% of SG&amp;A from non-U.S. (GS estimate)</v>
          </cell>
          <cell r="C230" t="str">
            <v>SGA_PCT_ROW</v>
          </cell>
          <cell r="BB230">
            <v>0.65509447698467849</v>
          </cell>
          <cell r="BG230">
            <v>0.65509447698467849</v>
          </cell>
          <cell r="BL230">
            <v>0.61897710808461315</v>
          </cell>
          <cell r="BQ230">
            <v>0.58899782076749685</v>
          </cell>
          <cell r="BV230">
            <v>0.61</v>
          </cell>
          <cell r="CA230">
            <v>0.5787600345807089</v>
          </cell>
          <cell r="CF230">
            <v>0.57216043032380393</v>
          </cell>
          <cell r="CK230">
            <v>0.56598283960641393</v>
          </cell>
          <cell r="CP230">
            <v>0.56276996835455639</v>
          </cell>
          <cell r="CU230">
            <v>0.56695302805703807</v>
          </cell>
          <cell r="CZ230">
            <v>0.50839524692548443</v>
          </cell>
          <cell r="DE230">
            <v>0.45722938989371675</v>
          </cell>
        </row>
        <row r="231">
          <cell r="B231" t="str">
            <v>Sales -% Consumer (C)</v>
          </cell>
          <cell r="C231" t="str">
            <v>SALES_CONS</v>
          </cell>
          <cell r="F231">
            <v>1</v>
          </cell>
          <cell r="G231">
            <v>1</v>
          </cell>
          <cell r="H231">
            <v>1</v>
          </cell>
          <cell r="I231">
            <v>1</v>
          </cell>
          <cell r="J231">
            <v>1</v>
          </cell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F231">
            <v>1</v>
          </cell>
          <cell r="CK231">
            <v>1</v>
          </cell>
          <cell r="CP231">
            <v>1</v>
          </cell>
          <cell r="CU231">
            <v>1</v>
          </cell>
          <cell r="CZ231">
            <v>1</v>
          </cell>
          <cell r="DE231">
            <v>1</v>
          </cell>
        </row>
        <row r="232">
          <cell r="B232" t="str">
            <v>Sales -% Industry (I)</v>
          </cell>
          <cell r="C232" t="str">
            <v>SALES_IND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F232">
            <v>0</v>
          </cell>
          <cell r="CK232">
            <v>0</v>
          </cell>
          <cell r="CP232">
            <v>0</v>
          </cell>
          <cell r="CU232">
            <v>0</v>
          </cell>
          <cell r="CZ232">
            <v>0</v>
          </cell>
          <cell r="DE232">
            <v>0</v>
          </cell>
        </row>
        <row r="233">
          <cell r="B233" t="str">
            <v>Sales -% Government (G)</v>
          </cell>
          <cell r="C233" t="str">
            <v>SALES_GOV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F233">
            <v>0</v>
          </cell>
          <cell r="CK233">
            <v>0</v>
          </cell>
          <cell r="CP233">
            <v>0</v>
          </cell>
          <cell r="CU233">
            <v>0</v>
          </cell>
          <cell r="CZ233">
            <v>0</v>
          </cell>
          <cell r="DE233">
            <v>0</v>
          </cell>
        </row>
        <row r="234">
          <cell r="B234" t="str">
            <v>Sales - % Industry Sub-Segment: Financial Services</v>
          </cell>
          <cell r="C234" t="str">
            <v>SALES_FINAN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F234">
            <v>0</v>
          </cell>
          <cell r="CK234">
            <v>0</v>
          </cell>
          <cell r="CP234">
            <v>0</v>
          </cell>
          <cell r="CU234">
            <v>0</v>
          </cell>
          <cell r="CZ234">
            <v>0</v>
          </cell>
          <cell r="DE234">
            <v>0</v>
          </cell>
        </row>
        <row r="235">
          <cell r="B235" t="str">
            <v>Sales - % Industry Sub-Segment: Oil &amp; Gas</v>
          </cell>
          <cell r="C235" t="str">
            <v>SALES_OIL_GAS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F235">
            <v>0</v>
          </cell>
          <cell r="CK235">
            <v>0</v>
          </cell>
          <cell r="CP235">
            <v>0</v>
          </cell>
          <cell r="CU235">
            <v>0</v>
          </cell>
          <cell r="CZ235">
            <v>0</v>
          </cell>
          <cell r="DE235">
            <v>0</v>
          </cell>
        </row>
        <row r="236">
          <cell r="B236" t="str">
            <v>Sales - % from Captive Financing Business</v>
          </cell>
          <cell r="C236" t="str">
            <v>REV_FIN_SEGMENT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F236">
            <v>0</v>
          </cell>
          <cell r="CK236">
            <v>0</v>
          </cell>
          <cell r="CP236">
            <v>0</v>
          </cell>
          <cell r="CU236">
            <v>0</v>
          </cell>
          <cell r="CZ236">
            <v>0</v>
          </cell>
          <cell r="DE236">
            <v>0</v>
          </cell>
        </row>
        <row r="237">
          <cell r="A237" t="str">
            <v>Commodities Exposure - Sales</v>
          </cell>
        </row>
        <row r="238">
          <cell r="B238" t="str">
            <v>Sales - % Wheat</v>
          </cell>
          <cell r="C238" t="str">
            <v>SALES_WHEAT</v>
          </cell>
        </row>
        <row r="239">
          <cell r="B239" t="str">
            <v>Sales - % Sugar</v>
          </cell>
          <cell r="C239" t="str">
            <v>SALES_SUGAR</v>
          </cell>
        </row>
        <row r="240">
          <cell r="B240" t="str">
            <v>Sales - % Soybean</v>
          </cell>
          <cell r="C240" t="str">
            <v>SALES_SOYBEAN</v>
          </cell>
        </row>
        <row r="241">
          <cell r="B241" t="str">
            <v>Sales - % Corn</v>
          </cell>
          <cell r="C241" t="str">
            <v>SALES_CORN</v>
          </cell>
        </row>
        <row r="242">
          <cell r="B242" t="str">
            <v>Sales - % Coffee</v>
          </cell>
          <cell r="C242" t="str">
            <v>SALES_COFFEE</v>
          </cell>
        </row>
        <row r="243">
          <cell r="B243" t="str">
            <v>Sales - % Cocoa</v>
          </cell>
          <cell r="C243" t="str">
            <v>SALES_COCOA</v>
          </cell>
        </row>
        <row r="244">
          <cell r="B244" t="str">
            <v>Sales - % Beef</v>
          </cell>
          <cell r="C244" t="str">
            <v>SALES_BEEF</v>
          </cell>
        </row>
        <row r="245">
          <cell r="B245" t="str">
            <v>Sales - % Pork</v>
          </cell>
          <cell r="C245" t="str">
            <v>SALES_PORK</v>
          </cell>
        </row>
        <row r="246">
          <cell r="B246" t="str">
            <v>Sales - % Chicken</v>
          </cell>
          <cell r="C246" t="str">
            <v>SALES_CHICKEN</v>
          </cell>
        </row>
        <row r="247">
          <cell r="B247" t="str">
            <v>Sales - % Dairy</v>
          </cell>
          <cell r="C247" t="str">
            <v>SALES_DAIRY</v>
          </cell>
        </row>
        <row r="248">
          <cell r="B248" t="str">
            <v>Sales - % Nuts</v>
          </cell>
          <cell r="C248" t="str">
            <v>SALES_NUTS</v>
          </cell>
        </row>
        <row r="249">
          <cell r="B249" t="str">
            <v>Sales - % Water</v>
          </cell>
          <cell r="C249" t="str">
            <v>SALES_WATER</v>
          </cell>
        </row>
        <row r="250">
          <cell r="B250" t="str">
            <v>Sales - % Other commodity</v>
          </cell>
          <cell r="C250" t="str">
            <v>SALES_OTH_COMMODITY</v>
          </cell>
        </row>
        <row r="251">
          <cell r="B251" t="str">
            <v>Sales - % Other (Non-Commodity) sales sources</v>
          </cell>
          <cell r="C251" t="str">
            <v>SALES_OTH_SALES_SOURCES</v>
          </cell>
        </row>
        <row r="252">
          <cell r="A252" t="str">
            <v>Commodities Exposure - Expense</v>
          </cell>
        </row>
        <row r="253">
          <cell r="B253" t="str">
            <v>Expense - % Oil/Petrol/Fuel</v>
          </cell>
          <cell r="C253" t="str">
            <v>EXP_OIL_PETRO_FUEL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F253">
            <v>0</v>
          </cell>
          <cell r="CK253">
            <v>0</v>
          </cell>
          <cell r="CP253">
            <v>0</v>
          </cell>
          <cell r="CU253">
            <v>0</v>
          </cell>
          <cell r="CZ253">
            <v>0</v>
          </cell>
          <cell r="DE253">
            <v>0</v>
          </cell>
        </row>
        <row r="254">
          <cell r="B254" t="str">
            <v>Expense - % Oil derivatives/NGLs/plastics</v>
          </cell>
          <cell r="C254" t="str">
            <v>EXP_OIL_DERIV_NGLS_PLASTICS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F254">
            <v>0</v>
          </cell>
          <cell r="CK254">
            <v>0</v>
          </cell>
          <cell r="CP254">
            <v>0</v>
          </cell>
          <cell r="CU254">
            <v>0</v>
          </cell>
          <cell r="CZ254">
            <v>0</v>
          </cell>
          <cell r="DE254">
            <v>0</v>
          </cell>
        </row>
        <row r="255">
          <cell r="B255" t="str">
            <v>Expense - % Aluminium</v>
          </cell>
          <cell r="C255" t="str">
            <v>EXP_ALUMINIUM</v>
          </cell>
        </row>
        <row r="256">
          <cell r="B256" t="str">
            <v>Expense - % Steel</v>
          </cell>
          <cell r="C256" t="str">
            <v>EXP_STEEL</v>
          </cell>
        </row>
        <row r="257">
          <cell r="B257" t="str">
            <v>Expense - % Tin</v>
          </cell>
          <cell r="C257" t="str">
            <v>EXP_TIN</v>
          </cell>
        </row>
        <row r="258">
          <cell r="B258" t="str">
            <v>Expense - % Paper/pulp</v>
          </cell>
          <cell r="C258" t="str">
            <v>EXP_PAPER_PULP</v>
          </cell>
        </row>
        <row r="259">
          <cell r="B259" t="str">
            <v>Expense - % Glass</v>
          </cell>
          <cell r="C259" t="str">
            <v>EXP_GLASS</v>
          </cell>
        </row>
        <row r="260">
          <cell r="B260" t="str">
            <v>Expense - % Wheat</v>
          </cell>
          <cell r="C260" t="str">
            <v>EXP_WHEAT</v>
          </cell>
        </row>
        <row r="261">
          <cell r="B261" t="str">
            <v>Expense - % Sugar</v>
          </cell>
          <cell r="C261" t="str">
            <v>EXP_SUGAR</v>
          </cell>
        </row>
        <row r="262">
          <cell r="B262" t="str">
            <v>Expense - % Soybean</v>
          </cell>
          <cell r="C262" t="str">
            <v>EXP_SOYBEAN</v>
          </cell>
        </row>
        <row r="263">
          <cell r="B263" t="str">
            <v>Expense - % Corn</v>
          </cell>
          <cell r="C263" t="str">
            <v>EXP_CORN</v>
          </cell>
        </row>
        <row r="264">
          <cell r="B264" t="str">
            <v>Expense - % Coffee</v>
          </cell>
          <cell r="C264" t="str">
            <v>EXP_COFFEE</v>
          </cell>
        </row>
        <row r="265">
          <cell r="B265" t="str">
            <v>Expense - % Cocoa</v>
          </cell>
          <cell r="C265" t="str">
            <v>EXP_COCOA</v>
          </cell>
        </row>
        <row r="266">
          <cell r="B266" t="str">
            <v>Expense - % Beef</v>
          </cell>
          <cell r="C266" t="str">
            <v>EXP_BEEF</v>
          </cell>
        </row>
        <row r="267">
          <cell r="B267" t="str">
            <v>Expense - % Pork</v>
          </cell>
          <cell r="C267" t="str">
            <v>EXP_PORK</v>
          </cell>
        </row>
        <row r="268">
          <cell r="B268" t="str">
            <v>Expense - % Chicken</v>
          </cell>
          <cell r="C268" t="str">
            <v>EXP_CHICKEN</v>
          </cell>
        </row>
        <row r="269">
          <cell r="B269" t="str">
            <v>Expense - % Dairy</v>
          </cell>
          <cell r="C269" t="str">
            <v>EXP_DAIRY</v>
          </cell>
        </row>
        <row r="270">
          <cell r="B270" t="str">
            <v>Expense - % Nuts</v>
          </cell>
          <cell r="C270" t="str">
            <v>EXP_NUTS</v>
          </cell>
        </row>
        <row r="271">
          <cell r="B271" t="str">
            <v>Expense - % Palm oil</v>
          </cell>
          <cell r="C271" t="str">
            <v>EXP_PALM_OIL</v>
          </cell>
        </row>
        <row r="272">
          <cell r="B272" t="str">
            <v>Expense - % Other edible oil</v>
          </cell>
          <cell r="C272" t="str">
            <v>EXP_OTH_EDIBLE_OIL</v>
          </cell>
        </row>
        <row r="273">
          <cell r="B273" t="str">
            <v>Expense - % Water</v>
          </cell>
          <cell r="C273" t="str">
            <v>EXP_WATER</v>
          </cell>
        </row>
        <row r="274">
          <cell r="B274" t="str">
            <v>Expense - % Other commodity</v>
          </cell>
          <cell r="C274" t="str">
            <v>EXP_OTH_COMMODITY</v>
          </cell>
        </row>
        <row r="275">
          <cell r="B275" t="str">
            <v>Expense - % Other (Non-Commodity) cost</v>
          </cell>
          <cell r="C275" t="str">
            <v>EXP_OTH_COST</v>
          </cell>
        </row>
        <row r="276">
          <cell r="A276" t="str">
            <v>FX Exposure - Sales</v>
          </cell>
        </row>
        <row r="277">
          <cell r="B277" t="str">
            <v>Sales - % FX: British Pounds/Pence</v>
          </cell>
          <cell r="C277" t="str">
            <v>SALES_FX_GPB</v>
          </cell>
          <cell r="BG277">
            <v>0</v>
          </cell>
          <cell r="BL277">
            <v>0</v>
          </cell>
          <cell r="BQ277">
            <v>0</v>
          </cell>
          <cell r="BV277">
            <v>0</v>
          </cell>
          <cell r="CA277">
            <v>0</v>
          </cell>
          <cell r="CF277">
            <v>0</v>
          </cell>
          <cell r="CK277">
            <v>0</v>
          </cell>
          <cell r="CP277">
            <v>0</v>
          </cell>
          <cell r="CU277">
            <v>0</v>
          </cell>
          <cell r="CZ277">
            <v>0</v>
          </cell>
          <cell r="DE277">
            <v>0</v>
          </cell>
        </row>
        <row r="278">
          <cell r="B278" t="str">
            <v>Sales - % FX: Euro</v>
          </cell>
          <cell r="C278" t="str">
            <v>SALES_FX_EUR</v>
          </cell>
          <cell r="BG278">
            <v>4.6781826003507727E-2</v>
          </cell>
          <cell r="BL278">
            <v>5.6473485946102575E-2</v>
          </cell>
          <cell r="BQ278">
            <v>5.8582267365591689E-2</v>
          </cell>
          <cell r="BV278">
            <v>5.7552485851639995E-2</v>
          </cell>
          <cell r="CA278">
            <v>5.6850685439051502E-2</v>
          </cell>
          <cell r="CF278">
            <v>6.4387106893576976E-2</v>
          </cell>
          <cell r="CK278">
            <v>6.8491679144478818E-2</v>
          </cell>
          <cell r="CP278">
            <v>6.7302619591195739E-2</v>
          </cell>
          <cell r="CU278">
            <v>7.3934931908005125E-2</v>
          </cell>
          <cell r="CZ278">
            <v>8.9025139128766084E-2</v>
          </cell>
          <cell r="DE278">
            <v>8.4298657551333867E-2</v>
          </cell>
        </row>
        <row r="279">
          <cell r="B279" t="str">
            <v>Sales - % FX: New Russian Ruble</v>
          </cell>
          <cell r="C279" t="str">
            <v>SALES_FX_RUB</v>
          </cell>
          <cell r="BG279">
            <v>0</v>
          </cell>
          <cell r="BL279">
            <v>0</v>
          </cell>
          <cell r="BQ279">
            <v>0</v>
          </cell>
          <cell r="BV279">
            <v>0</v>
          </cell>
          <cell r="CA279">
            <v>0</v>
          </cell>
          <cell r="CF279">
            <v>0</v>
          </cell>
          <cell r="CK279">
            <v>0</v>
          </cell>
          <cell r="CP279">
            <v>0</v>
          </cell>
          <cell r="CU279">
            <v>0</v>
          </cell>
          <cell r="CZ279">
            <v>0</v>
          </cell>
          <cell r="DE279">
            <v>0</v>
          </cell>
        </row>
        <row r="280">
          <cell r="B280" t="str">
            <v>Sales - % FX: U.S. Dollar</v>
          </cell>
          <cell r="C280" t="str">
            <v>SALES_FX_USD</v>
          </cell>
          <cell r="BG280">
            <v>0.34490552301532151</v>
          </cell>
          <cell r="BL280">
            <v>0.38102289191538685</v>
          </cell>
          <cell r="BQ280">
            <v>0.41100217923250321</v>
          </cell>
          <cell r="BV280">
            <v>0.43070407107649245</v>
          </cell>
          <cell r="CA280">
            <v>0.4212399654192911</v>
          </cell>
          <cell r="CF280">
            <v>0.42783956967619607</v>
          </cell>
          <cell r="CK280">
            <v>0.43401716039358607</v>
          </cell>
          <cell r="CP280">
            <v>0.43723003164544361</v>
          </cell>
          <cell r="CU280">
            <v>0.43304697194296193</v>
          </cell>
          <cell r="CZ280">
            <v>0.49160475307451557</v>
          </cell>
          <cell r="DE280">
            <v>0.54277061010628325</v>
          </cell>
        </row>
        <row r="281">
          <cell r="B281" t="str">
            <v>Sales - % FX: Brazilian Real</v>
          </cell>
          <cell r="C281" t="str">
            <v>SALES_FX_BRL</v>
          </cell>
          <cell r="BG281">
            <v>0</v>
          </cell>
          <cell r="BL281">
            <v>0</v>
          </cell>
          <cell r="BQ281">
            <v>0</v>
          </cell>
          <cell r="BV281">
            <v>0</v>
          </cell>
          <cell r="CA281">
            <v>0</v>
          </cell>
          <cell r="CF281">
            <v>0</v>
          </cell>
          <cell r="CK281">
            <v>0</v>
          </cell>
          <cell r="CP281">
            <v>0</v>
          </cell>
          <cell r="CU281">
            <v>0</v>
          </cell>
          <cell r="CZ281">
            <v>0</v>
          </cell>
          <cell r="DE281">
            <v>0</v>
          </cell>
        </row>
        <row r="282">
          <cell r="B282" t="str">
            <v>Sales - % FX: Japanese Yen</v>
          </cell>
          <cell r="C282" t="str">
            <v>SALES_FX_YEN</v>
          </cell>
          <cell r="BG282">
            <v>0.54208610476852315</v>
          </cell>
          <cell r="BL282">
            <v>0.49447696319907275</v>
          </cell>
          <cell r="BQ282">
            <v>0.45435659097358683</v>
          </cell>
          <cell r="BV282">
            <v>0.42974989350696768</v>
          </cell>
          <cell r="CA282">
            <v>0.43564283067802889</v>
          </cell>
          <cell r="CF282">
            <v>0.41844238283502561</v>
          </cell>
          <cell r="CK282">
            <v>0.40140920720037354</v>
          </cell>
          <cell r="CP282">
            <v>0.40097747556311092</v>
          </cell>
          <cell r="CU282">
            <v>0.38974593476571845</v>
          </cell>
          <cell r="CZ282">
            <v>0.3036019957781616</v>
          </cell>
          <cell r="DE282">
            <v>0.24801069726203323</v>
          </cell>
        </row>
        <row r="283">
          <cell r="B283" t="str">
            <v>Sales - % FX: Chinese Renminbi</v>
          </cell>
          <cell r="C283" t="str">
            <v>SALES_FX_CNY</v>
          </cell>
          <cell r="BG283">
            <v>0</v>
          </cell>
          <cell r="BL283">
            <v>0</v>
          </cell>
          <cell r="BQ283">
            <v>0</v>
          </cell>
          <cell r="BV283">
            <v>0</v>
          </cell>
          <cell r="CA283">
            <v>0</v>
          </cell>
          <cell r="CF283">
            <v>0</v>
          </cell>
          <cell r="CK283">
            <v>0</v>
          </cell>
          <cell r="CP283">
            <v>0</v>
          </cell>
          <cell r="CU283">
            <v>0</v>
          </cell>
          <cell r="CZ283">
            <v>0</v>
          </cell>
          <cell r="DE283">
            <v>0</v>
          </cell>
        </row>
        <row r="284">
          <cell r="B284" t="str">
            <v>Sales - % FX: Indian Rupee</v>
          </cell>
          <cell r="C284" t="str">
            <v>SALES_FX_INR</v>
          </cell>
          <cell r="BG284">
            <v>0</v>
          </cell>
          <cell r="BL284">
            <v>0</v>
          </cell>
          <cell r="BQ284">
            <v>0</v>
          </cell>
          <cell r="BV284">
            <v>0</v>
          </cell>
          <cell r="CA284">
            <v>0</v>
          </cell>
          <cell r="CF284">
            <v>0</v>
          </cell>
          <cell r="CK284">
            <v>0</v>
          </cell>
          <cell r="CP284">
            <v>0</v>
          </cell>
          <cell r="CU284">
            <v>0</v>
          </cell>
          <cell r="CZ284">
            <v>0</v>
          </cell>
          <cell r="DE284">
            <v>0</v>
          </cell>
        </row>
        <row r="285">
          <cell r="B285" t="str">
            <v>Sales - % FX: Indonesian Rupiah</v>
          </cell>
          <cell r="C285" t="str">
            <v>SALES_FX_IDR</v>
          </cell>
          <cell r="BG285">
            <v>0</v>
          </cell>
          <cell r="BL285">
            <v>0</v>
          </cell>
          <cell r="BQ285">
            <v>0</v>
          </cell>
          <cell r="BV285">
            <v>0</v>
          </cell>
          <cell r="CA285">
            <v>0</v>
          </cell>
          <cell r="CF285">
            <v>0</v>
          </cell>
          <cell r="CK285">
            <v>0</v>
          </cell>
          <cell r="CP285">
            <v>0</v>
          </cell>
          <cell r="CU285">
            <v>0</v>
          </cell>
          <cell r="CZ285">
            <v>0</v>
          </cell>
          <cell r="DE285">
            <v>0</v>
          </cell>
        </row>
        <row r="286">
          <cell r="B286" t="str">
            <v>Sales - % FX: Thai Baht</v>
          </cell>
          <cell r="C286" t="str">
            <v>SALES_FX_THB</v>
          </cell>
          <cell r="BG286">
            <v>0</v>
          </cell>
          <cell r="BL286">
            <v>0</v>
          </cell>
          <cell r="BQ286">
            <v>0</v>
          </cell>
          <cell r="BV286">
            <v>0</v>
          </cell>
          <cell r="CA286">
            <v>0</v>
          </cell>
          <cell r="CF286">
            <v>0</v>
          </cell>
          <cell r="CK286">
            <v>0</v>
          </cell>
          <cell r="CP286">
            <v>0</v>
          </cell>
          <cell r="CU286">
            <v>0</v>
          </cell>
          <cell r="CZ286">
            <v>0</v>
          </cell>
          <cell r="DE286">
            <v>0</v>
          </cell>
        </row>
        <row r="287">
          <cell r="B287" t="str">
            <v>Sales - % FX: Australian Dollar</v>
          </cell>
          <cell r="C287" t="str">
            <v>SALES_FX_AUD</v>
          </cell>
          <cell r="BG287">
            <v>0</v>
          </cell>
          <cell r="BL287">
            <v>0</v>
          </cell>
          <cell r="BQ287">
            <v>0</v>
          </cell>
          <cell r="BV287">
            <v>0</v>
          </cell>
          <cell r="CA287">
            <v>0</v>
          </cell>
          <cell r="CF287">
            <v>0</v>
          </cell>
          <cell r="CK287">
            <v>0</v>
          </cell>
          <cell r="CP287">
            <v>0</v>
          </cell>
          <cell r="CU287">
            <v>0</v>
          </cell>
          <cell r="CZ287">
            <v>0</v>
          </cell>
          <cell r="DE287">
            <v>0</v>
          </cell>
        </row>
        <row r="288">
          <cell r="B288" t="str">
            <v>Sales - % FX: Other Currency</v>
          </cell>
          <cell r="C288" t="str">
            <v>SALES_FX_OTH</v>
          </cell>
          <cell r="BG288">
            <v>6.6226546212647563E-2</v>
          </cell>
          <cell r="BL288">
            <v>6.8026658939437823E-2</v>
          </cell>
          <cell r="BQ288">
            <v>7.6058962428318333E-2</v>
          </cell>
          <cell r="BV288">
            <v>8.1993549564899904E-2</v>
          </cell>
          <cell r="CA288">
            <v>8.6266518463628539E-2</v>
          </cell>
          <cell r="CF288">
            <v>8.9330940595201358E-2</v>
          </cell>
          <cell r="CK288">
            <v>9.6081953261561548E-2</v>
          </cell>
          <cell r="CP288">
            <v>9.4489873200249708E-2</v>
          </cell>
          <cell r="CU288">
            <v>0.10327216138331446</v>
          </cell>
          <cell r="CZ288">
            <v>0.11576811201855675</v>
          </cell>
          <cell r="DE288">
            <v>0.12492003508034966</v>
          </cell>
        </row>
        <row r="289">
          <cell r="A289" t="str">
            <v>Items to be removed</v>
          </cell>
        </row>
        <row r="290">
          <cell r="B290" t="str">
            <v>Sales - Total % Americas</v>
          </cell>
          <cell r="C290" t="str">
            <v>SALES_TOT_AM</v>
          </cell>
          <cell r="BG290">
            <v>0.34490552301532151</v>
          </cell>
          <cell r="BL290">
            <v>0.38102289191538685</v>
          </cell>
          <cell r="BQ290">
            <v>0.41100217923250321</v>
          </cell>
          <cell r="BV290">
            <v>0.43070407107649245</v>
          </cell>
        </row>
        <row r="291">
          <cell r="B291" t="str">
            <v>Sales - % Other Americas</v>
          </cell>
          <cell r="C291" t="str">
            <v>SALES_OTH_AM</v>
          </cell>
        </row>
        <row r="292">
          <cell r="B292" t="str">
            <v>Sales - Total % EMEA</v>
          </cell>
          <cell r="C292" t="str">
            <v>SALES_TOT_EMEA</v>
          </cell>
          <cell r="BG292">
            <v>4.6781826003507727E-2</v>
          </cell>
          <cell r="BL292">
            <v>5.6473485946102575E-2</v>
          </cell>
          <cell r="BQ292">
            <v>5.8582267365591689E-2</v>
          </cell>
          <cell r="BV292">
            <v>5.7552485851639995E-2</v>
          </cell>
        </row>
        <row r="293">
          <cell r="B293" t="str">
            <v>Sales - % Western Europe-Ex UK</v>
          </cell>
          <cell r="C293" t="str">
            <v>SALES_EU_EX_UK</v>
          </cell>
        </row>
        <row r="294">
          <cell r="B294" t="str">
            <v>Sales - % Central &amp; Eastern Europe</v>
          </cell>
          <cell r="C294" t="str">
            <v>SALES_CEE</v>
          </cell>
        </row>
        <row r="295">
          <cell r="B295" t="str">
            <v>Sales - % Middle East</v>
          </cell>
          <cell r="C295" t="str">
            <v>SALES_ME</v>
          </cell>
        </row>
        <row r="296">
          <cell r="B296" t="str">
            <v>Sales - % Total Africa</v>
          </cell>
          <cell r="C296" t="str">
            <v>SALES_TOT_AFRICA</v>
          </cell>
        </row>
        <row r="297">
          <cell r="B297" t="str">
            <v>Sales - % Other EMEA</v>
          </cell>
          <cell r="C297" t="str">
            <v>SALES_OTH_EMEA</v>
          </cell>
        </row>
        <row r="298">
          <cell r="B298" t="str">
            <v>Sales - Total % Asia (incl Australia &amp; New Zealand)</v>
          </cell>
          <cell r="C298" t="str">
            <v>SALES_TOT_ASIA</v>
          </cell>
          <cell r="BG298">
            <v>0.60831265098117071</v>
          </cell>
          <cell r="BL298">
            <v>0.56250362213851057</v>
          </cell>
          <cell r="BQ298">
            <v>0.53041555340190516</v>
          </cell>
          <cell r="BV298">
            <v>0.51174344307186759</v>
          </cell>
        </row>
        <row r="299">
          <cell r="B299" t="str">
            <v>Sales - % Other Asia</v>
          </cell>
          <cell r="C299" t="str">
            <v>SALES_OTH_AEJ</v>
          </cell>
          <cell r="BG299">
            <v>6.6226546212647563E-2</v>
          </cell>
          <cell r="BL299">
            <v>6.8026658939437823E-2</v>
          </cell>
          <cell r="BQ299">
            <v>7.6058962428318333E-2</v>
          </cell>
          <cell r="BV299">
            <v>8.1993549564899904E-2</v>
          </cell>
        </row>
        <row r="300">
          <cell r="A300" t="str">
            <v>Analyst Defined Items</v>
          </cell>
        </row>
        <row r="301">
          <cell r="B301" t="str">
            <v>Currency contribution to % sales growth</v>
          </cell>
          <cell r="C301" t="str">
            <v>SALES_FX</v>
          </cell>
        </row>
        <row r="302">
          <cell r="A302" t="str">
            <v>Analyst Defined Items</v>
          </cell>
        </row>
        <row r="303">
          <cell r="B303" t="str">
            <v>Currency contribution to % sales growth</v>
          </cell>
          <cell r="BG303">
            <v>0</v>
          </cell>
          <cell r="BL303">
            <v>0</v>
          </cell>
        </row>
        <row r="304">
          <cell r="B304" t="str">
            <v>Inorganic sales contribution to % sales growth</v>
          </cell>
          <cell r="C304" t="str">
            <v>SALES_INORGANIC</v>
          </cell>
        </row>
        <row r="305">
          <cell r="B305" t="str">
            <v>Inorganic sales contribution to % sales growth</v>
          </cell>
          <cell r="BG305">
            <v>-1.5989001989936996E-2</v>
          </cell>
          <cell r="BL305">
            <v>-9.0653056552615602E-2</v>
          </cell>
        </row>
        <row r="306">
          <cell r="B306" t="str">
            <v>Pricing contribution to % sales growth</v>
          </cell>
          <cell r="C306" t="str">
            <v>SALES_PRICE</v>
          </cell>
        </row>
        <row r="307">
          <cell r="B307" t="str">
            <v>Pricing contribution to % sales growth</v>
          </cell>
          <cell r="BG307">
            <v>0</v>
          </cell>
          <cell r="BL307">
            <v>0</v>
          </cell>
        </row>
        <row r="308">
          <cell r="B308" t="str">
            <v>Volume contribution to % sales growth</v>
          </cell>
          <cell r="C308" t="str">
            <v>SALES_VOLUME</v>
          </cell>
        </row>
        <row r="309">
          <cell r="B309" t="str">
            <v>Volume contribution to % sales growth</v>
          </cell>
          <cell r="BG309">
            <v>1.5989001989936996E-2</v>
          </cell>
          <cell r="BL309">
            <v>9.0653056552615602E-2</v>
          </cell>
        </row>
        <row r="310">
          <cell r="A310" t="str">
            <v>Security: Kikkoman</v>
          </cell>
        </row>
        <row r="311">
          <cell r="A311" t="str">
            <v>Reference Data</v>
          </cell>
        </row>
        <row r="312">
          <cell r="B312" t="str">
            <v>Ticker</v>
          </cell>
          <cell r="C312" t="str">
            <v>Ticker</v>
          </cell>
          <cell r="E312" t="str">
            <v>2801.T</v>
          </cell>
        </row>
        <row r="313">
          <cell r="B313" t="str">
            <v>Security Name</v>
          </cell>
          <cell r="C313" t="str">
            <v>Security Name</v>
          </cell>
          <cell r="E313" t="str">
            <v>Kikkoman</v>
          </cell>
        </row>
        <row r="314">
          <cell r="B314" t="str">
            <v>Interim Type</v>
          </cell>
          <cell r="C314" t="str">
            <v>Interim Type</v>
          </cell>
          <cell r="E314" t="str">
            <v>Q</v>
          </cell>
        </row>
        <row r="315">
          <cell r="B315" t="str">
            <v>Publishing Currency</v>
          </cell>
          <cell r="C315" t="str">
            <v>PUB_CURRENCY_ISO</v>
          </cell>
          <cell r="E315" t="str">
            <v>JPY</v>
          </cell>
        </row>
        <row r="316">
          <cell r="B316" t="str">
            <v>Pricing Currency</v>
          </cell>
          <cell r="C316" t="str">
            <v>PRICE_CURRENCY_ISO</v>
          </cell>
          <cell r="E316" t="str">
            <v>JPY</v>
          </cell>
        </row>
        <row r="317">
          <cell r="B317" t="str">
            <v>Reporting Currency</v>
          </cell>
          <cell r="C317" t="str">
            <v>CURRENCY_ISO</v>
          </cell>
          <cell r="E317" t="str">
            <v>JPY</v>
          </cell>
        </row>
        <row r="318">
          <cell r="A318" t="str">
            <v>General Information</v>
          </cell>
        </row>
        <row r="319">
          <cell r="B319" t="str">
            <v>Japan Investment List</v>
          </cell>
          <cell r="C319" t="str">
            <v>JAPAN_LIST</v>
          </cell>
        </row>
        <row r="320">
          <cell r="B320" t="str">
            <v>Japan Conviction List</v>
          </cell>
          <cell r="C320" t="str">
            <v>NOT IN USE</v>
          </cell>
        </row>
        <row r="321">
          <cell r="B321" t="str">
            <v>Japan Conviction List</v>
          </cell>
        </row>
        <row r="322">
          <cell r="B322" t="str">
            <v>Legal rating</v>
          </cell>
          <cell r="C322" t="str">
            <v>LEGAL_RATING</v>
          </cell>
        </row>
        <row r="323">
          <cell r="B323" t="str">
            <v>Target price</v>
          </cell>
          <cell r="C323" t="str">
            <v>TARGET_PRICE</v>
          </cell>
          <cell r="D323" t="str">
            <v>JPY</v>
          </cell>
          <cell r="E323">
            <v>10100</v>
          </cell>
        </row>
        <row r="324">
          <cell r="B324" t="str">
            <v>Target price period</v>
          </cell>
          <cell r="C324" t="str">
            <v>TP_PERIOD</v>
          </cell>
          <cell r="E324" t="str">
            <v>12 months</v>
          </cell>
        </row>
        <row r="325">
          <cell r="B325" t="str">
            <v>Fundamental value</v>
          </cell>
          <cell r="C325" t="str">
            <v>TARGET_PRICE_FUNDAMENTAL</v>
          </cell>
          <cell r="D325" t="str">
            <v>JPY</v>
          </cell>
        </row>
        <row r="326">
          <cell r="B326" t="str">
            <v>M&amp;A value</v>
          </cell>
          <cell r="C326" t="str">
            <v>TARGET_PRICE_MA</v>
          </cell>
          <cell r="D326" t="str">
            <v>JPY</v>
          </cell>
        </row>
        <row r="327">
          <cell r="B327" t="str">
            <v>Current shares outstanding (mn)</v>
          </cell>
          <cell r="C327" t="str">
            <v>NUM_SH</v>
          </cell>
          <cell r="E327">
            <v>191.47736</v>
          </cell>
        </row>
        <row r="328">
          <cell r="B328" t="str">
            <v>Free float</v>
          </cell>
          <cell r="C328" t="str">
            <v>FREE_FLOAT</v>
          </cell>
        </row>
        <row r="329">
          <cell r="B329" t="str">
            <v>Catalyst 1 date</v>
          </cell>
          <cell r="C329" t="str">
            <v>CATALYST1_DATE</v>
          </cell>
        </row>
        <row r="330">
          <cell r="B330" t="str">
            <v>Catalyst 1 description</v>
          </cell>
          <cell r="C330" t="str">
            <v>CATALYST1_EVENT</v>
          </cell>
        </row>
        <row r="331">
          <cell r="B331" t="str">
            <v>Catalyst 2 date</v>
          </cell>
          <cell r="C331" t="str">
            <v>CATALYST2_DATE</v>
          </cell>
        </row>
        <row r="332">
          <cell r="B332" t="str">
            <v>Catalyst 2 description</v>
          </cell>
          <cell r="C332" t="str">
            <v>CATALYST2_EVENT</v>
          </cell>
        </row>
        <row r="333">
          <cell r="B333" t="str">
            <v>Catalyst 3 date</v>
          </cell>
          <cell r="C333" t="str">
            <v>CATALYST3_DATE</v>
          </cell>
        </row>
        <row r="334">
          <cell r="B334" t="str">
            <v>Catalyst 3 description</v>
          </cell>
          <cell r="C334" t="str">
            <v>CATALYST3_EVENT</v>
          </cell>
        </row>
        <row r="335">
          <cell r="B335" t="str">
            <v>Catalyst 4 date</v>
          </cell>
          <cell r="C335" t="str">
            <v>CATALYST4_DATE</v>
          </cell>
        </row>
        <row r="336">
          <cell r="B336" t="str">
            <v>Catalyst 4 description</v>
          </cell>
          <cell r="C336" t="str">
            <v>CATALYST4_EVENT</v>
          </cell>
        </row>
        <row r="337">
          <cell r="B337" t="str">
            <v>Catalyst 5 date</v>
          </cell>
          <cell r="C337" t="str">
            <v>CATALYST5_DATE</v>
          </cell>
        </row>
        <row r="338">
          <cell r="B338" t="str">
            <v>Catalyst 5 description</v>
          </cell>
          <cell r="C338" t="str">
            <v>CATALYST5_EVENT</v>
          </cell>
        </row>
        <row r="339">
          <cell r="B339" t="str">
            <v>Target price multiple</v>
          </cell>
          <cell r="C339" t="str">
            <v>PRI_TARG_MULT</v>
          </cell>
        </row>
        <row r="340">
          <cell r="B340" t="str">
            <v>Target price methodology</v>
          </cell>
          <cell r="C340" t="str">
            <v>PRI_TARG_METH</v>
          </cell>
          <cell r="E340" t="str">
            <v>EV/NOPAT</v>
          </cell>
        </row>
        <row r="341">
          <cell r="B341" t="str">
            <v>Dividend policy</v>
          </cell>
          <cell r="C341" t="str">
            <v>DIV_POLICY</v>
          </cell>
          <cell r="E341" t="str">
            <v>Target dividend payout ratio of more than 30%</v>
          </cell>
        </row>
        <row r="342">
          <cell r="A342" t="str">
            <v>Publishing Items</v>
          </cell>
        </row>
        <row r="343">
          <cell r="B343" t="str">
            <v>Book value per share, BVPS (Pub)</v>
          </cell>
          <cell r="C343" t="str">
            <v>BVPS_PUB</v>
          </cell>
          <cell r="D343" t="str">
            <v>JPY</v>
          </cell>
          <cell r="F343" t="e">
            <v>#DIV/0!</v>
          </cell>
          <cell r="G343">
            <v>493.96915638313692</v>
          </cell>
          <cell r="H343">
            <v>510.94311159253544</v>
          </cell>
          <cell r="I343">
            <v>532.48593466078876</v>
          </cell>
          <cell r="J343">
            <v>551.67127110268757</v>
          </cell>
          <cell r="K343">
            <v>571.18998622042625</v>
          </cell>
          <cell r="L343">
            <v>605.99547950891417</v>
          </cell>
          <cell r="M343">
            <v>616.71213956641395</v>
          </cell>
          <cell r="N343">
            <v>671.13290559873246</v>
          </cell>
          <cell r="O343">
            <v>671.01915288614907</v>
          </cell>
          <cell r="P343">
            <v>723.80676895799536</v>
          </cell>
          <cell r="S343">
            <v>757.41785998098055</v>
          </cell>
          <cell r="X343">
            <v>871.30739287917015</v>
          </cell>
          <cell r="AC343">
            <v>906.8469952485583</v>
          </cell>
          <cell r="AH343">
            <v>864.36248006172048</v>
          </cell>
          <cell r="AM343">
            <v>775.12160318103145</v>
          </cell>
          <cell r="AR343">
            <v>801.68608203133908</v>
          </cell>
          <cell r="AW343">
            <v>784.45390305646413</v>
          </cell>
          <cell r="BB343">
            <v>809.26980715065667</v>
          </cell>
          <cell r="BG343">
            <v>934.66198440141557</v>
          </cell>
          <cell r="BL343">
            <v>1045.8565587662788</v>
          </cell>
          <cell r="BQ343">
            <v>1210.7729484115371</v>
          </cell>
          <cell r="BV343">
            <v>1160.0564384299209</v>
          </cell>
          <cell r="CA343">
            <v>1242.7159363399098</v>
          </cell>
          <cell r="CF343">
            <v>1292.1806897325725</v>
          </cell>
          <cell r="CK343">
            <v>1382.6033351562187</v>
          </cell>
          <cell r="CP343">
            <v>1419.1209830186222</v>
          </cell>
          <cell r="CU343">
            <v>1593.896649406116</v>
          </cell>
          <cell r="CZ343">
            <v>1868.1303007114595</v>
          </cell>
          <cell r="DE343">
            <v>2143.929705318686</v>
          </cell>
        </row>
        <row r="344">
          <cell r="B344" t="str">
            <v>DPS, dividend per share (Pub)</v>
          </cell>
          <cell r="C344" t="str">
            <v>DPS_PUB</v>
          </cell>
          <cell r="D344" t="str">
            <v>JPY</v>
          </cell>
          <cell r="F344">
            <v>0</v>
          </cell>
          <cell r="G344">
            <v>7</v>
          </cell>
          <cell r="H344">
            <v>7</v>
          </cell>
          <cell r="I344">
            <v>7</v>
          </cell>
          <cell r="J344">
            <v>7</v>
          </cell>
          <cell r="K344">
            <v>7</v>
          </cell>
          <cell r="L344">
            <v>7</v>
          </cell>
          <cell r="M344">
            <v>7</v>
          </cell>
          <cell r="N344">
            <v>7</v>
          </cell>
          <cell r="O344">
            <v>8</v>
          </cell>
          <cell r="P344">
            <v>10</v>
          </cell>
          <cell r="S344">
            <v>10</v>
          </cell>
          <cell r="X344">
            <v>12</v>
          </cell>
          <cell r="AC344">
            <v>15</v>
          </cell>
          <cell r="AH344">
            <v>15</v>
          </cell>
          <cell r="AM344">
            <v>15</v>
          </cell>
          <cell r="AR344">
            <v>15</v>
          </cell>
          <cell r="AW344">
            <v>15</v>
          </cell>
          <cell r="AX344">
            <v>0</v>
          </cell>
          <cell r="AY344">
            <v>7.5</v>
          </cell>
          <cell r="AZ344">
            <v>0</v>
          </cell>
          <cell r="BA344">
            <v>7.5</v>
          </cell>
          <cell r="BB344">
            <v>15</v>
          </cell>
          <cell r="BC344">
            <v>0</v>
          </cell>
          <cell r="BD344">
            <v>10</v>
          </cell>
          <cell r="BE344">
            <v>0</v>
          </cell>
          <cell r="BF344">
            <v>10</v>
          </cell>
          <cell r="BG344">
            <v>20</v>
          </cell>
          <cell r="BH344">
            <v>0</v>
          </cell>
          <cell r="BI344">
            <v>10</v>
          </cell>
          <cell r="BJ344">
            <v>0</v>
          </cell>
          <cell r="BK344">
            <v>10</v>
          </cell>
          <cell r="BL344">
            <v>20</v>
          </cell>
          <cell r="BQ344">
            <v>24</v>
          </cell>
          <cell r="BV344">
            <v>32</v>
          </cell>
          <cell r="CA344">
            <v>34</v>
          </cell>
          <cell r="CF344">
            <v>39</v>
          </cell>
          <cell r="CK344">
            <v>41</v>
          </cell>
          <cell r="CP344">
            <v>42</v>
          </cell>
          <cell r="CU344">
            <v>45</v>
          </cell>
          <cell r="CZ344">
            <v>61</v>
          </cell>
          <cell r="DE344">
            <v>78</v>
          </cell>
        </row>
        <row r="345">
          <cell r="B345" t="str">
            <v>Special dividend per share</v>
          </cell>
          <cell r="C345" t="str">
            <v>DPS_SPECIAL_PUB</v>
          </cell>
          <cell r="D345" t="str">
            <v>JPY</v>
          </cell>
        </row>
        <row r="346">
          <cell r="B346" t="str">
            <v>EBITDA (Pub)</v>
          </cell>
          <cell r="C346" t="str">
            <v>EBITDA_PUB</v>
          </cell>
          <cell r="D346" t="str">
            <v>JPY</v>
          </cell>
          <cell r="F346">
            <v>0</v>
          </cell>
          <cell r="G346">
            <v>19346</v>
          </cell>
          <cell r="H346">
            <v>18166</v>
          </cell>
          <cell r="I346">
            <v>17637</v>
          </cell>
          <cell r="J346">
            <v>19686</v>
          </cell>
          <cell r="K346">
            <v>20996</v>
          </cell>
          <cell r="L346">
            <v>30605</v>
          </cell>
          <cell r="M346">
            <v>32571</v>
          </cell>
          <cell r="N346">
            <v>31379</v>
          </cell>
          <cell r="O346">
            <v>32932</v>
          </cell>
          <cell r="P346">
            <v>30906</v>
          </cell>
          <cell r="S346">
            <v>31469</v>
          </cell>
          <cell r="X346">
            <v>32780</v>
          </cell>
          <cell r="AC346">
            <v>37936</v>
          </cell>
          <cell r="AH346">
            <v>41514</v>
          </cell>
          <cell r="AM346">
            <v>37607</v>
          </cell>
          <cell r="AR346">
            <v>33121</v>
          </cell>
          <cell r="AW346">
            <v>31358</v>
          </cell>
          <cell r="BB346">
            <v>30375</v>
          </cell>
          <cell r="BG346">
            <v>31967</v>
          </cell>
          <cell r="BL346">
            <v>36829</v>
          </cell>
          <cell r="BQ346">
            <v>39772</v>
          </cell>
          <cell r="BV346">
            <v>44535</v>
          </cell>
          <cell r="CA346">
            <v>45182</v>
          </cell>
          <cell r="CF346">
            <v>49662</v>
          </cell>
          <cell r="CK346">
            <v>51677</v>
          </cell>
          <cell r="CP346">
            <v>53658</v>
          </cell>
          <cell r="CU346">
            <v>57540</v>
          </cell>
          <cell r="CZ346">
            <v>72304</v>
          </cell>
          <cell r="DE346">
            <v>81017</v>
          </cell>
        </row>
        <row r="347">
          <cell r="B347" t="str">
            <v>EPS (Pub)</v>
          </cell>
          <cell r="C347" t="str">
            <v>EPS_PUB</v>
          </cell>
          <cell r="D347" t="str">
            <v>JPY</v>
          </cell>
          <cell r="F347" t="e">
            <v>#DIV/0!</v>
          </cell>
          <cell r="G347">
            <v>23.677933252401338</v>
          </cell>
          <cell r="H347">
            <v>36.946886948408235</v>
          </cell>
          <cell r="I347">
            <v>28.955081591464594</v>
          </cell>
          <cell r="J347">
            <v>26.460177888662386</v>
          </cell>
          <cell r="K347">
            <v>26.805001977667565</v>
          </cell>
          <cell r="L347">
            <v>31.186296285027534</v>
          </cell>
          <cell r="M347">
            <v>29.374177772963677</v>
          </cell>
          <cell r="N347">
            <v>27.195464549041084</v>
          </cell>
          <cell r="O347">
            <v>42.14460299591282</v>
          </cell>
          <cell r="P347">
            <v>47.093842861634265</v>
          </cell>
          <cell r="S347">
            <v>48.108031358708324</v>
          </cell>
          <cell r="X347">
            <v>51.343292664374601</v>
          </cell>
          <cell r="AC347">
            <v>54.456851350391979</v>
          </cell>
          <cell r="AH347">
            <v>58.046990324149363</v>
          </cell>
          <cell r="AM347">
            <v>13.052372879085661</v>
          </cell>
          <cell r="AR347">
            <v>40.88729479457205</v>
          </cell>
          <cell r="AW347">
            <v>36.932606434994746</v>
          </cell>
          <cell r="BB347">
            <v>42.698275882311172</v>
          </cell>
          <cell r="BG347">
            <v>54.835331283822548</v>
          </cell>
          <cell r="BL347">
            <v>62.817503114140571</v>
          </cell>
          <cell r="BQ347">
            <v>78.197522203073603</v>
          </cell>
          <cell r="BV347">
            <v>102.66248659002123</v>
          </cell>
          <cell r="BW347">
            <v>57.330304034515692</v>
          </cell>
          <cell r="BX347">
            <v>25.576781534408699</v>
          </cell>
          <cell r="BY347">
            <v>33.016829118405724</v>
          </cell>
          <cell r="BZ347">
            <v>7.3520303196073655</v>
          </cell>
          <cell r="CA347">
            <v>123.27594500693748</v>
          </cell>
          <cell r="CB347">
            <v>31.655129041339823</v>
          </cell>
          <cell r="CC347">
            <v>30.814727385375051</v>
          </cell>
          <cell r="CD347">
            <v>32.728975601739251</v>
          </cell>
          <cell r="CE347">
            <v>28.506216663743416</v>
          </cell>
          <cell r="CF347">
            <v>123.70504869219755</v>
          </cell>
          <cell r="CG347">
            <v>37</v>
          </cell>
          <cell r="CH347">
            <v>37.659999999999997</v>
          </cell>
          <cell r="CI347">
            <v>41.710000000000008</v>
          </cell>
          <cell r="CJ347">
            <v>-19.547115973363475</v>
          </cell>
          <cell r="CK347">
            <v>135.38976171495699</v>
          </cell>
          <cell r="CL347">
            <v>41.54</v>
          </cell>
          <cell r="CM347">
            <v>38.1</v>
          </cell>
          <cell r="CN347">
            <v>42.290000000000013</v>
          </cell>
          <cell r="CO347">
            <v>16.602960379719164</v>
          </cell>
          <cell r="CP347">
            <v>138.53296037971919</v>
          </cell>
          <cell r="CQ347">
            <v>36.22</v>
          </cell>
          <cell r="CR347">
            <v>39.94</v>
          </cell>
          <cell r="CS347">
            <v>46.790000000000006</v>
          </cell>
          <cell r="CT347">
            <v>27.217339052492388</v>
          </cell>
          <cell r="CU347">
            <v>150.16678472827761</v>
          </cell>
          <cell r="CV347">
            <v>60.45</v>
          </cell>
          <cell r="CW347">
            <v>50.959999999999994</v>
          </cell>
          <cell r="CX347">
            <v>62.550000000000011</v>
          </cell>
          <cell r="CY347">
            <v>28.973371287815212</v>
          </cell>
          <cell r="CZ347">
            <v>202.93337128781522</v>
          </cell>
          <cell r="DA347">
            <v>63.31</v>
          </cell>
          <cell r="DB347">
            <v>58.31</v>
          </cell>
          <cell r="DC347">
            <v>68.318224273007118</v>
          </cell>
          <cell r="DD347">
            <v>38.431484672297529</v>
          </cell>
          <cell r="DE347">
            <v>228.36970894530464</v>
          </cell>
          <cell r="DF347">
            <v>55.5</v>
          </cell>
          <cell r="DG347">
            <v>95.300000000000011</v>
          </cell>
          <cell r="DH347">
            <v>58.492554942265755</v>
          </cell>
          <cell r="DI347">
            <v>51.656237583388446</v>
          </cell>
        </row>
        <row r="348">
          <cell r="B348" t="str">
            <v>EV adjustment (Pub)</v>
          </cell>
          <cell r="C348" t="str">
            <v>EV_ADJ_PUB</v>
          </cell>
          <cell r="D348" t="str">
            <v>JPY</v>
          </cell>
        </row>
        <row r="349">
          <cell r="B349" t="str">
            <v>Net debt (Pub)</v>
          </cell>
          <cell r="C349" t="str">
            <v>NET_DEBT_PUB</v>
          </cell>
          <cell r="D349" t="str">
            <v>JPY</v>
          </cell>
          <cell r="F349">
            <v>0</v>
          </cell>
          <cell r="G349">
            <v>22156</v>
          </cell>
          <cell r="H349">
            <v>19337</v>
          </cell>
          <cell r="I349">
            <v>15334</v>
          </cell>
          <cell r="J349">
            <v>17307</v>
          </cell>
          <cell r="K349">
            <v>19277</v>
          </cell>
          <cell r="L349">
            <v>22156</v>
          </cell>
          <cell r="M349">
            <v>23322</v>
          </cell>
          <cell r="N349">
            <v>19780</v>
          </cell>
          <cell r="O349">
            <v>10795</v>
          </cell>
          <cell r="P349">
            <v>15388</v>
          </cell>
          <cell r="S349">
            <v>28905</v>
          </cell>
          <cell r="X349">
            <v>27343</v>
          </cell>
          <cell r="AC349">
            <v>41013</v>
          </cell>
          <cell r="AH349">
            <v>39420</v>
          </cell>
          <cell r="AM349">
            <v>67965</v>
          </cell>
          <cell r="AR349">
            <v>65114</v>
          </cell>
          <cell r="AW349">
            <v>54231</v>
          </cell>
          <cell r="BB349">
            <v>65940</v>
          </cell>
          <cell r="BG349">
            <v>62209</v>
          </cell>
          <cell r="BL349">
            <v>47266</v>
          </cell>
          <cell r="BQ349">
            <v>33935</v>
          </cell>
          <cell r="BV349">
            <v>29642</v>
          </cell>
          <cell r="CA349">
            <v>-361</v>
          </cell>
          <cell r="CF349">
            <v>-8396</v>
          </cell>
          <cell r="CK349">
            <v>-13073</v>
          </cell>
          <cell r="CP349">
            <v>-11175</v>
          </cell>
          <cell r="CU349">
            <v>-38328</v>
          </cell>
          <cell r="CZ349">
            <v>-61726</v>
          </cell>
          <cell r="DE349">
            <v>-81893</v>
          </cell>
        </row>
        <row r="350">
          <cell r="B350" t="str">
            <v>Net Debt (ex leases) (Pub)</v>
          </cell>
          <cell r="C350" t="str">
            <v>NET_DEBT_EX_LEASES_PUB</v>
          </cell>
          <cell r="D350" t="str">
            <v>JPY</v>
          </cell>
        </row>
        <row r="351">
          <cell r="B351" t="str">
            <v>Consensus equivalent net debt</v>
          </cell>
          <cell r="C351" t="str">
            <v>CEEE_NDEBT</v>
          </cell>
          <cell r="D351" t="str">
            <v>JPY</v>
          </cell>
        </row>
        <row r="352">
          <cell r="B352" t="str">
            <v>Net income (Pub)</v>
          </cell>
          <cell r="C352" t="str">
            <v>NI_PUB</v>
          </cell>
          <cell r="D352" t="str">
            <v>JPY</v>
          </cell>
          <cell r="F352">
            <v>0</v>
          </cell>
          <cell r="G352">
            <v>4447</v>
          </cell>
          <cell r="H352">
            <v>7286</v>
          </cell>
          <cell r="I352">
            <v>5710</v>
          </cell>
          <cell r="J352">
            <v>5218</v>
          </cell>
          <cell r="K352">
            <v>5286</v>
          </cell>
          <cell r="L352">
            <v>6150</v>
          </cell>
          <cell r="M352">
            <v>5744</v>
          </cell>
          <cell r="N352">
            <v>5363</v>
          </cell>
          <cell r="O352">
            <v>8311</v>
          </cell>
          <cell r="P352">
            <v>9287</v>
          </cell>
          <cell r="S352">
            <v>9487</v>
          </cell>
          <cell r="X352">
            <v>10125</v>
          </cell>
          <cell r="AC352">
            <v>10739</v>
          </cell>
          <cell r="AH352">
            <v>11447</v>
          </cell>
          <cell r="AM352">
            <v>2746</v>
          </cell>
          <cell r="AR352">
            <v>8602</v>
          </cell>
          <cell r="AW352">
            <v>7770</v>
          </cell>
          <cell r="AX352">
            <v>2496</v>
          </cell>
          <cell r="AY352">
            <v>1895</v>
          </cell>
          <cell r="AZ352">
            <v>3659</v>
          </cell>
          <cell r="BA352">
            <v>933</v>
          </cell>
          <cell r="BB352">
            <v>8983</v>
          </cell>
          <cell r="BC352">
            <v>2348</v>
          </cell>
          <cell r="BD352">
            <v>2457</v>
          </cell>
          <cell r="BE352">
            <v>4210</v>
          </cell>
          <cell r="BF352">
            <v>1991</v>
          </cell>
          <cell r="BG352">
            <v>11006</v>
          </cell>
          <cell r="BH352">
            <v>4023</v>
          </cell>
          <cell r="BI352">
            <v>3133</v>
          </cell>
          <cell r="BJ352">
            <v>4788</v>
          </cell>
          <cell r="BK352">
            <v>615</v>
          </cell>
          <cell r="BL352">
            <v>12559</v>
          </cell>
          <cell r="BM352">
            <v>3798</v>
          </cell>
          <cell r="BN352">
            <v>3987</v>
          </cell>
          <cell r="BO352">
            <v>5500</v>
          </cell>
          <cell r="BP352">
            <v>15382</v>
          </cell>
          <cell r="BQ352">
            <v>15382</v>
          </cell>
          <cell r="BR352">
            <v>5613</v>
          </cell>
          <cell r="BS352">
            <v>4872</v>
          </cell>
          <cell r="BT352">
            <v>6589</v>
          </cell>
          <cell r="BU352">
            <v>2890</v>
          </cell>
          <cell r="BV352">
            <v>19964</v>
          </cell>
          <cell r="BW352">
            <v>11073</v>
          </cell>
          <cell r="BX352">
            <v>4940</v>
          </cell>
          <cell r="BY352">
            <v>6377</v>
          </cell>
          <cell r="BZ352">
            <v>1420</v>
          </cell>
          <cell r="CA352">
            <v>23810</v>
          </cell>
          <cell r="CB352">
            <v>6102</v>
          </cell>
          <cell r="CC352">
            <v>5940</v>
          </cell>
          <cell r="CD352">
            <v>6308.9999999999982</v>
          </cell>
          <cell r="CE352">
            <v>5495</v>
          </cell>
          <cell r="CF352">
            <v>23846</v>
          </cell>
          <cell r="CG352">
            <v>7102</v>
          </cell>
          <cell r="CH352">
            <v>7231</v>
          </cell>
          <cell r="CI352">
            <v>15411.48</v>
          </cell>
          <cell r="CJ352">
            <v>-3752.4799999999996</v>
          </cell>
          <cell r="CK352">
            <v>25992</v>
          </cell>
          <cell r="CL352">
            <v>7975</v>
          </cell>
          <cell r="CM352">
            <v>7314</v>
          </cell>
          <cell r="CN352">
            <v>8118</v>
          </cell>
          <cell r="CO352">
            <v>3188</v>
          </cell>
          <cell r="CP352">
            <v>26595</v>
          </cell>
          <cell r="CQ352">
            <v>6954</v>
          </cell>
          <cell r="CR352">
            <v>7666</v>
          </cell>
          <cell r="CS352">
            <v>8983</v>
          </cell>
          <cell r="CT352">
            <v>5225</v>
          </cell>
          <cell r="CU352">
            <v>28828</v>
          </cell>
          <cell r="CV352">
            <v>11599</v>
          </cell>
          <cell r="CW352">
            <v>9768</v>
          </cell>
          <cell r="CX352">
            <v>11987</v>
          </cell>
          <cell r="CY352">
            <v>5549</v>
          </cell>
          <cell r="CZ352">
            <v>38903</v>
          </cell>
          <cell r="DA352">
            <v>12127</v>
          </cell>
          <cell r="DB352">
            <v>11165</v>
          </cell>
          <cell r="DC352">
            <v>13083</v>
          </cell>
          <cell r="DD352">
            <v>7358</v>
          </cell>
          <cell r="DE352">
            <v>43733</v>
          </cell>
          <cell r="DF352">
            <v>10619</v>
          </cell>
          <cell r="DG352">
            <v>18190</v>
          </cell>
          <cell r="DH352">
            <v>11200</v>
          </cell>
          <cell r="DI352">
            <v>9891</v>
          </cell>
        </row>
        <row r="353">
          <cell r="B353" t="str">
            <v>EBIT, operating profit (Pub)</v>
          </cell>
          <cell r="C353" t="str">
            <v>EBIT_PUB</v>
          </cell>
          <cell r="D353" t="str">
            <v>JPY</v>
          </cell>
          <cell r="F353">
            <v>0</v>
          </cell>
          <cell r="G353">
            <v>10794</v>
          </cell>
          <cell r="H353">
            <v>9614</v>
          </cell>
          <cell r="I353">
            <v>8729</v>
          </cell>
          <cell r="J353">
            <v>10050</v>
          </cell>
          <cell r="K353">
            <v>11046</v>
          </cell>
          <cell r="L353">
            <v>14686</v>
          </cell>
          <cell r="M353">
            <v>14890</v>
          </cell>
          <cell r="N353">
            <v>14942</v>
          </cell>
          <cell r="O353">
            <v>17904</v>
          </cell>
          <cell r="P353">
            <v>17059</v>
          </cell>
          <cell r="S353">
            <v>17847</v>
          </cell>
          <cell r="X353">
            <v>18557</v>
          </cell>
          <cell r="AC353">
            <v>21646</v>
          </cell>
          <cell r="AH353">
            <v>23854</v>
          </cell>
          <cell r="AM353">
            <v>20368</v>
          </cell>
          <cell r="AR353">
            <v>21085</v>
          </cell>
          <cell r="AW353">
            <v>19208</v>
          </cell>
          <cell r="AX353">
            <v>5195</v>
          </cell>
          <cell r="AY353">
            <v>4168</v>
          </cell>
          <cell r="AZ353">
            <v>5297</v>
          </cell>
          <cell r="BA353">
            <v>3104</v>
          </cell>
          <cell r="BB353">
            <v>17764</v>
          </cell>
          <cell r="BC353">
            <v>5062</v>
          </cell>
          <cell r="BD353">
            <v>5254</v>
          </cell>
          <cell r="BE353">
            <v>6298</v>
          </cell>
          <cell r="BF353">
            <v>3193</v>
          </cell>
          <cell r="BG353">
            <v>19807</v>
          </cell>
          <cell r="BH353">
            <v>6497</v>
          </cell>
          <cell r="BI353">
            <v>6165</v>
          </cell>
          <cell r="BJ353">
            <v>6947</v>
          </cell>
          <cell r="BK353">
            <v>4238</v>
          </cell>
          <cell r="BL353">
            <v>23846</v>
          </cell>
          <cell r="BM353">
            <v>5682</v>
          </cell>
          <cell r="BN353">
            <v>6614</v>
          </cell>
          <cell r="BO353">
            <v>8105</v>
          </cell>
          <cell r="BP353">
            <v>25370</v>
          </cell>
          <cell r="BQ353">
            <v>25371</v>
          </cell>
          <cell r="BR353">
            <v>8401</v>
          </cell>
          <cell r="BS353">
            <v>8538</v>
          </cell>
          <cell r="BT353">
            <v>10160</v>
          </cell>
          <cell r="BU353">
            <v>5500</v>
          </cell>
          <cell r="BV353">
            <v>32599</v>
          </cell>
          <cell r="BW353">
            <v>8469</v>
          </cell>
          <cell r="BX353">
            <v>8475</v>
          </cell>
          <cell r="BY353">
            <v>9315</v>
          </cell>
          <cell r="BZ353">
            <v>6584</v>
          </cell>
          <cell r="CA353">
            <v>32843</v>
          </cell>
          <cell r="CB353">
            <v>9703</v>
          </cell>
          <cell r="CC353">
            <v>9367</v>
          </cell>
          <cell r="CD353">
            <v>10719</v>
          </cell>
          <cell r="CE353">
            <v>6714</v>
          </cell>
          <cell r="CF353">
            <v>36503</v>
          </cell>
          <cell r="CG353">
            <v>10100</v>
          </cell>
          <cell r="CH353">
            <v>9968</v>
          </cell>
          <cell r="CI353">
            <v>10791</v>
          </cell>
          <cell r="CJ353">
            <v>7560</v>
          </cell>
          <cell r="CK353">
            <v>38419</v>
          </cell>
          <cell r="CL353">
            <v>10553</v>
          </cell>
          <cell r="CM353">
            <v>10433</v>
          </cell>
          <cell r="CN353">
            <v>11626</v>
          </cell>
          <cell r="CO353">
            <v>7214</v>
          </cell>
          <cell r="CP353">
            <v>39826</v>
          </cell>
          <cell r="CQ353">
            <v>9765</v>
          </cell>
          <cell r="CR353">
            <v>11485</v>
          </cell>
          <cell r="CS353">
            <v>12554</v>
          </cell>
          <cell r="CT353">
            <v>8810</v>
          </cell>
          <cell r="CU353">
            <v>42614</v>
          </cell>
          <cell r="CV353">
            <v>14303</v>
          </cell>
          <cell r="CW353">
            <v>13331</v>
          </cell>
          <cell r="CX353">
            <v>16632</v>
          </cell>
          <cell r="CY353">
            <v>8008</v>
          </cell>
          <cell r="CZ353">
            <v>52274</v>
          </cell>
          <cell r="DA353">
            <v>16452</v>
          </cell>
          <cell r="DB353">
            <v>15299</v>
          </cell>
          <cell r="DC353">
            <v>16470</v>
          </cell>
          <cell r="DD353">
            <v>10556</v>
          </cell>
          <cell r="DE353">
            <v>58777</v>
          </cell>
          <cell r="DF353">
            <v>18579</v>
          </cell>
          <cell r="DG353">
            <v>19591</v>
          </cell>
          <cell r="DH353">
            <v>16300</v>
          </cell>
          <cell r="DI353">
            <v>14030</v>
          </cell>
        </row>
        <row r="354">
          <cell r="B354" t="str">
            <v>Pre-tax profit (Pub)</v>
          </cell>
          <cell r="C354" t="str">
            <v>PTP_PUB</v>
          </cell>
          <cell r="D354" t="str">
            <v>JPY</v>
          </cell>
          <cell r="F354">
            <v>0</v>
          </cell>
          <cell r="G354">
            <v>7310</v>
          </cell>
          <cell r="H354">
            <v>8787</v>
          </cell>
          <cell r="I354">
            <v>9321</v>
          </cell>
          <cell r="J354">
            <v>8438</v>
          </cell>
          <cell r="K354">
            <v>10560</v>
          </cell>
          <cell r="L354">
            <v>11225</v>
          </cell>
          <cell r="M354">
            <v>9057</v>
          </cell>
          <cell r="N354">
            <v>8976</v>
          </cell>
          <cell r="O354">
            <v>17211</v>
          </cell>
          <cell r="P354">
            <v>15999</v>
          </cell>
          <cell r="S354">
            <v>16336</v>
          </cell>
          <cell r="X354">
            <v>17362</v>
          </cell>
          <cell r="AC354">
            <v>20980</v>
          </cell>
          <cell r="AH354">
            <v>23366</v>
          </cell>
          <cell r="AM354">
            <v>16742</v>
          </cell>
          <cell r="AR354">
            <v>14830</v>
          </cell>
          <cell r="AW354">
            <v>13447</v>
          </cell>
          <cell r="BB354">
            <v>15431</v>
          </cell>
          <cell r="BG354">
            <v>17711</v>
          </cell>
          <cell r="BL354">
            <v>22276</v>
          </cell>
          <cell r="BQ354">
            <v>23822</v>
          </cell>
          <cell r="BV354">
            <v>30253</v>
          </cell>
          <cell r="CA354">
            <v>27079</v>
          </cell>
          <cell r="CF354">
            <v>35999</v>
          </cell>
          <cell r="CK354">
            <v>37595</v>
          </cell>
          <cell r="CP354">
            <v>37930</v>
          </cell>
          <cell r="CU354">
            <v>40519</v>
          </cell>
          <cell r="CZ354">
            <v>54231</v>
          </cell>
          <cell r="DE354">
            <v>60797</v>
          </cell>
        </row>
        <row r="355">
          <cell r="B355" t="str">
            <v>Sales, revenue (Pub)</v>
          </cell>
          <cell r="C355" t="str">
            <v>REVS_PUB</v>
          </cell>
          <cell r="D355" t="str">
            <v>JPY</v>
          </cell>
          <cell r="F355">
            <v>0</v>
          </cell>
          <cell r="G355">
            <v>203286</v>
          </cell>
          <cell r="H355">
            <v>206001</v>
          </cell>
          <cell r="I355">
            <v>214338</v>
          </cell>
          <cell r="J355">
            <v>229475</v>
          </cell>
          <cell r="K355">
            <v>221724</v>
          </cell>
          <cell r="L355">
            <v>326708</v>
          </cell>
          <cell r="M355">
            <v>356706</v>
          </cell>
          <cell r="N355">
            <v>336887</v>
          </cell>
          <cell r="O355">
            <v>342508</v>
          </cell>
          <cell r="P355">
            <v>334656</v>
          </cell>
          <cell r="S355">
            <v>344625</v>
          </cell>
          <cell r="X355">
            <v>359906</v>
          </cell>
          <cell r="AC355">
            <v>392611</v>
          </cell>
          <cell r="AH355">
            <v>413938</v>
          </cell>
          <cell r="AM355">
            <v>412649</v>
          </cell>
          <cell r="AR355">
            <v>285690</v>
          </cell>
          <cell r="AW355">
            <v>283463</v>
          </cell>
          <cell r="AX355">
            <v>70697</v>
          </cell>
          <cell r="AY355">
            <v>71137</v>
          </cell>
          <cell r="AZ355">
            <v>73560</v>
          </cell>
          <cell r="BA355">
            <v>67845</v>
          </cell>
          <cell r="BB355">
            <v>283239</v>
          </cell>
          <cell r="BC355">
            <v>73426</v>
          </cell>
          <cell r="BD355">
            <v>73732</v>
          </cell>
          <cell r="BE355">
            <v>78180</v>
          </cell>
          <cell r="BF355">
            <v>74907</v>
          </cell>
          <cell r="BG355">
            <v>300245</v>
          </cell>
          <cell r="BH355">
            <v>83979</v>
          </cell>
          <cell r="BI355">
            <v>84424</v>
          </cell>
          <cell r="BJ355">
            <v>90010</v>
          </cell>
          <cell r="BK355">
            <v>89697</v>
          </cell>
          <cell r="BL355">
            <v>343168</v>
          </cell>
          <cell r="BM355">
            <v>87792</v>
          </cell>
          <cell r="BN355">
            <v>91007</v>
          </cell>
          <cell r="BO355">
            <v>99296</v>
          </cell>
          <cell r="BP355">
            <v>371339</v>
          </cell>
          <cell r="BQ355">
            <v>371339</v>
          </cell>
          <cell r="BR355">
            <v>101027</v>
          </cell>
          <cell r="BS355">
            <v>101747</v>
          </cell>
          <cell r="BT355">
            <v>107869</v>
          </cell>
          <cell r="BU355">
            <v>97729</v>
          </cell>
          <cell r="BV355">
            <v>408372</v>
          </cell>
          <cell r="BW355">
            <v>98863</v>
          </cell>
          <cell r="BX355">
            <v>97920</v>
          </cell>
          <cell r="BY355">
            <v>104994</v>
          </cell>
          <cell r="BZ355">
            <v>100397</v>
          </cell>
          <cell r="CA355">
            <v>402174</v>
          </cell>
          <cell r="CB355">
            <v>106834</v>
          </cell>
          <cell r="CC355">
            <v>107639</v>
          </cell>
          <cell r="CD355">
            <v>110901.34899993183</v>
          </cell>
          <cell r="CE355">
            <v>105227.65100006817</v>
          </cell>
          <cell r="CF355">
            <v>430602</v>
          </cell>
          <cell r="CG355">
            <v>111774</v>
          </cell>
          <cell r="CH355">
            <v>114325</v>
          </cell>
          <cell r="CI355">
            <v>117291</v>
          </cell>
          <cell r="CJ355">
            <v>110175</v>
          </cell>
          <cell r="CK355">
            <v>453565</v>
          </cell>
          <cell r="CL355">
            <v>115642</v>
          </cell>
          <cell r="CM355">
            <v>115982</v>
          </cell>
          <cell r="CN355">
            <v>123872</v>
          </cell>
          <cell r="CO355">
            <v>113120</v>
          </cell>
          <cell r="CP355">
            <v>468616</v>
          </cell>
          <cell r="CQ355">
            <v>108090</v>
          </cell>
          <cell r="CR355">
            <v>119432</v>
          </cell>
          <cell r="CS355">
            <v>120741</v>
          </cell>
          <cell r="CT355">
            <v>119856</v>
          </cell>
          <cell r="CU355">
            <v>468119</v>
          </cell>
          <cell r="CV355">
            <v>123739</v>
          </cell>
          <cell r="CW355">
            <v>124942</v>
          </cell>
          <cell r="CX355">
            <v>136179</v>
          </cell>
          <cell r="CY355">
            <v>131580</v>
          </cell>
          <cell r="CZ355">
            <v>516440</v>
          </cell>
          <cell r="DA355">
            <v>147748</v>
          </cell>
          <cell r="DB355">
            <v>157630</v>
          </cell>
          <cell r="DC355">
            <v>160985</v>
          </cell>
          <cell r="DD355">
            <v>152536</v>
          </cell>
          <cell r="DE355">
            <v>618899</v>
          </cell>
          <cell r="DF355">
            <v>158506</v>
          </cell>
          <cell r="DG355">
            <v>164227</v>
          </cell>
          <cell r="DH355">
            <v>171700</v>
          </cell>
          <cell r="DI355">
            <v>168167</v>
          </cell>
        </row>
        <row r="356">
          <cell r="B356" t="str">
            <v>Total shareholders' equity (Pub)</v>
          </cell>
          <cell r="C356" t="str">
            <v>EQ_PUB</v>
          </cell>
          <cell r="D356" t="str">
            <v>JPY</v>
          </cell>
          <cell r="F356">
            <v>0</v>
          </cell>
          <cell r="G356">
            <v>93199</v>
          </cell>
          <cell r="H356">
            <v>101145</v>
          </cell>
          <cell r="I356">
            <v>105405</v>
          </cell>
          <cell r="J356">
            <v>109134</v>
          </cell>
          <cell r="K356">
            <v>113002</v>
          </cell>
          <cell r="L356">
            <v>139726</v>
          </cell>
          <cell r="M356">
            <v>139726</v>
          </cell>
          <cell r="N356">
            <v>150836</v>
          </cell>
          <cell r="O356">
            <v>151079</v>
          </cell>
          <cell r="P356">
            <v>162045</v>
          </cell>
          <cell r="S356">
            <v>169997</v>
          </cell>
          <cell r="X356">
            <v>192007</v>
          </cell>
          <cell r="AC356">
            <v>206919</v>
          </cell>
          <cell r="AH356">
            <v>199415</v>
          </cell>
          <cell r="AM356">
            <v>161817</v>
          </cell>
          <cell r="AR356">
            <v>167086</v>
          </cell>
          <cell r="AW356">
            <v>162600</v>
          </cell>
          <cell r="BB356">
            <v>167352</v>
          </cell>
          <cell r="BG356">
            <v>187856</v>
          </cell>
          <cell r="BL356">
            <v>210407</v>
          </cell>
          <cell r="BQ356">
            <v>238431</v>
          </cell>
          <cell r="BV356">
            <v>225676</v>
          </cell>
          <cell r="CA356">
            <v>244437</v>
          </cell>
          <cell r="CF356">
            <v>253289</v>
          </cell>
          <cell r="CK356">
            <v>270452</v>
          </cell>
          <cell r="CP356">
            <v>277757</v>
          </cell>
          <cell r="CU356">
            <v>311402</v>
          </cell>
          <cell r="CZ356">
            <v>363908</v>
          </cell>
          <cell r="DE356">
            <v>416970</v>
          </cell>
        </row>
        <row r="357">
          <cell r="B357" t="str">
            <v>Recurring profit (Pub)</v>
          </cell>
          <cell r="C357" t="str">
            <v>REC_PFT_PUB</v>
          </cell>
          <cell r="D357" t="str">
            <v>JPY</v>
          </cell>
          <cell r="F357">
            <v>0</v>
          </cell>
          <cell r="G357">
            <v>8487</v>
          </cell>
          <cell r="H357">
            <v>7870</v>
          </cell>
          <cell r="I357">
            <v>7474</v>
          </cell>
          <cell r="J357">
            <v>8200</v>
          </cell>
          <cell r="K357">
            <v>10322</v>
          </cell>
          <cell r="L357">
            <v>12911</v>
          </cell>
          <cell r="M357">
            <v>13356</v>
          </cell>
          <cell r="N357">
            <v>13183</v>
          </cell>
          <cell r="O357">
            <v>15640</v>
          </cell>
          <cell r="P357">
            <v>15428</v>
          </cell>
          <cell r="S357">
            <v>16649</v>
          </cell>
          <cell r="X357">
            <v>17350</v>
          </cell>
          <cell r="AC357">
            <v>20983</v>
          </cell>
          <cell r="AH357">
            <v>22388</v>
          </cell>
          <cell r="AM357">
            <v>17966</v>
          </cell>
          <cell r="AR357">
            <v>19136</v>
          </cell>
          <cell r="AW357">
            <v>16751</v>
          </cell>
          <cell r="BB357">
            <v>15242</v>
          </cell>
          <cell r="BG357">
            <v>18700</v>
          </cell>
          <cell r="BL357">
            <v>22682</v>
          </cell>
          <cell r="BQ357">
            <v>24364</v>
          </cell>
          <cell r="BV357">
            <v>31029</v>
          </cell>
          <cell r="CA357">
            <v>32037</v>
          </cell>
          <cell r="CF357">
            <v>35985</v>
          </cell>
          <cell r="CK357">
            <v>37925</v>
          </cell>
          <cell r="CP357">
            <v>39078</v>
          </cell>
          <cell r="CU357">
            <v>41464</v>
          </cell>
          <cell r="CZ357">
            <v>0</v>
          </cell>
          <cell r="DE357">
            <v>0</v>
          </cell>
        </row>
        <row r="358">
          <cell r="B358" t="str">
            <v>Operating profits</v>
          </cell>
          <cell r="C358" t="str">
            <v>OPS_PFT</v>
          </cell>
          <cell r="D358" t="str">
            <v>JPY</v>
          </cell>
          <cell r="F358">
            <v>0</v>
          </cell>
          <cell r="G358">
            <v>10794</v>
          </cell>
          <cell r="H358">
            <v>9614</v>
          </cell>
          <cell r="I358">
            <v>8729</v>
          </cell>
          <cell r="J358">
            <v>10050</v>
          </cell>
          <cell r="K358">
            <v>11046</v>
          </cell>
          <cell r="L358">
            <v>14686</v>
          </cell>
          <cell r="M358">
            <v>14890</v>
          </cell>
          <cell r="N358">
            <v>14942</v>
          </cell>
          <cell r="O358">
            <v>17904</v>
          </cell>
          <cell r="P358">
            <v>17059</v>
          </cell>
          <cell r="S358">
            <v>17847</v>
          </cell>
          <cell r="X358">
            <v>18557</v>
          </cell>
          <cell r="AC358">
            <v>21646</v>
          </cell>
          <cell r="AH358">
            <v>23854</v>
          </cell>
          <cell r="AM358">
            <v>20368</v>
          </cell>
          <cell r="AR358">
            <v>21085</v>
          </cell>
          <cell r="AW358">
            <v>19208</v>
          </cell>
          <cell r="BB358">
            <v>17764</v>
          </cell>
          <cell r="BG358">
            <v>19807</v>
          </cell>
          <cell r="BL358">
            <v>23846</v>
          </cell>
          <cell r="BQ358">
            <v>25371</v>
          </cell>
          <cell r="BV358">
            <v>32599</v>
          </cell>
          <cell r="CA358">
            <v>32843</v>
          </cell>
          <cell r="CF358">
            <v>36503</v>
          </cell>
          <cell r="CK358">
            <v>38419</v>
          </cell>
          <cell r="CP358">
            <v>39826</v>
          </cell>
          <cell r="CU358">
            <v>42614</v>
          </cell>
          <cell r="CZ358">
            <v>52274</v>
          </cell>
          <cell r="DE358">
            <v>58777</v>
          </cell>
        </row>
        <row r="359">
          <cell r="B359" t="str">
            <v>Pre-tax profit (reported)</v>
          </cell>
          <cell r="C359" t="str">
            <v>PTP_REP</v>
          </cell>
          <cell r="D359" t="str">
            <v>JPY</v>
          </cell>
          <cell r="F359">
            <v>0</v>
          </cell>
          <cell r="G359">
            <v>7310</v>
          </cell>
          <cell r="H359">
            <v>8787</v>
          </cell>
          <cell r="I359">
            <v>9321</v>
          </cell>
          <cell r="J359">
            <v>8438</v>
          </cell>
          <cell r="K359">
            <v>10560</v>
          </cell>
          <cell r="L359">
            <v>11225</v>
          </cell>
          <cell r="M359">
            <v>9057</v>
          </cell>
          <cell r="N359">
            <v>8976</v>
          </cell>
          <cell r="O359">
            <v>17211</v>
          </cell>
          <cell r="P359">
            <v>15999</v>
          </cell>
          <cell r="S359">
            <v>16336</v>
          </cell>
          <cell r="X359">
            <v>17362</v>
          </cell>
          <cell r="AC359">
            <v>20980</v>
          </cell>
          <cell r="AH359">
            <v>23366</v>
          </cell>
          <cell r="AM359">
            <v>16742</v>
          </cell>
          <cell r="AR359">
            <v>14830</v>
          </cell>
          <cell r="AW359">
            <v>13447</v>
          </cell>
          <cell r="BB359">
            <v>15431</v>
          </cell>
          <cell r="BG359">
            <v>17711</v>
          </cell>
          <cell r="BL359">
            <v>22276</v>
          </cell>
          <cell r="BQ359">
            <v>23822</v>
          </cell>
          <cell r="BV359">
            <v>30253</v>
          </cell>
          <cell r="CA359">
            <v>27079</v>
          </cell>
          <cell r="CF359">
            <v>35999</v>
          </cell>
          <cell r="CK359">
            <v>37595</v>
          </cell>
          <cell r="CP359">
            <v>37930</v>
          </cell>
          <cell r="CU359">
            <v>40519</v>
          </cell>
          <cell r="CZ359">
            <v>54231</v>
          </cell>
          <cell r="DE359">
            <v>60797</v>
          </cell>
        </row>
        <row r="360">
          <cell r="B360" t="str">
            <v>Revenue (Company Estimate) (Pub)</v>
          </cell>
          <cell r="C360" t="str">
            <v>REVS_COEST_PUB</v>
          </cell>
          <cell r="D360" t="str">
            <v>JPY</v>
          </cell>
          <cell r="CA360">
            <v>393000</v>
          </cell>
          <cell r="CF360" t="e">
            <v>#REF!</v>
          </cell>
          <cell r="CK360">
            <v>450800</v>
          </cell>
          <cell r="CP360">
            <v>473500</v>
          </cell>
          <cell r="CU360">
            <v>553200</v>
          </cell>
          <cell r="CZ360">
            <v>493800</v>
          </cell>
          <cell r="DE360">
            <v>596700</v>
          </cell>
        </row>
        <row r="361">
          <cell r="B361" t="str">
            <v>EBITDA (Co Est)</v>
          </cell>
          <cell r="C361" t="str">
            <v>EBITDA_COEST_PUB</v>
          </cell>
          <cell r="D361" t="str">
            <v>JPY</v>
          </cell>
        </row>
        <row r="362">
          <cell r="B362" t="str">
            <v>Operating profit (Co Est)</v>
          </cell>
          <cell r="C362" t="str">
            <v>EBIT_COEST_PUB</v>
          </cell>
          <cell r="D362" t="str">
            <v>JPY</v>
          </cell>
          <cell r="BQ362">
            <v>24700</v>
          </cell>
          <cell r="BV362">
            <v>31200</v>
          </cell>
          <cell r="CA362">
            <v>31500</v>
          </cell>
          <cell r="CF362" t="e">
            <v>#REF!</v>
          </cell>
          <cell r="CK362">
            <v>37600</v>
          </cell>
          <cell r="CP362" t="e">
            <v>#REF!</v>
          </cell>
          <cell r="CU362">
            <v>58950</v>
          </cell>
          <cell r="CZ362">
            <v>49700</v>
          </cell>
          <cell r="DE362">
            <v>55100</v>
          </cell>
        </row>
        <row r="363">
          <cell r="B363" t="str">
            <v>Pre-tax profit (Co Est)</v>
          </cell>
          <cell r="C363" t="str">
            <v>PTP_COEST_PUB</v>
          </cell>
          <cell r="D363" t="str">
            <v>JPY</v>
          </cell>
        </row>
        <row r="364">
          <cell r="B364" t="str">
            <v>Recurring profit (Company Estimate)</v>
          </cell>
          <cell r="C364" t="str">
            <v>REC_PFT_COEST_PUB</v>
          </cell>
          <cell r="D364" t="str">
            <v>JPY</v>
          </cell>
          <cell r="CA364">
            <v>30000</v>
          </cell>
          <cell r="CF364" t="e">
            <v>#REF!</v>
          </cell>
          <cell r="CK364">
            <v>0</v>
          </cell>
          <cell r="CP364">
            <v>65350</v>
          </cell>
        </row>
        <row r="365">
          <cell r="B365" t="str">
            <v>Net income (Company Estimate) (Pub)</v>
          </cell>
          <cell r="C365" t="str">
            <v>NI_COEST_PUB</v>
          </cell>
          <cell r="D365" t="str">
            <v>JPY</v>
          </cell>
          <cell r="CA365">
            <v>24000</v>
          </cell>
          <cell r="CF365" t="e">
            <v>#REF!</v>
          </cell>
          <cell r="CK365">
            <v>25500</v>
          </cell>
          <cell r="CP365" t="e">
            <v>#REF!</v>
          </cell>
          <cell r="CU365">
            <v>42400</v>
          </cell>
          <cell r="CZ365">
            <v>36400</v>
          </cell>
          <cell r="DE365">
            <v>40700</v>
          </cell>
        </row>
        <row r="366">
          <cell r="B366" t="str">
            <v>EPS (Co Est)</v>
          </cell>
          <cell r="C366" t="str">
            <v>EPS_COEST_PUB</v>
          </cell>
          <cell r="D366" t="str">
            <v>JPY</v>
          </cell>
          <cell r="CA366">
            <v>124.26</v>
          </cell>
          <cell r="CF366">
            <v>107.46040110264059</v>
          </cell>
          <cell r="CK366">
            <v>276.12079967531321</v>
          </cell>
          <cell r="CP366">
            <v>239.62207328144999</v>
          </cell>
          <cell r="CU366">
            <v>223.41813389145233</v>
          </cell>
          <cell r="CZ366">
            <v>189.87</v>
          </cell>
          <cell r="DE366">
            <v>212.49</v>
          </cell>
        </row>
        <row r="367">
          <cell r="B367" t="str">
            <v>Sales, revenue (consensus) (Pub)</v>
          </cell>
          <cell r="C367" t="str">
            <v>REVS_CONS_PUB</v>
          </cell>
          <cell r="D367" t="str">
            <v>JPY</v>
          </cell>
        </row>
        <row r="368">
          <cell r="B368" t="str">
            <v>Recurring profit (consensus) (Pub)</v>
          </cell>
          <cell r="C368" t="str">
            <v>REC_PFT_CONS_PUB</v>
          </cell>
          <cell r="D368" t="str">
            <v>JPY</v>
          </cell>
        </row>
        <row r="369">
          <cell r="B369" t="str">
            <v>EPS (consensus)</v>
          </cell>
          <cell r="C369" t="str">
            <v>EPS_CONS_PUB</v>
          </cell>
          <cell r="D369" t="str">
            <v>JPY</v>
          </cell>
        </row>
        <row r="370">
          <cell r="B370" t="str">
            <v>Dividend per share (Consensus)</v>
          </cell>
          <cell r="C370" t="str">
            <v>DPS_CONS_PUB</v>
          </cell>
          <cell r="D370" t="str">
            <v>JPY</v>
          </cell>
        </row>
        <row r="371">
          <cell r="B371" t="str">
            <v>OP Impact of Yen 10 appr vs USD</v>
          </cell>
          <cell r="C371" t="str">
            <v>OP_IMPACT_YEN_APPR_USD_PUB</v>
          </cell>
          <cell r="D371" t="str">
            <v>JPY</v>
          </cell>
          <cell r="BL371">
            <v>-1200</v>
          </cell>
          <cell r="BQ371">
            <v>-1200</v>
          </cell>
        </row>
        <row r="372">
          <cell r="B372" t="str">
            <v>OP Impact of Yen 10 appr vs EUR</v>
          </cell>
          <cell r="C372" t="str">
            <v>OP_IMPACT_YEN_APPR_EUR_PUB</v>
          </cell>
          <cell r="D372" t="str">
            <v>JPY</v>
          </cell>
          <cell r="BL372">
            <v>-150</v>
          </cell>
          <cell r="BQ372">
            <v>-150</v>
          </cell>
        </row>
        <row r="373">
          <cell r="B373" t="str">
            <v>NI Impact of Yen 10 appr vs USD</v>
          </cell>
          <cell r="C373" t="str">
            <v>NI_IMPACT_YEN_APPR_USD_PUB</v>
          </cell>
          <cell r="D373" t="str">
            <v>JPY</v>
          </cell>
        </row>
        <row r="374">
          <cell r="B374" t="str">
            <v>NI Impact of Yen 10 appr vs EUR</v>
          </cell>
          <cell r="C374" t="str">
            <v>NI_IMPACT_YEN_APPR_EUR_PUB</v>
          </cell>
          <cell r="D374" t="str">
            <v>JPY</v>
          </cell>
        </row>
        <row r="375">
          <cell r="A375" t="str">
            <v>Income Statement</v>
          </cell>
        </row>
        <row r="376">
          <cell r="B376" t="str">
            <v>Provision for income tax</v>
          </cell>
          <cell r="C376" t="str">
            <v>PROV_INC_TAX</v>
          </cell>
          <cell r="D376" t="str">
            <v>JPY</v>
          </cell>
          <cell r="F376">
            <v>0</v>
          </cell>
          <cell r="G376">
            <v>-2817</v>
          </cell>
          <cell r="H376">
            <v>-1460</v>
          </cell>
          <cell r="I376">
            <v>-3627</v>
          </cell>
          <cell r="J376">
            <v>-3223</v>
          </cell>
          <cell r="K376">
            <v>-5295</v>
          </cell>
          <cell r="L376">
            <v>-5536</v>
          </cell>
          <cell r="M376">
            <v>-2878</v>
          </cell>
          <cell r="N376">
            <v>-3172</v>
          </cell>
          <cell r="O376">
            <v>-10314</v>
          </cell>
          <cell r="P376">
            <v>-7953</v>
          </cell>
          <cell r="S376">
            <v>-7955</v>
          </cell>
          <cell r="X376">
            <v>-6235</v>
          </cell>
          <cell r="AC376">
            <v>-8448</v>
          </cell>
          <cell r="AH376">
            <v>-10467</v>
          </cell>
          <cell r="AM376">
            <v>-13272</v>
          </cell>
          <cell r="AR376">
            <v>-6143</v>
          </cell>
          <cell r="AW376">
            <v>-5594</v>
          </cell>
          <cell r="BB376">
            <v>-6397</v>
          </cell>
          <cell r="BG376">
            <v>-6603</v>
          </cell>
          <cell r="BL376">
            <v>-9712</v>
          </cell>
          <cell r="BQ376">
            <v>-8330</v>
          </cell>
          <cell r="BV376">
            <v>-10087</v>
          </cell>
          <cell r="CA376">
            <v>-3216</v>
          </cell>
          <cell r="CF376">
            <v>-11841</v>
          </cell>
          <cell r="CK376">
            <v>-11191</v>
          </cell>
          <cell r="CP376">
            <v>-10925</v>
          </cell>
          <cell r="CU376">
            <v>-11230</v>
          </cell>
          <cell r="CZ376">
            <v>-14885</v>
          </cell>
          <cell r="DE376">
            <v>-16597</v>
          </cell>
        </row>
        <row r="377">
          <cell r="B377" t="str">
            <v>Minority interest</v>
          </cell>
          <cell r="C377" t="str">
            <v>INC_MINORITY</v>
          </cell>
          <cell r="D377" t="str">
            <v>JPY</v>
          </cell>
          <cell r="F377">
            <v>0</v>
          </cell>
          <cell r="G377">
            <v>-46</v>
          </cell>
          <cell r="H377">
            <v>-41</v>
          </cell>
          <cell r="I377">
            <v>16</v>
          </cell>
          <cell r="J377">
            <v>3</v>
          </cell>
          <cell r="K377">
            <v>21</v>
          </cell>
          <cell r="L377">
            <v>461</v>
          </cell>
          <cell r="M377">
            <v>-435</v>
          </cell>
          <cell r="N377">
            <v>-441</v>
          </cell>
          <cell r="O377">
            <v>1414</v>
          </cell>
          <cell r="P377">
            <v>1241</v>
          </cell>
          <cell r="S377">
            <v>1106</v>
          </cell>
          <cell r="X377">
            <v>-1002</v>
          </cell>
          <cell r="AC377">
            <v>-1793</v>
          </cell>
          <cell r="AH377">
            <v>-1452</v>
          </cell>
          <cell r="AM377">
            <v>-724</v>
          </cell>
          <cell r="AR377">
            <v>-85</v>
          </cell>
          <cell r="AW377">
            <v>-83</v>
          </cell>
          <cell r="BB377">
            <v>-51</v>
          </cell>
          <cell r="BG377">
            <v>-102</v>
          </cell>
          <cell r="BL377">
            <v>-5</v>
          </cell>
          <cell r="BQ377">
            <v>-110</v>
          </cell>
          <cell r="BV377">
            <v>-201</v>
          </cell>
          <cell r="CA377">
            <v>-53</v>
          </cell>
          <cell r="CF377">
            <v>-311</v>
          </cell>
          <cell r="CK377">
            <v>-411</v>
          </cell>
          <cell r="CP377">
            <v>-409</v>
          </cell>
          <cell r="CU377">
            <v>-460</v>
          </cell>
          <cell r="CZ377">
            <v>-441</v>
          </cell>
          <cell r="DE377">
            <v>-466</v>
          </cell>
        </row>
        <row r="378">
          <cell r="B378" t="str">
            <v>Net income (pre-preferred dividends)</v>
          </cell>
          <cell r="C378" t="str">
            <v>NI_PRE_PREF</v>
          </cell>
          <cell r="D378" t="str">
            <v>JPY</v>
          </cell>
          <cell r="F378">
            <v>0</v>
          </cell>
          <cell r="G378">
            <v>4447</v>
          </cell>
          <cell r="H378">
            <v>7286</v>
          </cell>
          <cell r="I378">
            <v>5710</v>
          </cell>
          <cell r="J378">
            <v>5218</v>
          </cell>
          <cell r="K378">
            <v>5286</v>
          </cell>
          <cell r="L378">
            <v>6150</v>
          </cell>
          <cell r="M378">
            <v>5744</v>
          </cell>
          <cell r="N378">
            <v>5363</v>
          </cell>
          <cell r="O378">
            <v>8311</v>
          </cell>
          <cell r="P378">
            <v>9287</v>
          </cell>
          <cell r="S378">
            <v>9487</v>
          </cell>
          <cell r="X378">
            <v>10125</v>
          </cell>
          <cell r="AC378">
            <v>10739</v>
          </cell>
          <cell r="AH378">
            <v>11447</v>
          </cell>
          <cell r="AM378">
            <v>2746</v>
          </cell>
          <cell r="AR378">
            <v>8602</v>
          </cell>
          <cell r="AW378">
            <v>7770</v>
          </cell>
          <cell r="BB378">
            <v>8983</v>
          </cell>
          <cell r="BG378">
            <v>11006</v>
          </cell>
          <cell r="BL378">
            <v>12559</v>
          </cell>
          <cell r="BQ378">
            <v>15382</v>
          </cell>
          <cell r="BV378">
            <v>19965</v>
          </cell>
          <cell r="CA378">
            <v>23810</v>
          </cell>
          <cell r="CF378">
            <v>23847</v>
          </cell>
          <cell r="CK378">
            <v>25993</v>
          </cell>
          <cell r="CP378">
            <v>26596</v>
          </cell>
          <cell r="CU378">
            <v>28829</v>
          </cell>
          <cell r="CZ378">
            <v>38905</v>
          </cell>
          <cell r="DE378">
            <v>43734</v>
          </cell>
        </row>
        <row r="379">
          <cell r="B379" t="str">
            <v>Preferred dividends</v>
          </cell>
          <cell r="C379" t="str">
            <v>PREF_DIV</v>
          </cell>
          <cell r="D379" t="str">
            <v>JPY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S379">
            <v>0</v>
          </cell>
          <cell r="X379">
            <v>0</v>
          </cell>
          <cell r="AC379">
            <v>0</v>
          </cell>
          <cell r="AH379">
            <v>0</v>
          </cell>
          <cell r="AM379">
            <v>0</v>
          </cell>
          <cell r="AR379">
            <v>0</v>
          </cell>
          <cell r="AW379">
            <v>0</v>
          </cell>
          <cell r="BB379">
            <v>0</v>
          </cell>
          <cell r="BG379">
            <v>0</v>
          </cell>
          <cell r="BL379">
            <v>0</v>
          </cell>
          <cell r="BQ379">
            <v>0</v>
          </cell>
          <cell r="BV379">
            <v>0</v>
          </cell>
          <cell r="CA379">
            <v>0</v>
          </cell>
          <cell r="CF379">
            <v>0</v>
          </cell>
          <cell r="CK379">
            <v>0</v>
          </cell>
          <cell r="CP379">
            <v>0</v>
          </cell>
          <cell r="CU379">
            <v>0</v>
          </cell>
          <cell r="CZ379">
            <v>0</v>
          </cell>
          <cell r="DE379">
            <v>0</v>
          </cell>
        </row>
        <row r="380">
          <cell r="B380" t="str">
            <v>Net income (pre-exceptionals)</v>
          </cell>
          <cell r="C380" t="str">
            <v>NET_EARNING</v>
          </cell>
          <cell r="D380" t="str">
            <v>JPY</v>
          </cell>
          <cell r="F380">
            <v>0</v>
          </cell>
          <cell r="G380">
            <v>4447</v>
          </cell>
          <cell r="H380">
            <v>7286</v>
          </cell>
          <cell r="I380">
            <v>5710</v>
          </cell>
          <cell r="J380">
            <v>5218</v>
          </cell>
          <cell r="K380">
            <v>5286</v>
          </cell>
          <cell r="L380">
            <v>6150</v>
          </cell>
          <cell r="M380">
            <v>5744</v>
          </cell>
          <cell r="N380">
            <v>5363</v>
          </cell>
          <cell r="O380">
            <v>8311</v>
          </cell>
          <cell r="P380">
            <v>9287</v>
          </cell>
          <cell r="S380">
            <v>9487</v>
          </cell>
          <cell r="X380">
            <v>10125</v>
          </cell>
          <cell r="AC380">
            <v>10739</v>
          </cell>
          <cell r="AH380">
            <v>11447</v>
          </cell>
          <cell r="AM380">
            <v>2746</v>
          </cell>
          <cell r="AR380">
            <v>8602</v>
          </cell>
          <cell r="AW380">
            <v>7770</v>
          </cell>
          <cell r="BB380">
            <v>8983</v>
          </cell>
          <cell r="BG380">
            <v>11006</v>
          </cell>
          <cell r="BL380">
            <v>12559</v>
          </cell>
          <cell r="BQ380">
            <v>15382</v>
          </cell>
          <cell r="BV380">
            <v>19964</v>
          </cell>
          <cell r="BW380">
            <v>11073</v>
          </cell>
          <cell r="BX380">
            <v>4940</v>
          </cell>
          <cell r="BY380">
            <v>6377</v>
          </cell>
          <cell r="BZ380">
            <v>1420</v>
          </cell>
          <cell r="CA380">
            <v>23810</v>
          </cell>
          <cell r="CB380">
            <v>6102</v>
          </cell>
          <cell r="CC380">
            <v>5940</v>
          </cell>
          <cell r="CD380">
            <v>6308.9999999999982</v>
          </cell>
          <cell r="CE380">
            <v>5495</v>
          </cell>
          <cell r="CF380">
            <v>23846</v>
          </cell>
          <cell r="CG380">
            <v>7102</v>
          </cell>
          <cell r="CH380">
            <v>7231</v>
          </cell>
          <cell r="CI380">
            <v>15411.48</v>
          </cell>
          <cell r="CJ380">
            <v>-3752.4799999999996</v>
          </cell>
          <cell r="CK380">
            <v>25992</v>
          </cell>
          <cell r="CL380">
            <v>7975</v>
          </cell>
          <cell r="CM380">
            <v>7314</v>
          </cell>
          <cell r="CN380">
            <v>8118</v>
          </cell>
          <cell r="CO380">
            <v>3188</v>
          </cell>
          <cell r="CP380">
            <v>26595</v>
          </cell>
          <cell r="CQ380">
            <v>6954</v>
          </cell>
          <cell r="CR380">
            <v>7666</v>
          </cell>
          <cell r="CS380">
            <v>8983</v>
          </cell>
          <cell r="CT380">
            <v>5225</v>
          </cell>
          <cell r="CU380">
            <v>28828</v>
          </cell>
          <cell r="CV380">
            <v>9725.75</v>
          </cell>
          <cell r="CW380">
            <v>9725.75</v>
          </cell>
          <cell r="CX380">
            <v>11987</v>
          </cell>
          <cell r="CY380">
            <v>7464.5</v>
          </cell>
          <cell r="CZ380">
            <v>38903</v>
          </cell>
          <cell r="DE380">
            <v>43733</v>
          </cell>
        </row>
        <row r="381">
          <cell r="B381" t="str">
            <v>Post-tax exceptionals</v>
          </cell>
          <cell r="C381" t="str">
            <v>TAX_EXC</v>
          </cell>
          <cell r="D381" t="str">
            <v>JPY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S381">
            <v>0</v>
          </cell>
          <cell r="X381">
            <v>0</v>
          </cell>
          <cell r="AC381">
            <v>0</v>
          </cell>
          <cell r="AH381">
            <v>0</v>
          </cell>
          <cell r="AM381">
            <v>0</v>
          </cell>
          <cell r="AR381">
            <v>0</v>
          </cell>
          <cell r="AW381">
            <v>0</v>
          </cell>
          <cell r="BB381">
            <v>0</v>
          </cell>
          <cell r="BG381">
            <v>0</v>
          </cell>
          <cell r="BL381">
            <v>0</v>
          </cell>
          <cell r="BQ381">
            <v>0</v>
          </cell>
          <cell r="BV381">
            <v>0</v>
          </cell>
          <cell r="CA381">
            <v>0</v>
          </cell>
          <cell r="CF381">
            <v>0</v>
          </cell>
          <cell r="CK381">
            <v>0</v>
          </cell>
          <cell r="CP381">
            <v>0</v>
          </cell>
          <cell r="CU381">
            <v>0</v>
          </cell>
          <cell r="CZ381">
            <v>0</v>
          </cell>
          <cell r="DE381">
            <v>0</v>
          </cell>
        </row>
        <row r="382">
          <cell r="B382" t="str">
            <v>Net income (post-exceptionals)</v>
          </cell>
          <cell r="C382" t="str">
            <v>NET_INC</v>
          </cell>
          <cell r="D382" t="str">
            <v>JPY</v>
          </cell>
          <cell r="F382">
            <v>0</v>
          </cell>
          <cell r="G382">
            <v>4447</v>
          </cell>
          <cell r="H382">
            <v>7286</v>
          </cell>
          <cell r="I382">
            <v>5710</v>
          </cell>
          <cell r="J382">
            <v>5218</v>
          </cell>
          <cell r="K382">
            <v>5286</v>
          </cell>
          <cell r="L382">
            <v>6150</v>
          </cell>
          <cell r="M382">
            <v>5744</v>
          </cell>
          <cell r="N382">
            <v>5363</v>
          </cell>
          <cell r="O382">
            <v>8311</v>
          </cell>
          <cell r="P382">
            <v>9287</v>
          </cell>
          <cell r="S382">
            <v>9487</v>
          </cell>
          <cell r="X382">
            <v>10125</v>
          </cell>
          <cell r="AC382">
            <v>10739</v>
          </cell>
          <cell r="AH382">
            <v>11447</v>
          </cell>
          <cell r="AM382">
            <v>2746</v>
          </cell>
          <cell r="AR382">
            <v>8602</v>
          </cell>
          <cell r="AW382">
            <v>7770</v>
          </cell>
          <cell r="BB382">
            <v>8983</v>
          </cell>
          <cell r="BG382">
            <v>11006</v>
          </cell>
          <cell r="BL382">
            <v>12559</v>
          </cell>
          <cell r="BQ382">
            <v>15382</v>
          </cell>
          <cell r="BV382">
            <v>19964</v>
          </cell>
          <cell r="CA382">
            <v>23810</v>
          </cell>
          <cell r="CF382">
            <v>23846</v>
          </cell>
          <cell r="CK382">
            <v>25992</v>
          </cell>
          <cell r="CP382">
            <v>26595</v>
          </cell>
          <cell r="CU382">
            <v>28828</v>
          </cell>
          <cell r="CZ382">
            <v>38903</v>
          </cell>
          <cell r="DE382">
            <v>43733</v>
          </cell>
        </row>
        <row r="383">
          <cell r="B383" t="str">
            <v>EPS (pre-exceptionals, basic)</v>
          </cell>
          <cell r="C383" t="str">
            <v>EPS</v>
          </cell>
          <cell r="D383" t="str">
            <v>JPY</v>
          </cell>
          <cell r="F383" t="e">
            <v>#DIV/0!</v>
          </cell>
          <cell r="G383">
            <v>23.678274031343616</v>
          </cell>
          <cell r="H383">
            <v>36.947254918351035</v>
          </cell>
          <cell r="I383">
            <v>28.955713412819424</v>
          </cell>
          <cell r="J383">
            <v>26.46034279450155</v>
          </cell>
          <cell r="K383">
            <v>26.805194179291128</v>
          </cell>
          <cell r="L383">
            <v>31.186432131242078</v>
          </cell>
          <cell r="M383">
            <v>29.374464688863434</v>
          </cell>
          <cell r="N383">
            <v>27.20281282055431</v>
          </cell>
          <cell r="O383">
            <v>42.310973549282927</v>
          </cell>
          <cell r="P383">
            <v>47.38837399849772</v>
          </cell>
          <cell r="S383">
            <v>48.759063836870205</v>
          </cell>
          <cell r="X383">
            <v>52.301378695852392</v>
          </cell>
          <cell r="AC383">
            <v>55.48349721674235</v>
          </cell>
          <cell r="AH383">
            <v>59.156964827967393</v>
          </cell>
          <cell r="AM383">
            <v>13.288656155126722</v>
          </cell>
          <cell r="AR383">
            <v>41.677617821709859</v>
          </cell>
          <cell r="AW383">
            <v>37.736133307800976</v>
          </cell>
          <cell r="BB383">
            <v>43.798527999880172</v>
          </cell>
          <cell r="BG383">
            <v>54.835331283822548</v>
          </cell>
          <cell r="BL383">
            <v>62.817503114140571</v>
          </cell>
          <cell r="BQ383">
            <v>78.197522203073603</v>
          </cell>
          <cell r="BV383">
            <v>102.66248659002123</v>
          </cell>
          <cell r="CA383">
            <v>123.27594500693748</v>
          </cell>
          <cell r="CF383">
            <v>123.70504869219755</v>
          </cell>
          <cell r="CK383">
            <v>135.38976171495699</v>
          </cell>
          <cell r="CP383">
            <v>138.53296037971919</v>
          </cell>
          <cell r="CU383">
            <v>150.16678472827761</v>
          </cell>
          <cell r="CZ383">
            <v>202.93337128781522</v>
          </cell>
          <cell r="DE383">
            <v>228.36970894530464</v>
          </cell>
        </row>
        <row r="384">
          <cell r="B384" t="str">
            <v>EPS (pre-exceptionals, diluted)</v>
          </cell>
          <cell r="C384" t="str">
            <v>EPS_FUL_DIL</v>
          </cell>
          <cell r="D384" t="str">
            <v>JPY</v>
          </cell>
          <cell r="F384" t="e">
            <v>#DIV/0!</v>
          </cell>
          <cell r="G384">
            <v>23.677933252401338</v>
          </cell>
          <cell r="H384">
            <v>36.946886948408235</v>
          </cell>
          <cell r="I384">
            <v>28.955081591464594</v>
          </cell>
          <cell r="J384">
            <v>26.460177888662386</v>
          </cell>
          <cell r="K384">
            <v>26.805001977667565</v>
          </cell>
          <cell r="L384">
            <v>31.186296285027534</v>
          </cell>
          <cell r="M384">
            <v>29.374177772963677</v>
          </cell>
          <cell r="N384">
            <v>27.195464549041084</v>
          </cell>
          <cell r="O384">
            <v>42.14460299591282</v>
          </cell>
          <cell r="P384">
            <v>47.093842861634265</v>
          </cell>
          <cell r="S384">
            <v>48.108031358708324</v>
          </cell>
          <cell r="X384">
            <v>51.343292664374601</v>
          </cell>
          <cell r="AC384">
            <v>54.456851350391979</v>
          </cell>
          <cell r="AH384">
            <v>58.046990324149363</v>
          </cell>
          <cell r="AM384">
            <v>13.052372879085661</v>
          </cell>
          <cell r="AR384">
            <v>40.88729479457205</v>
          </cell>
          <cell r="AW384">
            <v>36.932606434994746</v>
          </cell>
          <cell r="BB384">
            <v>42.698275882311172</v>
          </cell>
          <cell r="BG384">
            <v>54.835331283822548</v>
          </cell>
          <cell r="BL384">
            <v>62.817503114140571</v>
          </cell>
          <cell r="BQ384">
            <v>78.197522203073603</v>
          </cell>
          <cell r="BV384">
            <v>102.66248659002123</v>
          </cell>
          <cell r="BW384">
            <v>57.330304034515692</v>
          </cell>
          <cell r="BX384">
            <v>25.576781534408699</v>
          </cell>
          <cell r="BY384">
            <v>33.016829118405724</v>
          </cell>
          <cell r="BZ384">
            <v>7.3520303196073655</v>
          </cell>
          <cell r="CA384">
            <v>123.27594500693748</v>
          </cell>
          <cell r="CB384">
            <v>31.655129041339823</v>
          </cell>
          <cell r="CC384">
            <v>30.814727385375051</v>
          </cell>
          <cell r="CD384">
            <v>32.728975601739251</v>
          </cell>
          <cell r="CE384">
            <v>28.506216663743416</v>
          </cell>
          <cell r="CF384">
            <v>123.70504869219755</v>
          </cell>
          <cell r="CG384">
            <v>37</v>
          </cell>
          <cell r="CH384">
            <v>37.659999999999997</v>
          </cell>
          <cell r="CI384">
            <v>80.276877688320454</v>
          </cell>
          <cell r="CJ384">
            <v>-19.547115973363475</v>
          </cell>
          <cell r="CK384">
            <v>135.38976171495699</v>
          </cell>
          <cell r="CL384">
            <v>41.541656665849239</v>
          </cell>
          <cell r="CM384">
            <v>38.098517473858472</v>
          </cell>
          <cell r="CN384">
            <v>42.286541543995497</v>
          </cell>
          <cell r="CO384">
            <v>16.60624469601597</v>
          </cell>
          <cell r="CP384">
            <v>138.53296037971919</v>
          </cell>
          <cell r="CQ384">
            <v>36.22</v>
          </cell>
          <cell r="CR384">
            <v>39.94</v>
          </cell>
          <cell r="CS384">
            <v>46.790000000000006</v>
          </cell>
          <cell r="CT384">
            <v>27.217339052492388</v>
          </cell>
          <cell r="CU384">
            <v>150.16678472827761</v>
          </cell>
          <cell r="CV384">
            <v>60.45</v>
          </cell>
          <cell r="CW384">
            <v>50.959999999999994</v>
          </cell>
          <cell r="CX384">
            <v>62.550000000000011</v>
          </cell>
          <cell r="CY384">
            <v>28.973371287815212</v>
          </cell>
          <cell r="CZ384">
            <v>202.93337128781522</v>
          </cell>
          <cell r="DE384">
            <v>228.36970894530464</v>
          </cell>
        </row>
        <row r="385">
          <cell r="B385" t="str">
            <v>EPS (post-exceptionals, basic)</v>
          </cell>
          <cell r="C385" t="str">
            <v>EPS_POST_BASIC</v>
          </cell>
          <cell r="D385" t="str">
            <v>JPY</v>
          </cell>
          <cell r="F385" t="e">
            <v>#DIV/0!</v>
          </cell>
          <cell r="G385">
            <v>23.678274031343616</v>
          </cell>
          <cell r="H385">
            <v>36.947254918351035</v>
          </cell>
          <cell r="I385">
            <v>28.955713412819424</v>
          </cell>
          <cell r="J385">
            <v>26.46034279450155</v>
          </cell>
          <cell r="K385">
            <v>26.805194179291128</v>
          </cell>
          <cell r="L385">
            <v>31.186432131242078</v>
          </cell>
          <cell r="M385">
            <v>29.374464688863434</v>
          </cell>
          <cell r="N385">
            <v>27.20281282055431</v>
          </cell>
          <cell r="O385">
            <v>42.310973549282927</v>
          </cell>
          <cell r="P385">
            <v>47.38837399849772</v>
          </cell>
          <cell r="S385">
            <v>48.759063836870205</v>
          </cell>
          <cell r="X385">
            <v>52.301378695852392</v>
          </cell>
          <cell r="AC385">
            <v>55.48349721674235</v>
          </cell>
          <cell r="AH385">
            <v>59.156964827967393</v>
          </cell>
          <cell r="AM385">
            <v>13.288656155126722</v>
          </cell>
          <cell r="AR385">
            <v>41.677617821709859</v>
          </cell>
          <cell r="AW385">
            <v>37.736133307800976</v>
          </cell>
          <cell r="BB385">
            <v>43.798527999880172</v>
          </cell>
          <cell r="BG385">
            <v>54.835331283822548</v>
          </cell>
          <cell r="BL385">
            <v>62.817503114140571</v>
          </cell>
          <cell r="BQ385">
            <v>78.197522203073603</v>
          </cell>
          <cell r="BV385">
            <v>102.66248659002123</v>
          </cell>
          <cell r="CA385">
            <v>123.27594500693748</v>
          </cell>
          <cell r="CF385">
            <v>123.70504869219755</v>
          </cell>
          <cell r="CK385">
            <v>135.38976171495699</v>
          </cell>
          <cell r="CP385">
            <v>138.53296037971919</v>
          </cell>
          <cell r="CU385">
            <v>150.16678472827761</v>
          </cell>
          <cell r="CZ385">
            <v>202.93337128781522</v>
          </cell>
          <cell r="DE385">
            <v>228.36970894530464</v>
          </cell>
        </row>
        <row r="386">
          <cell r="B386" t="str">
            <v>EPS (post-exceptionals, diluted)</v>
          </cell>
          <cell r="C386" t="str">
            <v>FULLY_DIL_EPS</v>
          </cell>
          <cell r="D386" t="str">
            <v>JPY</v>
          </cell>
          <cell r="F386" t="e">
            <v>#DIV/0!</v>
          </cell>
          <cell r="G386">
            <v>23.677933252401338</v>
          </cell>
          <cell r="H386">
            <v>36.946886948408235</v>
          </cell>
          <cell r="I386">
            <v>28.955081591464594</v>
          </cell>
          <cell r="J386">
            <v>26.460177888662386</v>
          </cell>
          <cell r="K386">
            <v>26.805001977667565</v>
          </cell>
          <cell r="L386">
            <v>31.186296285027534</v>
          </cell>
          <cell r="M386">
            <v>29.374177772963677</v>
          </cell>
          <cell r="N386">
            <v>27.195464549041084</v>
          </cell>
          <cell r="O386">
            <v>42.14460299591282</v>
          </cell>
          <cell r="P386">
            <v>47.093842861634265</v>
          </cell>
          <cell r="S386">
            <v>48.108031358708324</v>
          </cell>
          <cell r="X386">
            <v>51.343292664374601</v>
          </cell>
          <cell r="AC386">
            <v>54.456851350391979</v>
          </cell>
          <cell r="AH386">
            <v>58.046990324149363</v>
          </cell>
          <cell r="AM386">
            <v>13.052372879085661</v>
          </cell>
          <cell r="AR386">
            <v>40.88729479457205</v>
          </cell>
          <cell r="AW386">
            <v>36.932606434994746</v>
          </cell>
          <cell r="BB386">
            <v>42.698275882311172</v>
          </cell>
          <cell r="BG386">
            <v>54.835331283822548</v>
          </cell>
          <cell r="BL386">
            <v>62.817503114140571</v>
          </cell>
          <cell r="BQ386">
            <v>78.197522203073603</v>
          </cell>
          <cell r="BV386">
            <v>102.66248659002123</v>
          </cell>
          <cell r="CA386">
            <v>123.27594500693748</v>
          </cell>
          <cell r="CF386">
            <v>123.70504869219755</v>
          </cell>
          <cell r="CK386">
            <v>135.38976171495699</v>
          </cell>
          <cell r="CP386">
            <v>138.53296037971919</v>
          </cell>
          <cell r="CU386">
            <v>150.16678472827761</v>
          </cell>
          <cell r="CZ386">
            <v>202.93337128781522</v>
          </cell>
          <cell r="DE386">
            <v>228.36970894530464</v>
          </cell>
        </row>
        <row r="387">
          <cell r="B387" t="str">
            <v>Common dividends paid</v>
          </cell>
          <cell r="C387" t="str">
            <v>COMMON_DIV_PAID</v>
          </cell>
          <cell r="D387" t="str">
            <v>JPY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-1569</v>
          </cell>
          <cell r="M387">
            <v>-1580</v>
          </cell>
          <cell r="N387">
            <v>-545</v>
          </cell>
          <cell r="O387">
            <v>-1581</v>
          </cell>
          <cell r="P387">
            <v>-1892</v>
          </cell>
          <cell r="S387">
            <v>-2200</v>
          </cell>
          <cell r="X387">
            <v>-2193</v>
          </cell>
          <cell r="AC387">
            <v>-3007</v>
          </cell>
          <cell r="AH387">
            <v>-3505</v>
          </cell>
          <cell r="AM387">
            <v>-3510</v>
          </cell>
          <cell r="AR387">
            <v>-3114</v>
          </cell>
          <cell r="AW387">
            <v>-3110</v>
          </cell>
          <cell r="BB387">
            <v>-3094</v>
          </cell>
          <cell r="BG387">
            <v>-3088</v>
          </cell>
          <cell r="BL387">
            <v>-4002</v>
          </cell>
          <cell r="BQ387">
            <v>-4697</v>
          </cell>
          <cell r="BV387">
            <v>-6182</v>
          </cell>
          <cell r="CA387">
            <v>-6568</v>
          </cell>
          <cell r="CF387">
            <v>-7514</v>
          </cell>
          <cell r="CK387">
            <v>-7873</v>
          </cell>
          <cell r="CP387">
            <v>-8065</v>
          </cell>
          <cell r="CU387">
            <v>-8641</v>
          </cell>
          <cell r="CZ387">
            <v>-8825</v>
          </cell>
          <cell r="DE387">
            <v>-13220</v>
          </cell>
        </row>
        <row r="388">
          <cell r="B388" t="str">
            <v>DPS, dividend per share</v>
          </cell>
          <cell r="C388" t="str">
            <v>DPS</v>
          </cell>
          <cell r="D388" t="str">
            <v>JPY</v>
          </cell>
          <cell r="F388">
            <v>0</v>
          </cell>
          <cell r="G388">
            <v>7</v>
          </cell>
          <cell r="H388">
            <v>7</v>
          </cell>
          <cell r="I388">
            <v>7</v>
          </cell>
          <cell r="J388">
            <v>7</v>
          </cell>
          <cell r="K388">
            <v>7</v>
          </cell>
          <cell r="L388">
            <v>7</v>
          </cell>
          <cell r="M388">
            <v>7</v>
          </cell>
          <cell r="N388">
            <v>7</v>
          </cell>
          <cell r="O388">
            <v>8</v>
          </cell>
          <cell r="P388">
            <v>10</v>
          </cell>
          <cell r="S388">
            <v>10</v>
          </cell>
          <cell r="X388">
            <v>12</v>
          </cell>
          <cell r="AC388">
            <v>15</v>
          </cell>
          <cell r="AH388">
            <v>15</v>
          </cell>
          <cell r="AM388">
            <v>15</v>
          </cell>
          <cell r="AR388">
            <v>15</v>
          </cell>
          <cell r="AW388">
            <v>15</v>
          </cell>
          <cell r="BB388">
            <v>15</v>
          </cell>
          <cell r="BG388">
            <v>20</v>
          </cell>
          <cell r="BL388">
            <v>20</v>
          </cell>
          <cell r="BQ388">
            <v>24</v>
          </cell>
          <cell r="BV388">
            <v>32</v>
          </cell>
          <cell r="CA388">
            <v>34</v>
          </cell>
          <cell r="CF388">
            <v>39</v>
          </cell>
          <cell r="CK388">
            <v>41</v>
          </cell>
          <cell r="CP388">
            <v>42</v>
          </cell>
          <cell r="CU388">
            <v>45</v>
          </cell>
          <cell r="CZ388">
            <v>61</v>
          </cell>
          <cell r="DE388">
            <v>78</v>
          </cell>
        </row>
        <row r="389">
          <cell r="B389" t="str">
            <v>Weighted average shares outstanding, basic</v>
          </cell>
          <cell r="C389" t="str">
            <v>SH</v>
          </cell>
          <cell r="F389">
            <v>0</v>
          </cell>
          <cell r="G389">
            <v>187.80929699999999</v>
          </cell>
          <cell r="H389">
            <v>197.20003599999998</v>
          </cell>
          <cell r="I389">
            <v>197.19769699999998</v>
          </cell>
          <cell r="J389">
            <v>197.200771</v>
          </cell>
          <cell r="K389">
            <v>197.20058600000002</v>
          </cell>
          <cell r="L389">
            <v>197.20114100000001</v>
          </cell>
          <cell r="M389">
            <v>195.54398900000001</v>
          </cell>
          <cell r="N389">
            <v>197.14873</v>
          </cell>
          <cell r="O389">
            <v>196.42658399999999</v>
          </cell>
          <cell r="P389">
            <v>195.976338</v>
          </cell>
          <cell r="S389">
            <v>194.56895300000002</v>
          </cell>
          <cell r="X389">
            <v>193.58954299999999</v>
          </cell>
          <cell r="AC389">
            <v>193.55304800000002</v>
          </cell>
          <cell r="AH389">
            <v>193.502152</v>
          </cell>
          <cell r="AM389">
            <v>206.64241499999997</v>
          </cell>
          <cell r="AR389">
            <v>206.39375399999997</v>
          </cell>
          <cell r="AW389">
            <v>205.90344899999999</v>
          </cell>
          <cell r="BB389">
            <v>205.09821700000001</v>
          </cell>
          <cell r="BG389">
            <v>200.71001200000001</v>
          </cell>
          <cell r="BL389">
            <v>199.92835400000001</v>
          </cell>
          <cell r="BQ389">
            <v>196.70699999999999</v>
          </cell>
          <cell r="BV389">
            <v>194.46246300000001</v>
          </cell>
          <cell r="CA389">
            <v>193.14392599999999</v>
          </cell>
          <cell r="CF389">
            <v>192.76497000000001</v>
          </cell>
          <cell r="CK389">
            <v>191.97906599999999</v>
          </cell>
          <cell r="CP389">
            <v>191.97597400000001</v>
          </cell>
          <cell r="CU389">
            <v>191.97321199999999</v>
          </cell>
          <cell r="CZ389">
            <v>191.703315</v>
          </cell>
          <cell r="DE389">
            <v>191.500879</v>
          </cell>
        </row>
        <row r="390">
          <cell r="B390" t="str">
            <v>Diluted average shares outstanding (mn)</v>
          </cell>
          <cell r="C390" t="str">
            <v>DILUTE_SHARES</v>
          </cell>
          <cell r="F390">
            <v>0</v>
          </cell>
          <cell r="G390">
            <v>187.81199999999998</v>
          </cell>
          <cell r="H390">
            <v>197.20199999999997</v>
          </cell>
          <cell r="I390">
            <v>197.20199999999997</v>
          </cell>
          <cell r="J390">
            <v>197.202</v>
          </cell>
          <cell r="K390">
            <v>197.20200000000003</v>
          </cell>
          <cell r="L390">
            <v>197.202</v>
          </cell>
          <cell r="M390">
            <v>195.54589899999999</v>
          </cell>
          <cell r="N390">
            <v>197.202</v>
          </cell>
          <cell r="O390">
            <v>197.202</v>
          </cell>
          <cell r="P390">
            <v>197.202</v>
          </cell>
          <cell r="S390">
            <v>197.20200000000003</v>
          </cell>
          <cell r="X390">
            <v>197.202</v>
          </cell>
          <cell r="AC390">
            <v>197.20200000000003</v>
          </cell>
          <cell r="AH390">
            <v>197.20230000000001</v>
          </cell>
          <cell r="AM390">
            <v>210.38320199999998</v>
          </cell>
          <cell r="AR390">
            <v>210.38320199999998</v>
          </cell>
          <cell r="AW390">
            <v>210.38320200000001</v>
          </cell>
          <cell r="BB390">
            <v>210.38320200000001</v>
          </cell>
          <cell r="BG390">
            <v>200.71001200000001</v>
          </cell>
          <cell r="BL390">
            <v>199.92835400000001</v>
          </cell>
          <cell r="BQ390">
            <v>196.70699999999999</v>
          </cell>
          <cell r="BV390">
            <v>194.46246300000001</v>
          </cell>
          <cell r="BW390">
            <v>193.14392599999999</v>
          </cell>
          <cell r="BX390">
            <v>193.14392599999999</v>
          </cell>
          <cell r="BY390">
            <v>193.14392599999999</v>
          </cell>
          <cell r="BZ390">
            <v>193.14392599999999</v>
          </cell>
          <cell r="CA390">
            <v>193.14392599999999</v>
          </cell>
          <cell r="CB390">
            <v>192.76497000000001</v>
          </cell>
          <cell r="CC390">
            <v>192.76497000000001</v>
          </cell>
          <cell r="CD390">
            <v>192.76497000000001</v>
          </cell>
          <cell r="CE390">
            <v>192.76497000000001</v>
          </cell>
          <cell r="CF390">
            <v>192.76497000000001</v>
          </cell>
          <cell r="CG390">
            <v>191.97906599999999</v>
          </cell>
          <cell r="CH390">
            <v>191.97906599999999</v>
          </cell>
          <cell r="CI390">
            <v>191.97906599999999</v>
          </cell>
          <cell r="CJ390">
            <v>191.97906599999999</v>
          </cell>
          <cell r="CK390">
            <v>191.97906599999999</v>
          </cell>
          <cell r="CL390">
            <v>191.97597400000001</v>
          </cell>
          <cell r="CM390">
            <v>191.97597400000001</v>
          </cell>
          <cell r="CN390">
            <v>191.97597400000001</v>
          </cell>
          <cell r="CO390">
            <v>191.97597400000001</v>
          </cell>
          <cell r="CP390">
            <v>191.97597400000001</v>
          </cell>
          <cell r="CQ390">
            <v>191.97321199999999</v>
          </cell>
          <cell r="CR390">
            <v>191.97321199999999</v>
          </cell>
          <cell r="CS390">
            <v>191.97321199999999</v>
          </cell>
          <cell r="CT390">
            <v>191.97321199999999</v>
          </cell>
          <cell r="CU390">
            <v>191.97321199999999</v>
          </cell>
          <cell r="CV390">
            <v>191.703315</v>
          </cell>
          <cell r="CW390">
            <v>191.703315</v>
          </cell>
          <cell r="CX390">
            <v>191.703315</v>
          </cell>
          <cell r="CY390">
            <v>191.703315</v>
          </cell>
          <cell r="CZ390">
            <v>191.703315</v>
          </cell>
          <cell r="DE390">
            <v>191.500879</v>
          </cell>
        </row>
        <row r="391">
          <cell r="B391" t="str">
            <v>Period-end shares outstanding</v>
          </cell>
          <cell r="C391" t="str">
            <v>NON_OP_ADD</v>
          </cell>
          <cell r="F391">
            <v>0</v>
          </cell>
          <cell r="G391">
            <v>187.80929699999999</v>
          </cell>
          <cell r="H391">
            <v>197.20003599999998</v>
          </cell>
          <cell r="I391">
            <v>197.19769699999998</v>
          </cell>
          <cell r="J391">
            <v>197.200771</v>
          </cell>
          <cell r="K391">
            <v>197.20058600000002</v>
          </cell>
          <cell r="L391">
            <v>197.20114100000001</v>
          </cell>
          <cell r="M391">
            <v>195.54504</v>
          </cell>
          <cell r="N391">
            <v>197.14873</v>
          </cell>
          <cell r="O391">
            <v>196.42658399999999</v>
          </cell>
          <cell r="P391">
            <v>195.976338</v>
          </cell>
          <cell r="S391">
            <v>194.56895300000002</v>
          </cell>
          <cell r="X391">
            <v>193.58954299999999</v>
          </cell>
          <cell r="AC391">
            <v>193.55304800000002</v>
          </cell>
          <cell r="AH391">
            <v>193.502152</v>
          </cell>
          <cell r="AM391">
            <v>206.64241499999997</v>
          </cell>
          <cell r="AR391">
            <v>206.39375399999997</v>
          </cell>
          <cell r="AW391">
            <v>205.12358900000001</v>
          </cell>
          <cell r="BB391">
            <v>205.05151500000002</v>
          </cell>
          <cell r="BG391">
            <v>199.73209900000001</v>
          </cell>
          <cell r="BL391">
            <v>200.03125500000002</v>
          </cell>
          <cell r="BQ391">
            <v>195.33720200000002</v>
          </cell>
          <cell r="BV391">
            <v>192.82251500000001</v>
          </cell>
          <cell r="CA391">
            <v>193.13343700000001</v>
          </cell>
          <cell r="CF391">
            <v>191.98011700000001</v>
          </cell>
          <cell r="CK391">
            <v>191.97769400000001</v>
          </cell>
          <cell r="CP391">
            <v>191.97447100000002</v>
          </cell>
          <cell r="CU391">
            <v>191.97166900000002</v>
          </cell>
          <cell r="CZ391">
            <v>191.537496</v>
          </cell>
          <cell r="DE391">
            <v>191.47736</v>
          </cell>
        </row>
        <row r="392">
          <cell r="A392" t="str">
            <v>Additional Income Statement Items</v>
          </cell>
        </row>
        <row r="393">
          <cell r="B393" t="str">
            <v>Marginal tax rate</v>
          </cell>
          <cell r="C393" t="str">
            <v>MARGIN_TAX_RATE</v>
          </cell>
          <cell r="F393" t="e">
            <v>#DIV/0!</v>
          </cell>
          <cell r="G393">
            <v>0.38536251709986319</v>
          </cell>
          <cell r="H393">
            <v>0.16615454648913167</v>
          </cell>
          <cell r="I393">
            <v>0.38912133891213391</v>
          </cell>
          <cell r="J393">
            <v>0.38196255036738563</v>
          </cell>
          <cell r="K393">
            <v>0.50142045454545459</v>
          </cell>
          <cell r="L393">
            <v>0.49318485523385303</v>
          </cell>
          <cell r="M393">
            <v>0.31776526443634756</v>
          </cell>
          <cell r="N393">
            <v>0.35338680926916222</v>
          </cell>
          <cell r="O393">
            <v>0.59926791005752134</v>
          </cell>
          <cell r="P393">
            <v>0.49709356834802176</v>
          </cell>
          <cell r="S393">
            <v>0.48696131243878549</v>
          </cell>
          <cell r="X393">
            <v>0.35911761317820529</v>
          </cell>
          <cell r="AC393">
            <v>0.40266920877025741</v>
          </cell>
          <cell r="AH393">
            <v>0.44795857228451597</v>
          </cell>
          <cell r="AM393">
            <v>0.79273682953052205</v>
          </cell>
          <cell r="AR393">
            <v>0.41422791638570466</v>
          </cell>
          <cell r="AW393">
            <v>0.41600356956942069</v>
          </cell>
          <cell r="BB393">
            <v>0.41455511632428227</v>
          </cell>
          <cell r="BG393">
            <v>0.37281915193947263</v>
          </cell>
          <cell r="BL393">
            <v>0.435984916502065</v>
          </cell>
          <cell r="BQ393">
            <v>0.34967676937284864</v>
          </cell>
          <cell r="BV393">
            <v>0.33342147886160051</v>
          </cell>
          <cell r="CA393">
            <v>0.11876361756342553</v>
          </cell>
          <cell r="CF393">
            <v>0.32892580349454154</v>
          </cell>
          <cell r="CK393">
            <v>0.29767256284080329</v>
          </cell>
          <cell r="CP393">
            <v>0.28803058265225417</v>
          </cell>
          <cell r="CU393">
            <v>0.27715392778696413</v>
          </cell>
          <cell r="CZ393">
            <v>0.27447400933045674</v>
          </cell>
          <cell r="DE393">
            <v>0.27299044360741481</v>
          </cell>
        </row>
        <row r="394">
          <cell r="B394" t="str">
            <v>EPS (basic)</v>
          </cell>
          <cell r="C394" t="str">
            <v>EPS_BASIC_JPN</v>
          </cell>
          <cell r="D394" t="str">
            <v>JPY</v>
          </cell>
          <cell r="F394" t="e">
            <v>#DIV/0!</v>
          </cell>
          <cell r="G394">
            <v>23.678274031343616</v>
          </cell>
          <cell r="H394">
            <v>36.947254918351035</v>
          </cell>
          <cell r="I394">
            <v>28.955713412819424</v>
          </cell>
          <cell r="J394">
            <v>26.46034279450155</v>
          </cell>
          <cell r="K394">
            <v>26.805194179291128</v>
          </cell>
          <cell r="L394">
            <v>31.186432131242078</v>
          </cell>
          <cell r="M394">
            <v>29.374464688863434</v>
          </cell>
          <cell r="N394">
            <v>27.20281282055431</v>
          </cell>
          <cell r="O394">
            <v>42.310973549282927</v>
          </cell>
          <cell r="P394">
            <v>47.38837399849772</v>
          </cell>
          <cell r="S394">
            <v>48.759063836870205</v>
          </cell>
          <cell r="X394">
            <v>52.301378695852392</v>
          </cell>
          <cell r="AC394">
            <v>55.48349721674235</v>
          </cell>
          <cell r="AH394">
            <v>59.156964827967393</v>
          </cell>
          <cell r="AM394">
            <v>13.288656155126722</v>
          </cell>
          <cell r="AR394">
            <v>41.677617821709859</v>
          </cell>
          <cell r="AW394">
            <v>37.736133307800976</v>
          </cell>
          <cell r="BB394">
            <v>43.798527999880172</v>
          </cell>
          <cell r="BG394">
            <v>54.835331283822548</v>
          </cell>
          <cell r="BL394">
            <v>62.817503114140571</v>
          </cell>
          <cell r="BQ394">
            <v>78.197522203073603</v>
          </cell>
          <cell r="BV394">
            <v>102.66248659002123</v>
          </cell>
          <cell r="CA394">
            <v>123.27594500693748</v>
          </cell>
          <cell r="CF394">
            <v>123.70504869219755</v>
          </cell>
          <cell r="CK394">
            <v>135.38976171495699</v>
          </cell>
          <cell r="CP394">
            <v>138.53296037971919</v>
          </cell>
          <cell r="CU394">
            <v>150.16678472827761</v>
          </cell>
          <cell r="CZ394">
            <v>202.93337128781522</v>
          </cell>
          <cell r="DE394">
            <v>228.36970894530464</v>
          </cell>
        </row>
        <row r="395">
          <cell r="B395" t="str">
            <v>EPS (diluted)</v>
          </cell>
          <cell r="C395" t="str">
            <v>EPS_FUL_DIL_JPN</v>
          </cell>
          <cell r="D395" t="str">
            <v>JPY</v>
          </cell>
          <cell r="F395" t="e">
            <v>#DIV/0!</v>
          </cell>
          <cell r="G395">
            <v>23.677933252401338</v>
          </cell>
          <cell r="H395">
            <v>36.946886948408235</v>
          </cell>
          <cell r="I395">
            <v>28.955081591464594</v>
          </cell>
          <cell r="J395">
            <v>26.460177888662386</v>
          </cell>
          <cell r="K395">
            <v>26.805001977667565</v>
          </cell>
          <cell r="L395">
            <v>31.186296285027534</v>
          </cell>
          <cell r="M395">
            <v>29.374177772963677</v>
          </cell>
          <cell r="N395">
            <v>27.195464549041084</v>
          </cell>
          <cell r="O395">
            <v>42.14460299591282</v>
          </cell>
          <cell r="P395">
            <v>47.093842861634265</v>
          </cell>
          <cell r="S395">
            <v>48.108031358708324</v>
          </cell>
          <cell r="X395">
            <v>51.343292664374601</v>
          </cell>
          <cell r="AC395">
            <v>54.456851350391979</v>
          </cell>
          <cell r="AH395">
            <v>58.046990324149363</v>
          </cell>
          <cell r="AM395">
            <v>13.052372879085661</v>
          </cell>
          <cell r="AR395">
            <v>40.88729479457205</v>
          </cell>
          <cell r="AW395">
            <v>36.932606434994746</v>
          </cell>
          <cell r="BB395">
            <v>42.698275882311172</v>
          </cell>
          <cell r="BG395">
            <v>54.835331283822548</v>
          </cell>
          <cell r="BL395">
            <v>62.817503114140571</v>
          </cell>
          <cell r="BQ395">
            <v>78.197522203073603</v>
          </cell>
          <cell r="BV395">
            <v>102.66248659002123</v>
          </cell>
          <cell r="CA395">
            <v>123.27594500693748</v>
          </cell>
          <cell r="CF395">
            <v>123.70504869219755</v>
          </cell>
          <cell r="CK395">
            <v>135.38976171495699</v>
          </cell>
          <cell r="CP395">
            <v>138.53296037971919</v>
          </cell>
          <cell r="CU395">
            <v>150.16678472827761</v>
          </cell>
          <cell r="CZ395">
            <v>202.93337128781522</v>
          </cell>
          <cell r="DE395">
            <v>228.36970894530464</v>
          </cell>
        </row>
        <row r="396">
          <cell r="A396" t="str">
            <v>Balance Sheet</v>
          </cell>
        </row>
        <row r="397">
          <cell r="B397" t="str">
            <v>BVPS, book value per share</v>
          </cell>
          <cell r="C397" t="str">
            <v>BVPS</v>
          </cell>
          <cell r="D397" t="str">
            <v>JPY</v>
          </cell>
          <cell r="F397" t="e">
            <v>#DIV/0!</v>
          </cell>
          <cell r="G397">
            <v>493.96915638313692</v>
          </cell>
          <cell r="H397">
            <v>510.94311159253544</v>
          </cell>
          <cell r="I397">
            <v>532.48593466078876</v>
          </cell>
          <cell r="J397">
            <v>551.67127110268757</v>
          </cell>
          <cell r="K397">
            <v>571.18998622042625</v>
          </cell>
          <cell r="L397">
            <v>605.99547950891417</v>
          </cell>
          <cell r="M397">
            <v>616.71213956641395</v>
          </cell>
          <cell r="N397">
            <v>671.13290559873246</v>
          </cell>
          <cell r="O397">
            <v>671.01915288614907</v>
          </cell>
          <cell r="P397">
            <v>723.80676895799536</v>
          </cell>
          <cell r="S397">
            <v>757.41785998098055</v>
          </cell>
          <cell r="X397">
            <v>871.30739287917015</v>
          </cell>
          <cell r="AC397">
            <v>906.8469952485583</v>
          </cell>
          <cell r="AH397">
            <v>864.36248006172048</v>
          </cell>
          <cell r="AM397">
            <v>775.12160318103145</v>
          </cell>
          <cell r="AR397">
            <v>801.68608203133908</v>
          </cell>
          <cell r="AW397">
            <v>784.45390305646413</v>
          </cell>
          <cell r="BB397">
            <v>809.26980715065667</v>
          </cell>
          <cell r="BG397">
            <v>934.66198440141557</v>
          </cell>
          <cell r="BL397">
            <v>1045.8565587662788</v>
          </cell>
          <cell r="BQ397">
            <v>1210.7729484115371</v>
          </cell>
          <cell r="BV397">
            <v>1160.0564384299209</v>
          </cell>
          <cell r="CA397">
            <v>1242.7159363399098</v>
          </cell>
          <cell r="CF397">
            <v>1292.1806897325725</v>
          </cell>
          <cell r="CK397">
            <v>1382.6033351562187</v>
          </cell>
          <cell r="CP397">
            <v>1419.1209830186222</v>
          </cell>
          <cell r="CU397">
            <v>1593.896649406116</v>
          </cell>
          <cell r="CZ397">
            <v>1868.1303007114595</v>
          </cell>
          <cell r="DE397">
            <v>2143.929705318686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1">
          <cell r="A1" t="str">
            <v>Issuer: Kikkoman</v>
          </cell>
          <cell r="C1">
            <v>2675103100</v>
          </cell>
          <cell r="F1">
            <v>1994</v>
          </cell>
          <cell r="G1">
            <v>1995</v>
          </cell>
          <cell r="H1">
            <v>1996</v>
          </cell>
          <cell r="I1">
            <v>1997</v>
          </cell>
          <cell r="J1">
            <v>1998</v>
          </cell>
          <cell r="K1">
            <v>1999</v>
          </cell>
          <cell r="L1">
            <v>2000</v>
          </cell>
          <cell r="M1">
            <v>2001</v>
          </cell>
          <cell r="N1">
            <v>2002</v>
          </cell>
          <cell r="O1">
            <v>2003</v>
          </cell>
          <cell r="P1">
            <v>2004</v>
          </cell>
          <cell r="Q1" t="str">
            <v>2005 Q3</v>
          </cell>
          <cell r="R1" t="str">
            <v>2005 Q4</v>
          </cell>
          <cell r="S1">
            <v>2005</v>
          </cell>
          <cell r="T1" t="str">
            <v>2006 Q1</v>
          </cell>
          <cell r="U1" t="str">
            <v>2006 Q2</v>
          </cell>
          <cell r="V1" t="str">
            <v>2006 Q3</v>
          </cell>
          <cell r="W1" t="str">
            <v>2006 Q4</v>
          </cell>
          <cell r="X1">
            <v>2006</v>
          </cell>
          <cell r="Y1" t="str">
            <v>2007 Q1</v>
          </cell>
          <cell r="Z1" t="str">
            <v>2007 Q2</v>
          </cell>
          <cell r="AA1" t="str">
            <v>2007 Q3</v>
          </cell>
          <cell r="AB1" t="str">
            <v>2007 Q4</v>
          </cell>
          <cell r="AC1">
            <v>2007</v>
          </cell>
          <cell r="AD1" t="str">
            <v>2008 Q1</v>
          </cell>
          <cell r="AE1" t="str">
            <v>2008 Q2</v>
          </cell>
          <cell r="AF1" t="str">
            <v>2008 Q3</v>
          </cell>
          <cell r="AG1" t="str">
            <v>2008 Q4</v>
          </cell>
          <cell r="AH1">
            <v>2008</v>
          </cell>
          <cell r="AI1" t="str">
            <v>2009 Q1</v>
          </cell>
          <cell r="AJ1" t="str">
            <v>2009 Q2</v>
          </cell>
          <cell r="AK1" t="str">
            <v>2009 Q3</v>
          </cell>
          <cell r="AL1" t="str">
            <v>2009 Q4</v>
          </cell>
          <cell r="AM1">
            <v>2009</v>
          </cell>
          <cell r="AN1" t="str">
            <v>2010 Q1</v>
          </cell>
          <cell r="AO1" t="str">
            <v>2010 Q2</v>
          </cell>
          <cell r="AP1" t="str">
            <v>2010 Q3</v>
          </cell>
          <cell r="AQ1" t="str">
            <v>2010 Q4</v>
          </cell>
          <cell r="AR1">
            <v>2010</v>
          </cell>
          <cell r="AS1" t="str">
            <v>2011 Q1</v>
          </cell>
          <cell r="AT1" t="str">
            <v>2011 Q2</v>
          </cell>
          <cell r="AU1" t="str">
            <v>2011 Q3</v>
          </cell>
          <cell r="AV1" t="str">
            <v>2011 Q4</v>
          </cell>
          <cell r="AW1">
            <v>2011</v>
          </cell>
          <cell r="AX1" t="str">
            <v>2012 Q1</v>
          </cell>
          <cell r="AY1" t="str">
            <v>2012 Q2</v>
          </cell>
          <cell r="AZ1" t="str">
            <v>2012 Q3</v>
          </cell>
          <cell r="BA1" t="str">
            <v>2012 Q4</v>
          </cell>
          <cell r="BB1">
            <v>2012</v>
          </cell>
          <cell r="BC1" t="str">
            <v>2013 Q1</v>
          </cell>
          <cell r="BD1" t="str">
            <v>2013 Q2</v>
          </cell>
          <cell r="BE1" t="str">
            <v>2013 Q3</v>
          </cell>
          <cell r="BF1" t="str">
            <v>2013 Q4</v>
          </cell>
          <cell r="BG1">
            <v>2013</v>
          </cell>
          <cell r="BH1" t="str">
            <v>2014 Q1</v>
          </cell>
          <cell r="BI1" t="str">
            <v>2014 Q2</v>
          </cell>
          <cell r="BJ1" t="str">
            <v>2014 Q3</v>
          </cell>
          <cell r="BK1" t="str">
            <v>2014 Q4</v>
          </cell>
          <cell r="BL1">
            <v>2014</v>
          </cell>
          <cell r="BM1" t="str">
            <v>2015 Q1</v>
          </cell>
          <cell r="BN1" t="str">
            <v>2015 Q2</v>
          </cell>
          <cell r="BO1" t="str">
            <v>2015 Q3</v>
          </cell>
          <cell r="BP1" t="str">
            <v>2015 Q4</v>
          </cell>
          <cell r="BQ1">
            <v>2015</v>
          </cell>
          <cell r="BR1" t="str">
            <v>2016 Q1</v>
          </cell>
          <cell r="BS1" t="str">
            <v>2016 Q2</v>
          </cell>
          <cell r="BT1" t="str">
            <v>2016 Q3</v>
          </cell>
          <cell r="BU1" t="str">
            <v>2016 Q4</v>
          </cell>
          <cell r="BV1">
            <v>2016</v>
          </cell>
          <cell r="BW1" t="str">
            <v>2017 Q1</v>
          </cell>
          <cell r="BX1" t="str">
            <v>2017 Q2</v>
          </cell>
          <cell r="BY1" t="str">
            <v>2017 Q3</v>
          </cell>
          <cell r="BZ1" t="str">
            <v>2017 Q4</v>
          </cell>
          <cell r="CA1">
            <v>2017</v>
          </cell>
          <cell r="CB1" t="str">
            <v>2018 Q1</v>
          </cell>
          <cell r="CC1" t="str">
            <v>2018 Q2</v>
          </cell>
          <cell r="CD1" t="str">
            <v>2018 Q3</v>
          </cell>
          <cell r="CE1" t="str">
            <v>2018 Q4</v>
          </cell>
          <cell r="CF1">
            <v>2018</v>
          </cell>
          <cell r="CG1" t="str">
            <v>2019 Q1</v>
          </cell>
          <cell r="CH1" t="str">
            <v>2019 Q2</v>
          </cell>
          <cell r="CI1" t="str">
            <v>2019 Q3</v>
          </cell>
          <cell r="CJ1" t="str">
            <v>2019 Q4</v>
          </cell>
          <cell r="CK1">
            <v>2019</v>
          </cell>
          <cell r="CL1" t="str">
            <v>2020 Q1</v>
          </cell>
          <cell r="CM1" t="str">
            <v>2020 Q2</v>
          </cell>
          <cell r="CN1" t="str">
            <v>2020 Q3</v>
          </cell>
          <cell r="CO1" t="str">
            <v>2020 Q4</v>
          </cell>
          <cell r="CP1">
            <v>2020</v>
          </cell>
          <cell r="CQ1" t="str">
            <v>2021 Q1</v>
          </cell>
          <cell r="CR1" t="str">
            <v>2021 Q2</v>
          </cell>
          <cell r="CS1" t="str">
            <v>2021 Q3</v>
          </cell>
          <cell r="CT1" t="str">
            <v>2021 Q4</v>
          </cell>
          <cell r="CU1">
            <v>2021</v>
          </cell>
          <cell r="CV1" t="str">
            <v>2022 Q1</v>
          </cell>
          <cell r="CW1" t="str">
            <v>2022 Q2</v>
          </cell>
          <cell r="CX1" t="str">
            <v>2022 Q3</v>
          </cell>
          <cell r="CY1" t="str">
            <v>2022 Q4</v>
          </cell>
          <cell r="CZ1">
            <v>2022</v>
          </cell>
          <cell r="DA1" t="str">
            <v>2023 Q1</v>
          </cell>
          <cell r="DB1" t="str">
            <v>2023 Q2</v>
          </cell>
          <cell r="DC1" t="str">
            <v>2023 Q3</v>
          </cell>
          <cell r="DD1" t="str">
            <v>2023 Q4</v>
          </cell>
          <cell r="DE1">
            <v>2023</v>
          </cell>
          <cell r="DF1" t="str">
            <v>2024 Q1</v>
          </cell>
          <cell r="DG1" t="str">
            <v>2024 Q2</v>
          </cell>
          <cell r="DH1" t="str">
            <v>2024 Q3</v>
          </cell>
          <cell r="DI1" t="str">
            <v>2024 Q4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Actual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Actual</v>
          </cell>
          <cell r="T2" t="str">
            <v>Actual</v>
          </cell>
          <cell r="U2" t="str">
            <v>Actual</v>
          </cell>
          <cell r="V2" t="str">
            <v>Actual</v>
          </cell>
          <cell r="W2" t="str">
            <v>Actual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  <cell r="AC2" t="str">
            <v>Actual</v>
          </cell>
          <cell r="AD2" t="str">
            <v>Actual</v>
          </cell>
          <cell r="AE2" t="str">
            <v>Actual</v>
          </cell>
          <cell r="AF2" t="str">
            <v>Actual</v>
          </cell>
          <cell r="AG2" t="str">
            <v>Actual</v>
          </cell>
          <cell r="AH2" t="str">
            <v>Actual</v>
          </cell>
          <cell r="AI2" t="str">
            <v>Actual</v>
          </cell>
          <cell r="AJ2" t="str">
            <v>Actual</v>
          </cell>
          <cell r="AK2" t="str">
            <v>Actual</v>
          </cell>
          <cell r="AL2" t="str">
            <v>Actual</v>
          </cell>
          <cell r="AM2" t="str">
            <v>Actual</v>
          </cell>
          <cell r="AN2" t="str">
            <v>Actual</v>
          </cell>
          <cell r="AO2" t="str">
            <v>Actual</v>
          </cell>
          <cell r="AP2" t="str">
            <v>Actual</v>
          </cell>
          <cell r="AQ2" t="str">
            <v>Actual</v>
          </cell>
          <cell r="AR2" t="str">
            <v>Actual</v>
          </cell>
          <cell r="AS2" t="str">
            <v>Actual</v>
          </cell>
          <cell r="AT2" t="str">
            <v>Actual</v>
          </cell>
          <cell r="AU2" t="str">
            <v>Actual</v>
          </cell>
          <cell r="AV2" t="str">
            <v>Actual</v>
          </cell>
          <cell r="AW2" t="str">
            <v>Actual</v>
          </cell>
          <cell r="AX2" t="str">
            <v>Actual</v>
          </cell>
          <cell r="AY2" t="str">
            <v>Actual</v>
          </cell>
          <cell r="AZ2" t="str">
            <v>Actual</v>
          </cell>
          <cell r="BA2" t="str">
            <v>Actual</v>
          </cell>
          <cell r="BB2" t="str">
            <v>Actual</v>
          </cell>
          <cell r="BC2" t="str">
            <v>Actual</v>
          </cell>
          <cell r="BD2" t="str">
            <v>Actual</v>
          </cell>
          <cell r="BE2" t="str">
            <v>Actual</v>
          </cell>
          <cell r="BF2" t="str">
            <v>Actual</v>
          </cell>
          <cell r="BG2" t="str">
            <v>Actual</v>
          </cell>
          <cell r="BH2" t="str">
            <v>Actual</v>
          </cell>
          <cell r="BI2" t="str">
            <v>Actual</v>
          </cell>
          <cell r="BJ2" t="str">
            <v>Actual</v>
          </cell>
          <cell r="BK2" t="str">
            <v>Actual</v>
          </cell>
          <cell r="BL2" t="str">
            <v>Actual</v>
          </cell>
          <cell r="BM2" t="str">
            <v>Actual</v>
          </cell>
          <cell r="BN2" t="str">
            <v>Actual</v>
          </cell>
          <cell r="BO2" t="str">
            <v>Actual</v>
          </cell>
          <cell r="BP2" t="str">
            <v>Actual</v>
          </cell>
          <cell r="BQ2" t="str">
            <v>Actual</v>
          </cell>
          <cell r="BR2" t="str">
            <v>Actual</v>
          </cell>
          <cell r="BS2" t="str">
            <v>Actual</v>
          </cell>
          <cell r="BT2" t="str">
            <v>Actual</v>
          </cell>
          <cell r="BU2" t="str">
            <v>Actual</v>
          </cell>
          <cell r="BV2" t="str">
            <v>Actual</v>
          </cell>
          <cell r="BW2" t="str">
            <v>Actual</v>
          </cell>
          <cell r="BX2" t="str">
            <v>Actual</v>
          </cell>
          <cell r="BY2" t="str">
            <v>Actual</v>
          </cell>
          <cell r="BZ2" t="str">
            <v>Actual</v>
          </cell>
          <cell r="CA2" t="str">
            <v>Actual</v>
          </cell>
          <cell r="CB2" t="str">
            <v>Actual</v>
          </cell>
          <cell r="CC2" t="str">
            <v>Actual</v>
          </cell>
          <cell r="CD2" t="str">
            <v>Actual</v>
          </cell>
          <cell r="CE2" t="str">
            <v>Actual</v>
          </cell>
          <cell r="CF2" t="str">
            <v>Actual</v>
          </cell>
          <cell r="CG2" t="str">
            <v>Actual</v>
          </cell>
          <cell r="CH2" t="str">
            <v>Actual</v>
          </cell>
          <cell r="CI2" t="str">
            <v>Actual</v>
          </cell>
          <cell r="CJ2" t="str">
            <v>Actual</v>
          </cell>
          <cell r="CK2" t="str">
            <v>Actual</v>
          </cell>
          <cell r="CL2" t="str">
            <v>Actual</v>
          </cell>
          <cell r="CM2" t="str">
            <v>Actual</v>
          </cell>
          <cell r="CN2" t="str">
            <v>Actual</v>
          </cell>
          <cell r="CO2" t="str">
            <v>Actual</v>
          </cell>
          <cell r="CP2" t="str">
            <v>Actual</v>
          </cell>
          <cell r="CQ2" t="str">
            <v>Actual</v>
          </cell>
          <cell r="CR2" t="str">
            <v>Actual</v>
          </cell>
          <cell r="CS2" t="str">
            <v>Actual</v>
          </cell>
          <cell r="CT2" t="str">
            <v>Actual</v>
          </cell>
          <cell r="CU2" t="str">
            <v>Actual</v>
          </cell>
          <cell r="CV2" t="str">
            <v>Actual</v>
          </cell>
          <cell r="CW2" t="str">
            <v>Actual</v>
          </cell>
          <cell r="CX2" t="str">
            <v>Actual</v>
          </cell>
          <cell r="CY2" t="str">
            <v>Actual</v>
          </cell>
          <cell r="CZ2" t="str">
            <v>Actual</v>
          </cell>
          <cell r="DA2" t="str">
            <v>Actual</v>
          </cell>
          <cell r="DB2" t="str">
            <v>Actual</v>
          </cell>
          <cell r="DC2" t="str">
            <v>Actual</v>
          </cell>
          <cell r="DD2" t="str">
            <v>Actual</v>
          </cell>
          <cell r="DE2" t="str">
            <v>Actual</v>
          </cell>
          <cell r="DF2" t="str">
            <v>Actual</v>
          </cell>
          <cell r="DG2" t="str">
            <v>Actual</v>
          </cell>
          <cell r="DH2" t="str">
            <v>Estimate</v>
          </cell>
          <cell r="DI2" t="str">
            <v>Estimate</v>
          </cell>
        </row>
        <row r="3">
          <cell r="F3">
            <v>34699</v>
          </cell>
          <cell r="G3">
            <v>35064</v>
          </cell>
          <cell r="H3">
            <v>35430</v>
          </cell>
          <cell r="I3">
            <v>35795</v>
          </cell>
          <cell r="J3">
            <v>36160</v>
          </cell>
          <cell r="K3">
            <v>36525</v>
          </cell>
          <cell r="L3">
            <v>36891</v>
          </cell>
          <cell r="M3">
            <v>36981</v>
          </cell>
          <cell r="N3">
            <v>37346</v>
          </cell>
          <cell r="O3">
            <v>37711</v>
          </cell>
          <cell r="P3">
            <v>38077</v>
          </cell>
          <cell r="Q3">
            <v>38352</v>
          </cell>
          <cell r="R3">
            <v>38442</v>
          </cell>
          <cell r="S3">
            <v>38442</v>
          </cell>
          <cell r="T3">
            <v>38533</v>
          </cell>
          <cell r="U3">
            <v>38625</v>
          </cell>
          <cell r="V3">
            <v>38717</v>
          </cell>
          <cell r="W3">
            <v>38807</v>
          </cell>
          <cell r="X3">
            <v>38807</v>
          </cell>
          <cell r="Y3">
            <v>38898</v>
          </cell>
          <cell r="Z3">
            <v>38990</v>
          </cell>
          <cell r="AA3">
            <v>39082</v>
          </cell>
          <cell r="AB3">
            <v>39172</v>
          </cell>
          <cell r="AC3">
            <v>39172</v>
          </cell>
          <cell r="AD3">
            <v>39263</v>
          </cell>
          <cell r="AE3">
            <v>39355</v>
          </cell>
          <cell r="AF3">
            <v>39447</v>
          </cell>
          <cell r="AG3">
            <v>39538</v>
          </cell>
          <cell r="AH3">
            <v>39538</v>
          </cell>
          <cell r="AI3">
            <v>39629</v>
          </cell>
          <cell r="AJ3">
            <v>39721</v>
          </cell>
          <cell r="AK3">
            <v>39813</v>
          </cell>
          <cell r="AL3">
            <v>39903</v>
          </cell>
          <cell r="AM3">
            <v>39903</v>
          </cell>
          <cell r="AN3">
            <v>39994</v>
          </cell>
          <cell r="AO3">
            <v>40086</v>
          </cell>
          <cell r="AP3">
            <v>40178</v>
          </cell>
          <cell r="AQ3">
            <v>40268</v>
          </cell>
          <cell r="AR3">
            <v>40268</v>
          </cell>
          <cell r="AS3">
            <v>40359</v>
          </cell>
          <cell r="AT3">
            <v>40451</v>
          </cell>
          <cell r="AU3">
            <v>40543</v>
          </cell>
          <cell r="AV3">
            <v>40633</v>
          </cell>
          <cell r="AW3">
            <v>40633</v>
          </cell>
          <cell r="AX3">
            <v>40724</v>
          </cell>
          <cell r="AY3">
            <v>40816</v>
          </cell>
          <cell r="AZ3">
            <v>40908</v>
          </cell>
          <cell r="BA3">
            <v>40999</v>
          </cell>
          <cell r="BB3">
            <v>40999</v>
          </cell>
          <cell r="BC3">
            <v>41090</v>
          </cell>
          <cell r="BD3">
            <v>41182</v>
          </cell>
          <cell r="BE3">
            <v>41274</v>
          </cell>
          <cell r="BF3">
            <v>41364</v>
          </cell>
          <cell r="BG3">
            <v>41364</v>
          </cell>
          <cell r="BH3">
            <v>41455</v>
          </cell>
          <cell r="BI3">
            <v>41547</v>
          </cell>
          <cell r="BJ3">
            <v>41639</v>
          </cell>
          <cell r="BK3">
            <v>41729</v>
          </cell>
          <cell r="BL3">
            <v>41729</v>
          </cell>
          <cell r="BM3">
            <v>41820</v>
          </cell>
          <cell r="BN3">
            <v>41912</v>
          </cell>
          <cell r="BO3">
            <v>42004</v>
          </cell>
          <cell r="BP3">
            <v>42094</v>
          </cell>
          <cell r="BQ3">
            <v>42094</v>
          </cell>
          <cell r="BR3">
            <v>42185</v>
          </cell>
          <cell r="BS3">
            <v>42277</v>
          </cell>
          <cell r="BT3">
            <v>42369</v>
          </cell>
          <cell r="BU3">
            <v>42460</v>
          </cell>
          <cell r="BV3">
            <v>42460</v>
          </cell>
          <cell r="BW3">
            <v>42551</v>
          </cell>
          <cell r="BX3">
            <v>42643</v>
          </cell>
          <cell r="BY3">
            <v>42735</v>
          </cell>
          <cell r="BZ3">
            <v>42825</v>
          </cell>
          <cell r="CA3">
            <v>42825</v>
          </cell>
          <cell r="CB3">
            <v>42916</v>
          </cell>
          <cell r="CC3">
            <v>43008</v>
          </cell>
          <cell r="CD3">
            <v>43100</v>
          </cell>
          <cell r="CE3">
            <v>43190</v>
          </cell>
          <cell r="CF3">
            <v>43190</v>
          </cell>
          <cell r="CG3">
            <v>43281</v>
          </cell>
          <cell r="CH3">
            <v>43373</v>
          </cell>
          <cell r="CI3">
            <v>43465</v>
          </cell>
          <cell r="CJ3">
            <v>43555</v>
          </cell>
          <cell r="CK3">
            <v>43555</v>
          </cell>
          <cell r="CL3">
            <v>43646</v>
          </cell>
          <cell r="CM3">
            <v>43738</v>
          </cell>
          <cell r="CN3">
            <v>43830</v>
          </cell>
          <cell r="CO3">
            <v>43921</v>
          </cell>
          <cell r="CP3">
            <v>43921</v>
          </cell>
          <cell r="CQ3">
            <v>44012</v>
          </cell>
          <cell r="CR3">
            <v>44104</v>
          </cell>
          <cell r="CS3">
            <v>44196</v>
          </cell>
          <cell r="CT3">
            <v>44286</v>
          </cell>
          <cell r="CU3">
            <v>44286</v>
          </cell>
          <cell r="CV3">
            <v>44377</v>
          </cell>
          <cell r="CW3">
            <v>44469</v>
          </cell>
          <cell r="CX3">
            <v>44561</v>
          </cell>
          <cell r="CY3">
            <v>44651</v>
          </cell>
          <cell r="CZ3">
            <v>44651</v>
          </cell>
          <cell r="DA3">
            <v>44742</v>
          </cell>
          <cell r="DB3">
            <v>44834</v>
          </cell>
          <cell r="DC3">
            <v>44926</v>
          </cell>
          <cell r="DD3">
            <v>45016</v>
          </cell>
          <cell r="DE3">
            <v>45016</v>
          </cell>
          <cell r="DF3">
            <v>45107</v>
          </cell>
          <cell r="DG3">
            <v>45199</v>
          </cell>
          <cell r="DH3">
            <v>45291</v>
          </cell>
          <cell r="DI3">
            <v>45382</v>
          </cell>
        </row>
        <row r="4">
          <cell r="A4" t="str">
            <v>Issuer: Kikkoman</v>
          </cell>
          <cell r="B4" t="str">
            <v>132XEV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Kikkoman</v>
          </cell>
        </row>
        <row r="7">
          <cell r="B7" t="str">
            <v>Reporting Currency</v>
          </cell>
          <cell r="C7" t="str">
            <v>CURRENCY_ISO</v>
          </cell>
          <cell r="E7" t="str">
            <v>JPY</v>
          </cell>
        </row>
        <row r="8">
          <cell r="A8" t="str">
            <v>General Information</v>
          </cell>
        </row>
        <row r="9">
          <cell r="B9" t="str">
            <v>Analyst Yen/USD assumption</v>
          </cell>
          <cell r="C9" t="str">
            <v>ASS_YEN_PER_USD_FX</v>
          </cell>
          <cell r="E9">
            <v>145</v>
          </cell>
        </row>
        <row r="10">
          <cell r="B10" t="str">
            <v>Analyst Yen/Euro assumption</v>
          </cell>
          <cell r="C10" t="str">
            <v>ASS_YEN_PER_EUR_FX</v>
          </cell>
          <cell r="E10">
            <v>155</v>
          </cell>
        </row>
        <row r="11">
          <cell r="B11" t="str">
            <v>M&amp;A probability (1 = high, 3 = low)</v>
          </cell>
          <cell r="C11" t="str">
            <v>MA_PROB</v>
          </cell>
          <cell r="E11">
            <v>3</v>
          </cell>
        </row>
        <row r="12">
          <cell r="B12" t="str">
            <v>Analyst USD rate assumption vs reporting currency</v>
          </cell>
          <cell r="C12" t="str">
            <v>FX_USD_ASSUMPTION</v>
          </cell>
        </row>
        <row r="13">
          <cell r="B13" t="str">
            <v>Analyst EUR rate assumption vs reporting currency</v>
          </cell>
          <cell r="C13" t="str">
            <v>FX_EUR_ASSUMPTION</v>
          </cell>
        </row>
        <row r="14">
          <cell r="A14" t="str">
            <v>Publishing Items</v>
          </cell>
        </row>
        <row r="15">
          <cell r="B15" t="str">
            <v>COE Yen/USD</v>
          </cell>
          <cell r="C15" t="str">
            <v>COE_YEN_PER_US_AVG_FX_PUB</v>
          </cell>
          <cell r="BL15">
            <v>90</v>
          </cell>
        </row>
        <row r="16">
          <cell r="B16" t="str">
            <v>COE Yen/EUR</v>
          </cell>
          <cell r="C16" t="str">
            <v>COE_YEN_PER_EUR_AVG_FX_PUB</v>
          </cell>
          <cell r="BL16">
            <v>120</v>
          </cell>
        </row>
        <row r="17">
          <cell r="A17" t="str">
            <v>Income Statement</v>
          </cell>
        </row>
        <row r="18">
          <cell r="B18" t="str">
            <v>Sales, net revenue</v>
          </cell>
          <cell r="C18" t="str">
            <v>SALES</v>
          </cell>
          <cell r="D18" t="str">
            <v>JPY</v>
          </cell>
          <cell r="F18">
            <v>0</v>
          </cell>
          <cell r="G18">
            <v>203286</v>
          </cell>
          <cell r="H18">
            <v>206001</v>
          </cell>
          <cell r="I18">
            <v>214338</v>
          </cell>
          <cell r="J18">
            <v>229475</v>
          </cell>
          <cell r="K18">
            <v>221724</v>
          </cell>
          <cell r="L18">
            <v>326708</v>
          </cell>
          <cell r="M18">
            <v>356706</v>
          </cell>
          <cell r="N18">
            <v>336887</v>
          </cell>
          <cell r="O18">
            <v>342508</v>
          </cell>
          <cell r="P18">
            <v>334656</v>
          </cell>
          <cell r="S18">
            <v>344625</v>
          </cell>
          <cell r="X18">
            <v>359906</v>
          </cell>
          <cell r="AC18">
            <v>392611</v>
          </cell>
          <cell r="AH18">
            <v>413938</v>
          </cell>
          <cell r="AM18">
            <v>412649</v>
          </cell>
          <cell r="AR18">
            <v>285690</v>
          </cell>
          <cell r="AW18">
            <v>283463</v>
          </cell>
          <cell r="BB18">
            <v>283239</v>
          </cell>
          <cell r="BG18">
            <v>300245</v>
          </cell>
          <cell r="BL18">
            <v>343168</v>
          </cell>
          <cell r="BM18">
            <v>87792</v>
          </cell>
          <cell r="BN18">
            <v>91007</v>
          </cell>
          <cell r="BO18">
            <v>99296</v>
          </cell>
          <cell r="BP18">
            <v>371339</v>
          </cell>
          <cell r="BQ18">
            <v>371339</v>
          </cell>
          <cell r="BR18">
            <v>101027</v>
          </cell>
          <cell r="BS18">
            <v>101747</v>
          </cell>
          <cell r="BT18">
            <v>107869</v>
          </cell>
          <cell r="BU18">
            <v>97729</v>
          </cell>
          <cell r="BV18">
            <v>408372</v>
          </cell>
          <cell r="BW18">
            <v>98863</v>
          </cell>
          <cell r="BX18">
            <v>97920</v>
          </cell>
          <cell r="BY18">
            <v>104994</v>
          </cell>
          <cell r="BZ18">
            <v>100397</v>
          </cell>
          <cell r="CA18">
            <v>402174</v>
          </cell>
          <cell r="CF18">
            <v>430602</v>
          </cell>
          <cell r="CK18">
            <v>453565</v>
          </cell>
          <cell r="CP18">
            <v>468616</v>
          </cell>
          <cell r="CU18">
            <v>468119</v>
          </cell>
          <cell r="CZ18">
            <v>516440</v>
          </cell>
          <cell r="DE18">
            <v>618899</v>
          </cell>
        </row>
        <row r="19">
          <cell r="B19" t="str">
            <v>Cost of goods sold, COGS</v>
          </cell>
          <cell r="C19" t="str">
            <v>COST_GD_SD</v>
          </cell>
          <cell r="D19" t="str">
            <v>JPY</v>
          </cell>
          <cell r="F19">
            <v>0</v>
          </cell>
          <cell r="G19">
            <v>-119656</v>
          </cell>
          <cell r="H19">
            <v>-120915</v>
          </cell>
          <cell r="I19">
            <v>-125834</v>
          </cell>
          <cell r="J19">
            <v>-135620</v>
          </cell>
          <cell r="K19">
            <v>-130122</v>
          </cell>
          <cell r="L19">
            <v>-187818</v>
          </cell>
          <cell r="M19">
            <v>-204411</v>
          </cell>
          <cell r="N19">
            <v>-195981</v>
          </cell>
          <cell r="O19">
            <v>-204759</v>
          </cell>
          <cell r="P19">
            <v>-200281</v>
          </cell>
          <cell r="S19">
            <v>-207276</v>
          </cell>
          <cell r="X19">
            <v>-216975</v>
          </cell>
          <cell r="AC19">
            <v>-237568</v>
          </cell>
          <cell r="AH19">
            <v>-250347</v>
          </cell>
          <cell r="AM19">
            <v>-254543</v>
          </cell>
          <cell r="AR19">
            <v>-166924</v>
          </cell>
          <cell r="AW19">
            <v>-168147</v>
          </cell>
          <cell r="BB19">
            <v>-168669</v>
          </cell>
          <cell r="BG19">
            <v>-177030</v>
          </cell>
          <cell r="BL19">
            <v>-204917</v>
          </cell>
          <cell r="BQ19">
            <v>-225378</v>
          </cell>
          <cell r="BV19">
            <v>-248215</v>
          </cell>
          <cell r="CA19">
            <v>-242343</v>
          </cell>
          <cell r="CF19">
            <v>-260426</v>
          </cell>
          <cell r="CK19">
            <v>-277805</v>
          </cell>
          <cell r="CP19">
            <v>-286978</v>
          </cell>
          <cell r="CU19">
            <v>-285289</v>
          </cell>
          <cell r="CZ19">
            <v>-337611</v>
          </cell>
          <cell r="DE19">
            <v>-414474</v>
          </cell>
        </row>
        <row r="20">
          <cell r="B20" t="str">
            <v>SG&amp;A, selling, general and admin. expense</v>
          </cell>
          <cell r="C20" t="str">
            <v>SEL_GL_AD</v>
          </cell>
          <cell r="D20" t="str">
            <v>JPY</v>
          </cell>
          <cell r="G20">
            <v>-72836</v>
          </cell>
          <cell r="H20">
            <v>-75472</v>
          </cell>
          <cell r="I20">
            <v>-79775</v>
          </cell>
          <cell r="J20">
            <v>-83805</v>
          </cell>
          <cell r="K20">
            <v>-80556</v>
          </cell>
          <cell r="L20">
            <v>-124203</v>
          </cell>
          <cell r="M20">
            <v>-137405</v>
          </cell>
          <cell r="N20">
            <v>-125963</v>
          </cell>
          <cell r="O20">
            <v>-119844</v>
          </cell>
          <cell r="P20">
            <v>-117316</v>
          </cell>
          <cell r="S20">
            <v>-119500</v>
          </cell>
          <cell r="X20">
            <v>-124373</v>
          </cell>
          <cell r="AC20">
            <v>-133396</v>
          </cell>
          <cell r="AH20">
            <v>-139736</v>
          </cell>
          <cell r="AM20">
            <v>-137736</v>
          </cell>
          <cell r="AR20">
            <v>-97680</v>
          </cell>
          <cell r="AW20">
            <v>-96107</v>
          </cell>
          <cell r="BB20">
            <v>-96805</v>
          </cell>
          <cell r="BG20">
            <v>-103407</v>
          </cell>
          <cell r="BL20">
            <v>-114404</v>
          </cell>
          <cell r="BQ20">
            <v>-120590</v>
          </cell>
          <cell r="BV20">
            <v>-127558</v>
          </cell>
          <cell r="CA20">
            <v>-126988</v>
          </cell>
          <cell r="CF20">
            <v>-133673</v>
          </cell>
          <cell r="CK20">
            <v>-137341</v>
          </cell>
          <cell r="CP20">
            <v>-141812</v>
          </cell>
          <cell r="CU20">
            <v>-140216</v>
          </cell>
          <cell r="CZ20">
            <v>-126555</v>
          </cell>
          <cell r="DE20">
            <v>-145648</v>
          </cell>
        </row>
        <row r="21">
          <cell r="B21" t="str">
            <v>Total operating expense</v>
          </cell>
          <cell r="C21" t="str">
            <v>OP_COST</v>
          </cell>
          <cell r="D21" t="str">
            <v>JPY</v>
          </cell>
          <cell r="G21">
            <v>-192492</v>
          </cell>
          <cell r="H21">
            <v>-196387</v>
          </cell>
          <cell r="I21">
            <v>-205609</v>
          </cell>
          <cell r="J21">
            <v>-219425</v>
          </cell>
          <cell r="K21">
            <v>-210678</v>
          </cell>
          <cell r="L21">
            <v>-312021</v>
          </cell>
          <cell r="M21">
            <v>-341816</v>
          </cell>
          <cell r="N21">
            <v>-321944</v>
          </cell>
          <cell r="O21">
            <v>-324603</v>
          </cell>
          <cell r="P21">
            <v>-317597</v>
          </cell>
          <cell r="S21">
            <v>-326776</v>
          </cell>
          <cell r="X21">
            <v>-341348</v>
          </cell>
          <cell r="AC21">
            <v>-370964</v>
          </cell>
          <cell r="AH21">
            <v>-390083</v>
          </cell>
          <cell r="AM21">
            <v>-392279</v>
          </cell>
          <cell r="AR21">
            <v>-264604</v>
          </cell>
          <cell r="AW21">
            <v>-264254</v>
          </cell>
          <cell r="BB21">
            <v>-265474</v>
          </cell>
          <cell r="BG21">
            <v>-280437</v>
          </cell>
          <cell r="BL21">
            <v>-319321</v>
          </cell>
          <cell r="BQ21">
            <v>-345968</v>
          </cell>
          <cell r="BV21">
            <v>-375773</v>
          </cell>
          <cell r="CA21">
            <v>-369331</v>
          </cell>
          <cell r="CF21">
            <v>-394099</v>
          </cell>
          <cell r="CK21">
            <v>-415146</v>
          </cell>
          <cell r="CP21">
            <v>-428790</v>
          </cell>
          <cell r="CU21">
            <v>-425505</v>
          </cell>
          <cell r="CZ21">
            <v>-464166</v>
          </cell>
          <cell r="DE21">
            <v>-560122</v>
          </cell>
        </row>
        <row r="22">
          <cell r="B22" t="str">
            <v>R&amp;D expense</v>
          </cell>
          <cell r="C22" t="str">
            <v>RD_EXP</v>
          </cell>
          <cell r="D22" t="str">
            <v>JPY</v>
          </cell>
          <cell r="BG22">
            <v>-3727</v>
          </cell>
          <cell r="BL22">
            <v>-4290.7668714551501</v>
          </cell>
        </row>
        <row r="23">
          <cell r="B23" t="str">
            <v>Other operating income/(expense) (incl. leases)</v>
          </cell>
          <cell r="C23" t="str">
            <v>OTH_OP_INC_EXP</v>
          </cell>
          <cell r="D23" t="str">
            <v>JPY</v>
          </cell>
          <cell r="L23">
            <v>-1</v>
          </cell>
          <cell r="N23">
            <v>-1</v>
          </cell>
          <cell r="O23">
            <v>-1</v>
          </cell>
          <cell r="S23">
            <v>-2</v>
          </cell>
          <cell r="X23">
            <v>-1</v>
          </cell>
          <cell r="AC23">
            <v>-1</v>
          </cell>
          <cell r="AH23">
            <v>-1</v>
          </cell>
          <cell r="AM23">
            <v>-2</v>
          </cell>
          <cell r="AR23">
            <v>-1</v>
          </cell>
          <cell r="AW23">
            <v>-1</v>
          </cell>
          <cell r="BB23">
            <v>-1</v>
          </cell>
          <cell r="BG23">
            <v>-1</v>
          </cell>
          <cell r="BL23">
            <v>-1</v>
          </cell>
        </row>
        <row r="24">
          <cell r="B24" t="str">
            <v>Total operating expense (incl. D&amp;A)</v>
          </cell>
          <cell r="C24" t="str">
            <v>TOT_OPS_EXP_DDA</v>
          </cell>
          <cell r="D24" t="str">
            <v>JPY</v>
          </cell>
          <cell r="F24">
            <v>0</v>
          </cell>
          <cell r="G24">
            <v>-192492</v>
          </cell>
          <cell r="H24">
            <v>-196387</v>
          </cell>
          <cell r="I24">
            <v>-205609</v>
          </cell>
          <cell r="J24">
            <v>-219425</v>
          </cell>
          <cell r="K24">
            <v>-210678</v>
          </cell>
          <cell r="L24">
            <v>-312021</v>
          </cell>
          <cell r="M24">
            <v>-341816</v>
          </cell>
          <cell r="N24">
            <v>-321944</v>
          </cell>
          <cell r="O24">
            <v>-324603</v>
          </cell>
          <cell r="P24">
            <v>-317597</v>
          </cell>
          <cell r="S24">
            <v>-326776</v>
          </cell>
          <cell r="X24">
            <v>-341348</v>
          </cell>
          <cell r="AC24">
            <v>-370964</v>
          </cell>
          <cell r="AH24">
            <v>-390083</v>
          </cell>
          <cell r="AM24">
            <v>-392279</v>
          </cell>
          <cell r="AR24">
            <v>-264604</v>
          </cell>
          <cell r="AW24">
            <v>-264254</v>
          </cell>
          <cell r="BB24">
            <v>-265474</v>
          </cell>
          <cell r="BG24">
            <v>-280437</v>
          </cell>
          <cell r="BL24">
            <v>-319321</v>
          </cell>
          <cell r="BQ24">
            <v>-345968</v>
          </cell>
          <cell r="BV24">
            <v>-375773</v>
          </cell>
          <cell r="CA24">
            <v>-369331</v>
          </cell>
          <cell r="CF24">
            <v>-394099</v>
          </cell>
          <cell r="CK24">
            <v>-415146</v>
          </cell>
          <cell r="CP24">
            <v>-428790</v>
          </cell>
          <cell r="CU24">
            <v>-425505</v>
          </cell>
          <cell r="CZ24">
            <v>-464166</v>
          </cell>
          <cell r="DE24">
            <v>-560122</v>
          </cell>
        </row>
        <row r="25">
          <cell r="B25" t="str">
            <v>Total operating expense (excl. D&amp;A)</v>
          </cell>
          <cell r="C25" t="str">
            <v>TOT_OPS_EXP</v>
          </cell>
          <cell r="D25" t="str">
            <v>JPY</v>
          </cell>
          <cell r="F25">
            <v>0</v>
          </cell>
          <cell r="G25">
            <v>-183940</v>
          </cell>
          <cell r="H25">
            <v>-187835</v>
          </cell>
          <cell r="I25">
            <v>-196701</v>
          </cell>
          <cell r="J25">
            <v>-209789</v>
          </cell>
          <cell r="K25">
            <v>-200728</v>
          </cell>
          <cell r="L25">
            <v>-296102</v>
          </cell>
          <cell r="M25">
            <v>-324135</v>
          </cell>
          <cell r="N25">
            <v>-305507</v>
          </cell>
          <cell r="O25">
            <v>-309575</v>
          </cell>
          <cell r="P25">
            <v>-303750</v>
          </cell>
          <cell r="S25">
            <v>-313154</v>
          </cell>
          <cell r="X25">
            <v>-327125</v>
          </cell>
          <cell r="AC25">
            <v>-354674</v>
          </cell>
          <cell r="AH25">
            <v>-372423</v>
          </cell>
          <cell r="AM25">
            <v>-375040</v>
          </cell>
          <cell r="AR25">
            <v>-252568</v>
          </cell>
          <cell r="AW25">
            <v>-252104</v>
          </cell>
          <cell r="BB25">
            <v>-252863</v>
          </cell>
          <cell r="BG25">
            <v>-268277</v>
          </cell>
          <cell r="BL25">
            <v>-306338</v>
          </cell>
          <cell r="BQ25">
            <v>-331567</v>
          </cell>
          <cell r="BV25">
            <v>-363837</v>
          </cell>
          <cell r="CA25">
            <v>-356992</v>
          </cell>
          <cell r="CF25">
            <v>-380940</v>
          </cell>
          <cell r="CK25">
            <v>-401888</v>
          </cell>
          <cell r="CP25">
            <v>-414958</v>
          </cell>
          <cell r="CU25">
            <v>-410579</v>
          </cell>
          <cell r="CZ25">
            <v>-444136</v>
          </cell>
          <cell r="DE25">
            <v>-537882</v>
          </cell>
        </row>
        <row r="26">
          <cell r="B26" t="str">
            <v>EBITDA</v>
          </cell>
          <cell r="C26" t="str">
            <v>EBITDA_CALC</v>
          </cell>
          <cell r="D26" t="str">
            <v>JPY</v>
          </cell>
          <cell r="F26">
            <v>0</v>
          </cell>
          <cell r="G26">
            <v>19346</v>
          </cell>
          <cell r="H26">
            <v>18166</v>
          </cell>
          <cell r="I26">
            <v>17637</v>
          </cell>
          <cell r="J26">
            <v>19686</v>
          </cell>
          <cell r="K26">
            <v>20996</v>
          </cell>
          <cell r="L26">
            <v>30605</v>
          </cell>
          <cell r="M26">
            <v>32571</v>
          </cell>
          <cell r="N26">
            <v>31379</v>
          </cell>
          <cell r="O26">
            <v>32932</v>
          </cell>
          <cell r="P26">
            <v>30906</v>
          </cell>
          <cell r="S26">
            <v>31469</v>
          </cell>
          <cell r="X26">
            <v>32780</v>
          </cell>
          <cell r="AC26">
            <v>37936</v>
          </cell>
          <cell r="AH26">
            <v>41514</v>
          </cell>
          <cell r="AM26">
            <v>37607</v>
          </cell>
          <cell r="AR26">
            <v>33121</v>
          </cell>
          <cell r="AW26">
            <v>31358</v>
          </cell>
          <cell r="BB26">
            <v>30375</v>
          </cell>
          <cell r="BG26">
            <v>31967</v>
          </cell>
          <cell r="BL26">
            <v>36829</v>
          </cell>
          <cell r="BQ26">
            <v>39772</v>
          </cell>
          <cell r="BV26">
            <v>44535</v>
          </cell>
          <cell r="CA26">
            <v>45182</v>
          </cell>
          <cell r="CF26">
            <v>49662</v>
          </cell>
          <cell r="CK26">
            <v>51677</v>
          </cell>
          <cell r="CP26">
            <v>53658</v>
          </cell>
          <cell r="CU26">
            <v>57540</v>
          </cell>
          <cell r="CZ26">
            <v>72304</v>
          </cell>
          <cell r="DE26">
            <v>81017</v>
          </cell>
        </row>
        <row r="27">
          <cell r="B27" t="str">
            <v>Depreciation</v>
          </cell>
          <cell r="C27" t="str">
            <v>DEPREC</v>
          </cell>
          <cell r="D27" t="str">
            <v>JPY</v>
          </cell>
          <cell r="G27">
            <v>-8552</v>
          </cell>
          <cell r="H27">
            <v>-8552</v>
          </cell>
          <cell r="I27">
            <v>-8908</v>
          </cell>
          <cell r="J27">
            <v>-9636</v>
          </cell>
          <cell r="K27">
            <v>-9950</v>
          </cell>
          <cell r="L27">
            <v>-15919</v>
          </cell>
          <cell r="M27">
            <v>-17681</v>
          </cell>
          <cell r="N27">
            <v>-16437</v>
          </cell>
          <cell r="O27">
            <v>-15028</v>
          </cell>
          <cell r="P27">
            <v>-13847</v>
          </cell>
          <cell r="S27">
            <v>-13622</v>
          </cell>
          <cell r="X27">
            <v>-14223</v>
          </cell>
          <cell r="AC27">
            <v>-16290</v>
          </cell>
          <cell r="AH27">
            <v>-17660</v>
          </cell>
          <cell r="AM27">
            <v>-17239</v>
          </cell>
          <cell r="AR27">
            <v>-12036</v>
          </cell>
          <cell r="AW27">
            <v>-12150</v>
          </cell>
          <cell r="BB27">
            <v>-12611</v>
          </cell>
          <cell r="BG27">
            <v>-12160</v>
          </cell>
          <cell r="BL27">
            <v>-12983</v>
          </cell>
          <cell r="BQ27">
            <v>-12901</v>
          </cell>
          <cell r="BV27">
            <v>-10899</v>
          </cell>
          <cell r="CA27">
            <v>-11232</v>
          </cell>
          <cell r="CF27">
            <v>-12237</v>
          </cell>
          <cell r="CK27">
            <v>-12542</v>
          </cell>
          <cell r="CP27">
            <v>-13832</v>
          </cell>
          <cell r="CU27">
            <v>-14926</v>
          </cell>
          <cell r="CZ27">
            <v>-20030</v>
          </cell>
          <cell r="DE27">
            <v>-22240</v>
          </cell>
        </row>
        <row r="28">
          <cell r="B28" t="str">
            <v>Amortization</v>
          </cell>
          <cell r="C28" t="str">
            <v>GOODWILL_AMORT</v>
          </cell>
          <cell r="D28" t="str">
            <v>JPY</v>
          </cell>
          <cell r="BQ28">
            <v>-1500</v>
          </cell>
          <cell r="BV28">
            <v>-1037</v>
          </cell>
          <cell r="CA28">
            <v>-1107</v>
          </cell>
          <cell r="CF28">
            <v>-922</v>
          </cell>
          <cell r="CK28">
            <v>-716</v>
          </cell>
        </row>
        <row r="29">
          <cell r="B29" t="str">
            <v>EBIT, operating profit</v>
          </cell>
          <cell r="C29" t="str">
            <v>EBIT</v>
          </cell>
          <cell r="D29" t="str">
            <v>JPY</v>
          </cell>
          <cell r="F29">
            <v>0</v>
          </cell>
          <cell r="G29">
            <v>10794</v>
          </cell>
          <cell r="H29">
            <v>9614</v>
          </cell>
          <cell r="I29">
            <v>8729</v>
          </cell>
          <cell r="J29">
            <v>10050</v>
          </cell>
          <cell r="K29">
            <v>11046</v>
          </cell>
          <cell r="L29">
            <v>14686</v>
          </cell>
          <cell r="M29">
            <v>14890</v>
          </cell>
          <cell r="N29">
            <v>14942</v>
          </cell>
          <cell r="O29">
            <v>17904</v>
          </cell>
          <cell r="P29">
            <v>17059</v>
          </cell>
          <cell r="S29">
            <v>17847</v>
          </cell>
          <cell r="X29">
            <v>18557</v>
          </cell>
          <cell r="AC29">
            <v>21646</v>
          </cell>
          <cell r="AH29">
            <v>23854</v>
          </cell>
          <cell r="AM29">
            <v>20368</v>
          </cell>
          <cell r="AR29">
            <v>21085</v>
          </cell>
          <cell r="AW29">
            <v>19208</v>
          </cell>
          <cell r="BB29">
            <v>17764</v>
          </cell>
          <cell r="BG29">
            <v>19807</v>
          </cell>
          <cell r="BL29">
            <v>23846</v>
          </cell>
          <cell r="BQ29">
            <v>25371</v>
          </cell>
          <cell r="BV29">
            <v>32599</v>
          </cell>
          <cell r="CA29">
            <v>32843</v>
          </cell>
          <cell r="CF29">
            <v>36503</v>
          </cell>
          <cell r="CK29">
            <v>38419</v>
          </cell>
          <cell r="CP29">
            <v>39826</v>
          </cell>
          <cell r="CU29">
            <v>42614</v>
          </cell>
          <cell r="CZ29">
            <v>52274</v>
          </cell>
          <cell r="DE29">
            <v>58777</v>
          </cell>
        </row>
        <row r="30">
          <cell r="B30" t="str">
            <v>Interest income</v>
          </cell>
          <cell r="C30" t="str">
            <v>INT_INC_IND</v>
          </cell>
          <cell r="D30" t="str">
            <v>JPY</v>
          </cell>
          <cell r="F30">
            <v>0</v>
          </cell>
          <cell r="G30">
            <v>1324</v>
          </cell>
          <cell r="H30">
            <v>907</v>
          </cell>
          <cell r="I30">
            <v>844</v>
          </cell>
          <cell r="J30">
            <v>828</v>
          </cell>
          <cell r="K30">
            <v>837</v>
          </cell>
          <cell r="L30">
            <v>1086</v>
          </cell>
          <cell r="M30">
            <v>1298</v>
          </cell>
          <cell r="N30">
            <v>1080</v>
          </cell>
          <cell r="O30">
            <v>938</v>
          </cell>
          <cell r="P30">
            <v>789</v>
          </cell>
          <cell r="S30">
            <v>773</v>
          </cell>
          <cell r="X30">
            <v>851</v>
          </cell>
          <cell r="AC30">
            <v>1222</v>
          </cell>
          <cell r="AH30">
            <v>1301</v>
          </cell>
          <cell r="AM30">
            <v>964</v>
          </cell>
          <cell r="AR30">
            <v>747</v>
          </cell>
          <cell r="AW30">
            <v>812</v>
          </cell>
          <cell r="BB30">
            <v>721</v>
          </cell>
          <cell r="BG30">
            <v>929</v>
          </cell>
          <cell r="BL30">
            <v>1024</v>
          </cell>
          <cell r="BQ30">
            <v>898</v>
          </cell>
          <cell r="BV30">
            <v>880</v>
          </cell>
          <cell r="CA30">
            <v>1517</v>
          </cell>
          <cell r="CF30">
            <v>1244</v>
          </cell>
          <cell r="CK30">
            <v>1364</v>
          </cell>
          <cell r="CP30">
            <v>1236</v>
          </cell>
          <cell r="CU30">
            <v>1115</v>
          </cell>
          <cell r="CZ30">
            <v>10168</v>
          </cell>
          <cell r="DE30">
            <v>11911</v>
          </cell>
        </row>
        <row r="31">
          <cell r="B31" t="str">
            <v>Interest expense</v>
          </cell>
          <cell r="C31" t="str">
            <v>INT_EXP_IND</v>
          </cell>
          <cell r="D31" t="str">
            <v>JPY</v>
          </cell>
          <cell r="F31">
            <v>0</v>
          </cell>
          <cell r="G31">
            <v>-1880</v>
          </cell>
          <cell r="H31">
            <v>-1697</v>
          </cell>
          <cell r="I31">
            <v>-1434</v>
          </cell>
          <cell r="J31">
            <v>-1495</v>
          </cell>
          <cell r="K31">
            <v>-1199</v>
          </cell>
          <cell r="L31">
            <v>-1395</v>
          </cell>
          <cell r="M31">
            <v>-1527</v>
          </cell>
          <cell r="N31">
            <v>-1246</v>
          </cell>
          <cell r="O31">
            <v>-942</v>
          </cell>
          <cell r="P31">
            <v>-635</v>
          </cell>
          <cell r="S31">
            <v>-544</v>
          </cell>
          <cell r="X31">
            <v>-660</v>
          </cell>
          <cell r="AC31">
            <v>-1047</v>
          </cell>
          <cell r="AH31">
            <v>-1073</v>
          </cell>
          <cell r="AM31">
            <v>-1465</v>
          </cell>
          <cell r="AR31">
            <v>-1543</v>
          </cell>
          <cell r="AW31">
            <v>-1446</v>
          </cell>
          <cell r="BB31">
            <v>-1505</v>
          </cell>
          <cell r="BG31">
            <v>-1570</v>
          </cell>
          <cell r="BL31">
            <v>-1577</v>
          </cell>
          <cell r="BQ31">
            <v>-1137</v>
          </cell>
          <cell r="BV31">
            <v>-1067</v>
          </cell>
          <cell r="CA31">
            <v>-762</v>
          </cell>
          <cell r="CF31">
            <v>-304</v>
          </cell>
          <cell r="CK31">
            <v>-131</v>
          </cell>
          <cell r="CP31">
            <v>-464</v>
          </cell>
          <cell r="CU31">
            <v>-529</v>
          </cell>
          <cell r="CZ31">
            <v>-6869</v>
          </cell>
          <cell r="DE31">
            <v>-6739</v>
          </cell>
        </row>
        <row r="32">
          <cell r="B32" t="str">
            <v>Net interest income/(expense)</v>
          </cell>
          <cell r="C32" t="str">
            <v>NET_INT_EXP</v>
          </cell>
          <cell r="D32" t="str">
            <v>JPY</v>
          </cell>
          <cell r="G32">
            <v>-556</v>
          </cell>
          <cell r="H32">
            <v>-790</v>
          </cell>
          <cell r="I32">
            <v>-590</v>
          </cell>
          <cell r="J32">
            <v>-667</v>
          </cell>
          <cell r="K32">
            <v>-362</v>
          </cell>
          <cell r="L32">
            <v>-309</v>
          </cell>
          <cell r="M32">
            <v>-229</v>
          </cell>
          <cell r="N32">
            <v>-166</v>
          </cell>
          <cell r="O32">
            <v>-4</v>
          </cell>
          <cell r="P32">
            <v>154</v>
          </cell>
          <cell r="S32">
            <v>229</v>
          </cell>
          <cell r="X32">
            <v>191</v>
          </cell>
          <cell r="AC32">
            <v>175</v>
          </cell>
          <cell r="AH32">
            <v>228</v>
          </cell>
          <cell r="AM32">
            <v>-501</v>
          </cell>
          <cell r="AR32">
            <v>-796</v>
          </cell>
          <cell r="AW32">
            <v>-634</v>
          </cell>
          <cell r="BB32">
            <v>-784</v>
          </cell>
          <cell r="BG32">
            <v>-641</v>
          </cell>
          <cell r="BL32">
            <v>-553</v>
          </cell>
          <cell r="BQ32">
            <v>-239</v>
          </cell>
          <cell r="BV32">
            <v>-187</v>
          </cell>
          <cell r="CA32">
            <v>755</v>
          </cell>
          <cell r="CF32">
            <v>940</v>
          </cell>
          <cell r="CK32">
            <v>1233</v>
          </cell>
          <cell r="CP32">
            <v>772</v>
          </cell>
          <cell r="CU32">
            <v>586</v>
          </cell>
          <cell r="CZ32">
            <v>3299</v>
          </cell>
          <cell r="DE32">
            <v>5172</v>
          </cell>
        </row>
        <row r="33">
          <cell r="B33" t="str">
            <v>Income/(loss) from unconsolidated subs &amp; associates</v>
          </cell>
          <cell r="C33" t="str">
            <v>ASSOCIATE</v>
          </cell>
          <cell r="D33" t="str">
            <v>JPY</v>
          </cell>
          <cell r="G33">
            <v>996</v>
          </cell>
          <cell r="H33">
            <v>1225</v>
          </cell>
          <cell r="I33">
            <v>404</v>
          </cell>
          <cell r="J33">
            <v>845</v>
          </cell>
          <cell r="K33">
            <v>1252</v>
          </cell>
          <cell r="L33">
            <v>177</v>
          </cell>
          <cell r="M33">
            <v>177</v>
          </cell>
          <cell r="N33">
            <v>226</v>
          </cell>
          <cell r="O33">
            <v>-127</v>
          </cell>
          <cell r="P33">
            <v>444</v>
          </cell>
          <cell r="S33">
            <v>580</v>
          </cell>
          <cell r="X33">
            <v>716</v>
          </cell>
          <cell r="AC33">
            <v>620</v>
          </cell>
          <cell r="AH33">
            <v>406</v>
          </cell>
          <cell r="AM33">
            <v>69</v>
          </cell>
          <cell r="AR33">
            <v>500</v>
          </cell>
          <cell r="AW33">
            <v>19</v>
          </cell>
          <cell r="BB33">
            <v>232</v>
          </cell>
          <cell r="BG33">
            <v>695</v>
          </cell>
          <cell r="BL33">
            <v>1082</v>
          </cell>
          <cell r="BQ33">
            <v>1075</v>
          </cell>
          <cell r="BV33">
            <v>984</v>
          </cell>
          <cell r="CA33">
            <v>4</v>
          </cell>
          <cell r="CF33">
            <v>172</v>
          </cell>
          <cell r="CK33">
            <v>126</v>
          </cell>
          <cell r="CP33">
            <v>209</v>
          </cell>
          <cell r="CU33">
            <v>206</v>
          </cell>
          <cell r="CZ33">
            <v>249</v>
          </cell>
          <cell r="DE33">
            <v>254</v>
          </cell>
        </row>
        <row r="34">
          <cell r="B34" t="str">
            <v>Profit/(loss) on disposals of assets, pre-tax</v>
          </cell>
          <cell r="C34" t="str">
            <v>PROFIT_ON_DISP</v>
          </cell>
          <cell r="D34" t="str">
            <v>JPY</v>
          </cell>
        </row>
        <row r="35">
          <cell r="B35" t="str">
            <v>Other non-ops income/(expense)</v>
          </cell>
          <cell r="C35" t="str">
            <v>OTH_COST_INC</v>
          </cell>
          <cell r="D35" t="str">
            <v>JPY</v>
          </cell>
          <cell r="G35">
            <v>-3924</v>
          </cell>
          <cell r="H35">
            <v>-1262</v>
          </cell>
          <cell r="I35">
            <v>778</v>
          </cell>
          <cell r="J35">
            <v>-1790</v>
          </cell>
          <cell r="K35">
            <v>-1376</v>
          </cell>
          <cell r="L35">
            <v>-3329</v>
          </cell>
          <cell r="M35">
            <v>-5781</v>
          </cell>
          <cell r="N35">
            <v>-6026</v>
          </cell>
          <cell r="O35">
            <v>-562</v>
          </cell>
          <cell r="P35">
            <v>-1658</v>
          </cell>
          <cell r="S35">
            <v>-2320</v>
          </cell>
          <cell r="X35">
            <v>-2102</v>
          </cell>
          <cell r="AC35">
            <v>-1461</v>
          </cell>
          <cell r="AH35">
            <v>-1122</v>
          </cell>
          <cell r="AM35">
            <v>-3194</v>
          </cell>
          <cell r="AR35">
            <v>-5959</v>
          </cell>
          <cell r="AW35">
            <v>-5146</v>
          </cell>
          <cell r="BB35">
            <v>-1781</v>
          </cell>
          <cell r="BG35">
            <v>-2150</v>
          </cell>
          <cell r="BL35">
            <v>-2099</v>
          </cell>
          <cell r="BQ35">
            <v>-2385</v>
          </cell>
          <cell r="BV35">
            <v>-3143</v>
          </cell>
          <cell r="CA35">
            <v>-6523</v>
          </cell>
          <cell r="CF35">
            <v>-1616</v>
          </cell>
          <cell r="CK35">
            <v>-2183</v>
          </cell>
          <cell r="CP35">
            <v>-2877</v>
          </cell>
          <cell r="CU35">
            <v>-2887</v>
          </cell>
          <cell r="CZ35">
            <v>-1591</v>
          </cell>
          <cell r="DE35">
            <v>-3406</v>
          </cell>
        </row>
        <row r="36">
          <cell r="B36" t="str">
            <v>Pre-tax profit</v>
          </cell>
          <cell r="C36" t="str">
            <v>PT_PROF</v>
          </cell>
          <cell r="D36" t="str">
            <v>JPY</v>
          </cell>
          <cell r="F36">
            <v>0</v>
          </cell>
          <cell r="G36">
            <v>7310</v>
          </cell>
          <cell r="H36">
            <v>8787</v>
          </cell>
          <cell r="I36">
            <v>9321</v>
          </cell>
          <cell r="J36">
            <v>8438</v>
          </cell>
          <cell r="K36">
            <v>10560</v>
          </cell>
          <cell r="L36">
            <v>11225</v>
          </cell>
          <cell r="M36">
            <v>9057</v>
          </cell>
          <cell r="N36">
            <v>8976</v>
          </cell>
          <cell r="O36">
            <v>17211</v>
          </cell>
          <cell r="P36">
            <v>15999</v>
          </cell>
          <cell r="S36">
            <v>16336</v>
          </cell>
          <cell r="X36">
            <v>17362</v>
          </cell>
          <cell r="AC36">
            <v>20980</v>
          </cell>
          <cell r="AH36">
            <v>23366</v>
          </cell>
          <cell r="AM36">
            <v>16742</v>
          </cell>
          <cell r="AR36">
            <v>14830</v>
          </cell>
          <cell r="AW36">
            <v>13447</v>
          </cell>
          <cell r="BB36">
            <v>15431</v>
          </cell>
          <cell r="BG36">
            <v>17711</v>
          </cell>
          <cell r="BL36">
            <v>22276</v>
          </cell>
          <cell r="BQ36">
            <v>23822</v>
          </cell>
          <cell r="BV36">
            <v>30253</v>
          </cell>
          <cell r="CA36">
            <v>27079</v>
          </cell>
          <cell r="CF36">
            <v>35999</v>
          </cell>
          <cell r="CK36">
            <v>37595</v>
          </cell>
          <cell r="CP36">
            <v>37930</v>
          </cell>
          <cell r="CU36">
            <v>40519</v>
          </cell>
          <cell r="CZ36">
            <v>54231</v>
          </cell>
          <cell r="DE36">
            <v>60797</v>
          </cell>
        </row>
        <row r="37">
          <cell r="A37" t="str">
            <v>Additional Income Statement Items</v>
          </cell>
        </row>
        <row r="38">
          <cell r="B38" t="str">
            <v>Contribution margin ratio</v>
          </cell>
          <cell r="C38" t="str">
            <v>CONTRIB_MARGIN_RATIO</v>
          </cell>
          <cell r="D38" t="str">
            <v>JPY</v>
          </cell>
        </row>
        <row r="39">
          <cell r="B39" t="str">
            <v>Organic sales growth (excl. acquisitions)</v>
          </cell>
          <cell r="C39" t="str">
            <v>ORG_REV_GRTH</v>
          </cell>
          <cell r="BG39">
            <v>0</v>
          </cell>
          <cell r="BL39">
            <v>0</v>
          </cell>
        </row>
        <row r="40">
          <cell r="B40" t="str">
            <v>Operating lease cost</v>
          </cell>
          <cell r="C40" t="str">
            <v>LEASE_PAY</v>
          </cell>
          <cell r="D40" t="str">
            <v>JPY</v>
          </cell>
        </row>
        <row r="41">
          <cell r="B41" t="str">
            <v>Lease payments (deemed interest portion)</v>
          </cell>
          <cell r="C41" t="str">
            <v>LEASE_DEEM_INT</v>
          </cell>
          <cell r="D41" t="str">
            <v>JPY</v>
          </cell>
        </row>
        <row r="42">
          <cell r="B42" t="str">
            <v>Lease payments (deemed depreciation portion)</v>
          </cell>
          <cell r="C42" t="str">
            <v>LEASE_DEEM_DEPR</v>
          </cell>
          <cell r="D42" t="str">
            <v>JPY</v>
          </cell>
        </row>
        <row r="43">
          <cell r="B43" t="str">
            <v>Gross interest charge</v>
          </cell>
          <cell r="C43" t="str">
            <v>NET_INT_CH</v>
          </cell>
          <cell r="D43" t="str">
            <v>JPY</v>
          </cell>
          <cell r="G43">
            <v>-1880</v>
          </cell>
          <cell r="H43">
            <v>-1697</v>
          </cell>
          <cell r="I43">
            <v>-1434</v>
          </cell>
          <cell r="J43">
            <v>-1495</v>
          </cell>
          <cell r="K43">
            <v>-1199</v>
          </cell>
          <cell r="L43">
            <v>-1395</v>
          </cell>
          <cell r="M43">
            <v>-1527</v>
          </cell>
          <cell r="N43">
            <v>-1246</v>
          </cell>
          <cell r="O43">
            <v>-942</v>
          </cell>
          <cell r="P43">
            <v>-635</v>
          </cell>
          <cell r="S43">
            <v>-544</v>
          </cell>
          <cell r="X43">
            <v>-660</v>
          </cell>
          <cell r="AC43">
            <v>-1047</v>
          </cell>
          <cell r="AH43">
            <v>-1073</v>
          </cell>
          <cell r="AM43">
            <v>-1465</v>
          </cell>
          <cell r="AR43">
            <v>-1543</v>
          </cell>
          <cell r="AW43">
            <v>-1446</v>
          </cell>
          <cell r="BB43">
            <v>-1505</v>
          </cell>
          <cell r="BG43">
            <v>-1570</v>
          </cell>
          <cell r="BL43">
            <v>-1577</v>
          </cell>
          <cell r="BQ43">
            <v>-1137</v>
          </cell>
          <cell r="BV43">
            <v>-1067</v>
          </cell>
          <cell r="CA43">
            <v>-762</v>
          </cell>
          <cell r="CF43">
            <v>-304</v>
          </cell>
          <cell r="CK43">
            <v>-131</v>
          </cell>
          <cell r="CP43">
            <v>-464</v>
          </cell>
          <cell r="CU43">
            <v>-529</v>
          </cell>
          <cell r="CZ43">
            <v>-6869</v>
          </cell>
          <cell r="DE43">
            <v>-6739</v>
          </cell>
        </row>
        <row r="44">
          <cell r="B44" t="str">
            <v>Income from associates (operating)</v>
          </cell>
          <cell r="C44" t="str">
            <v>ASSOCIATE_OP</v>
          </cell>
          <cell r="D44" t="str">
            <v>JPY</v>
          </cell>
        </row>
        <row r="45">
          <cell r="B45" t="str">
            <v>SG&amp;A, selling, general and admin. expense</v>
          </cell>
          <cell r="C45" t="str">
            <v>SGA_JPN</v>
          </cell>
          <cell r="D45" t="str">
            <v>JPY</v>
          </cell>
          <cell r="F45">
            <v>0</v>
          </cell>
          <cell r="G45">
            <v>-72836</v>
          </cell>
          <cell r="H45">
            <v>-75472</v>
          </cell>
          <cell r="I45">
            <v>-79775</v>
          </cell>
          <cell r="J45">
            <v>-83805</v>
          </cell>
          <cell r="K45">
            <v>-80556</v>
          </cell>
          <cell r="L45">
            <v>-124203</v>
          </cell>
          <cell r="M45">
            <v>-137405</v>
          </cell>
          <cell r="N45">
            <v>-125963</v>
          </cell>
          <cell r="O45">
            <v>-119844</v>
          </cell>
          <cell r="P45">
            <v>-117316</v>
          </cell>
          <cell r="S45">
            <v>-119500</v>
          </cell>
          <cell r="X45">
            <v>-124373</v>
          </cell>
          <cell r="AC45">
            <v>-133396</v>
          </cell>
          <cell r="AH45">
            <v>-139736</v>
          </cell>
          <cell r="AM45">
            <v>-137736</v>
          </cell>
          <cell r="AR45">
            <v>-97680</v>
          </cell>
          <cell r="AW45">
            <v>-96107</v>
          </cell>
          <cell r="BB45">
            <v>-96805</v>
          </cell>
          <cell r="BG45">
            <v>-107134</v>
          </cell>
          <cell r="BL45">
            <v>-118694.76687145499</v>
          </cell>
          <cell r="BQ45">
            <v>-120590</v>
          </cell>
          <cell r="BV45">
            <v>-127558</v>
          </cell>
          <cell r="CA45">
            <v>-126988</v>
          </cell>
          <cell r="CF45">
            <v>-133673</v>
          </cell>
          <cell r="CK45">
            <v>-137341</v>
          </cell>
          <cell r="CP45">
            <v>-141812</v>
          </cell>
          <cell r="CU45">
            <v>-140216</v>
          </cell>
          <cell r="CZ45">
            <v>-126555</v>
          </cell>
          <cell r="DE45">
            <v>-145648</v>
          </cell>
        </row>
        <row r="46">
          <cell r="B46" t="str">
            <v>Gross profit</v>
          </cell>
          <cell r="C46" t="str">
            <v>GP_JPN</v>
          </cell>
          <cell r="D46" t="str">
            <v>JPY</v>
          </cell>
          <cell r="F46">
            <v>0</v>
          </cell>
          <cell r="G46">
            <v>83630</v>
          </cell>
          <cell r="H46">
            <v>85086</v>
          </cell>
          <cell r="I46">
            <v>88504</v>
          </cell>
          <cell r="J46">
            <v>93855</v>
          </cell>
          <cell r="K46">
            <v>91602</v>
          </cell>
          <cell r="L46">
            <v>138890</v>
          </cell>
          <cell r="M46">
            <v>152295</v>
          </cell>
          <cell r="N46">
            <v>140906</v>
          </cell>
          <cell r="O46">
            <v>137749</v>
          </cell>
          <cell r="P46">
            <v>134375</v>
          </cell>
          <cell r="S46">
            <v>137349</v>
          </cell>
          <cell r="X46">
            <v>142931</v>
          </cell>
          <cell r="AC46">
            <v>155043</v>
          </cell>
          <cell r="AH46">
            <v>163591</v>
          </cell>
          <cell r="AM46">
            <v>158106</v>
          </cell>
          <cell r="AR46">
            <v>118766</v>
          </cell>
          <cell r="AW46">
            <v>115316</v>
          </cell>
          <cell r="BB46">
            <v>114570</v>
          </cell>
          <cell r="BG46">
            <v>123215</v>
          </cell>
          <cell r="BL46">
            <v>138251</v>
          </cell>
          <cell r="BQ46">
            <v>145961</v>
          </cell>
          <cell r="BV46">
            <v>160157</v>
          </cell>
          <cell r="CA46">
            <v>159831</v>
          </cell>
          <cell r="CF46">
            <v>170176</v>
          </cell>
          <cell r="CK46">
            <v>175760</v>
          </cell>
          <cell r="CP46">
            <v>181638</v>
          </cell>
          <cell r="CU46">
            <v>182830</v>
          </cell>
          <cell r="CZ46">
            <v>178829</v>
          </cell>
          <cell r="DE46">
            <v>204425</v>
          </cell>
        </row>
        <row r="47">
          <cell r="B47" t="str">
            <v>EBITDA adjustment</v>
          </cell>
          <cell r="C47" t="str">
            <v>EBITDA_ADJ</v>
          </cell>
          <cell r="D47" t="str">
            <v>JPY</v>
          </cell>
        </row>
        <row r="48">
          <cell r="B48" t="str">
            <v>EBITDA</v>
          </cell>
          <cell r="C48" t="str">
            <v>EBITDA_JPN</v>
          </cell>
          <cell r="D48" t="str">
            <v>JPY</v>
          </cell>
          <cell r="F48">
            <v>0</v>
          </cell>
          <cell r="G48">
            <v>19346</v>
          </cell>
          <cell r="H48">
            <v>18166</v>
          </cell>
          <cell r="I48">
            <v>17637</v>
          </cell>
          <cell r="J48">
            <v>19686</v>
          </cell>
          <cell r="K48">
            <v>20996</v>
          </cell>
          <cell r="L48">
            <v>30605</v>
          </cell>
          <cell r="M48">
            <v>32571</v>
          </cell>
          <cell r="N48">
            <v>31379</v>
          </cell>
          <cell r="O48">
            <v>32932</v>
          </cell>
          <cell r="P48">
            <v>30906</v>
          </cell>
          <cell r="S48">
            <v>31469</v>
          </cell>
          <cell r="X48">
            <v>32780</v>
          </cell>
          <cell r="AC48">
            <v>37936</v>
          </cell>
          <cell r="AH48">
            <v>41514</v>
          </cell>
          <cell r="AM48">
            <v>37607</v>
          </cell>
          <cell r="AR48">
            <v>33121</v>
          </cell>
          <cell r="AW48">
            <v>31358</v>
          </cell>
          <cell r="BB48">
            <v>30375</v>
          </cell>
          <cell r="BG48">
            <v>31967</v>
          </cell>
          <cell r="BL48">
            <v>36829</v>
          </cell>
          <cell r="BQ48">
            <v>39772</v>
          </cell>
          <cell r="BV48">
            <v>44535</v>
          </cell>
          <cell r="CA48">
            <v>45182</v>
          </cell>
          <cell r="CF48">
            <v>49662</v>
          </cell>
          <cell r="CK48">
            <v>51677</v>
          </cell>
          <cell r="CP48">
            <v>53658</v>
          </cell>
          <cell r="CU48">
            <v>57540</v>
          </cell>
          <cell r="CZ48">
            <v>72304</v>
          </cell>
          <cell r="DE48">
            <v>81017</v>
          </cell>
        </row>
        <row r="49">
          <cell r="B49" t="str">
            <v>Income/(loss) from unconsolidated subs &amp; associates</v>
          </cell>
          <cell r="C49" t="str">
            <v>ASSOCIATE_JPN</v>
          </cell>
          <cell r="D49" t="str">
            <v>JPY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177</v>
          </cell>
          <cell r="M49">
            <v>177</v>
          </cell>
          <cell r="N49">
            <v>226</v>
          </cell>
          <cell r="O49">
            <v>-127</v>
          </cell>
          <cell r="P49">
            <v>444</v>
          </cell>
          <cell r="S49">
            <v>580</v>
          </cell>
          <cell r="X49">
            <v>716</v>
          </cell>
          <cell r="AC49">
            <v>620</v>
          </cell>
          <cell r="AH49">
            <v>406</v>
          </cell>
          <cell r="AM49">
            <v>69</v>
          </cell>
          <cell r="AR49">
            <v>500</v>
          </cell>
          <cell r="AW49">
            <v>19</v>
          </cell>
          <cell r="BB49">
            <v>232</v>
          </cell>
          <cell r="BG49">
            <v>695</v>
          </cell>
          <cell r="BL49">
            <v>1082</v>
          </cell>
          <cell r="BQ49">
            <v>1075</v>
          </cell>
          <cell r="BV49">
            <v>984</v>
          </cell>
          <cell r="CA49">
            <v>0</v>
          </cell>
          <cell r="CF49">
            <v>0</v>
          </cell>
          <cell r="CK49">
            <v>0</v>
          </cell>
          <cell r="CP49">
            <v>0</v>
          </cell>
          <cell r="CU49">
            <v>0</v>
          </cell>
          <cell r="CZ49">
            <v>0</v>
          </cell>
          <cell r="DE49">
            <v>0</v>
          </cell>
        </row>
        <row r="50">
          <cell r="B50" t="str">
            <v>Income/(loss) from unconsolidated subs &amp; associates (SEC)</v>
          </cell>
          <cell r="C50" t="str">
            <v>ASSOCIATE_SEC_JPN</v>
          </cell>
          <cell r="D50" t="str">
            <v>JPY</v>
          </cell>
          <cell r="F50">
            <v>0</v>
          </cell>
          <cell r="G50">
            <v>996</v>
          </cell>
          <cell r="H50">
            <v>1225</v>
          </cell>
          <cell r="I50">
            <v>404</v>
          </cell>
          <cell r="J50">
            <v>845</v>
          </cell>
          <cell r="K50">
            <v>1252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>
            <v>0</v>
          </cell>
          <cell r="X50">
            <v>0</v>
          </cell>
          <cell r="AC50">
            <v>0</v>
          </cell>
          <cell r="AH50">
            <v>0</v>
          </cell>
          <cell r="AM50">
            <v>0</v>
          </cell>
          <cell r="AR50">
            <v>0</v>
          </cell>
          <cell r="AW50">
            <v>0</v>
          </cell>
          <cell r="BB50">
            <v>0</v>
          </cell>
          <cell r="BG50">
            <v>0</v>
          </cell>
          <cell r="BL50">
            <v>0</v>
          </cell>
          <cell r="BQ50">
            <v>0</v>
          </cell>
          <cell r="BV50">
            <v>0</v>
          </cell>
          <cell r="CA50">
            <v>4</v>
          </cell>
          <cell r="CF50">
            <v>172</v>
          </cell>
          <cell r="CK50">
            <v>126</v>
          </cell>
          <cell r="CP50">
            <v>209</v>
          </cell>
          <cell r="CU50">
            <v>206</v>
          </cell>
          <cell r="CZ50">
            <v>249</v>
          </cell>
          <cell r="DE50">
            <v>254</v>
          </cell>
        </row>
        <row r="51">
          <cell r="B51" t="str">
            <v>Other non-operating income/(expense)</v>
          </cell>
          <cell r="C51" t="str">
            <v>OTH_NOP_INC_EXP_JPN</v>
          </cell>
          <cell r="D51" t="str">
            <v>JPY</v>
          </cell>
          <cell r="F51">
            <v>0</v>
          </cell>
          <cell r="G51">
            <v>-1751</v>
          </cell>
          <cell r="H51">
            <v>-954</v>
          </cell>
          <cell r="I51">
            <v>-665</v>
          </cell>
          <cell r="J51">
            <v>-1183</v>
          </cell>
          <cell r="K51">
            <v>-362</v>
          </cell>
          <cell r="L51">
            <v>-1643</v>
          </cell>
          <cell r="M51">
            <v>-1482</v>
          </cell>
          <cell r="N51">
            <v>-1819</v>
          </cell>
          <cell r="O51">
            <v>-2133</v>
          </cell>
          <cell r="P51">
            <v>-2229</v>
          </cell>
          <cell r="S51">
            <v>-2007</v>
          </cell>
          <cell r="X51">
            <v>-2114</v>
          </cell>
          <cell r="AC51">
            <v>-1458</v>
          </cell>
          <cell r="AH51">
            <v>-2100</v>
          </cell>
          <cell r="AM51">
            <v>-1970</v>
          </cell>
          <cell r="AR51">
            <v>-1653</v>
          </cell>
          <cell r="AW51">
            <v>-1842</v>
          </cell>
          <cell r="BB51">
            <v>-1970</v>
          </cell>
          <cell r="BG51">
            <v>-1161</v>
          </cell>
          <cell r="BL51">
            <v>-1693</v>
          </cell>
          <cell r="BQ51">
            <v>-1843</v>
          </cell>
          <cell r="BV51">
            <v>-2367</v>
          </cell>
          <cell r="CA51">
            <v>-1561</v>
          </cell>
          <cell r="CF51">
            <v>-1458</v>
          </cell>
          <cell r="CK51">
            <v>-1727</v>
          </cell>
          <cell r="CP51">
            <v>-1520</v>
          </cell>
          <cell r="CU51">
            <v>-1736</v>
          </cell>
          <cell r="CZ51">
            <v>-55573</v>
          </cell>
          <cell r="DE51">
            <v>-63949</v>
          </cell>
        </row>
        <row r="52">
          <cell r="B52" t="str">
            <v>Extraordinary income</v>
          </cell>
          <cell r="C52" t="str">
            <v>EXTRA_INC_JPN</v>
          </cell>
          <cell r="D52" t="str">
            <v>JPY</v>
          </cell>
          <cell r="G52">
            <v>384</v>
          </cell>
          <cell r="H52">
            <v>4600</v>
          </cell>
          <cell r="I52">
            <v>3034</v>
          </cell>
          <cell r="J52">
            <v>237</v>
          </cell>
          <cell r="K52">
            <v>424</v>
          </cell>
          <cell r="L52">
            <v>6203</v>
          </cell>
          <cell r="M52">
            <v>6675</v>
          </cell>
          <cell r="N52">
            <v>957</v>
          </cell>
          <cell r="O52">
            <v>4502</v>
          </cell>
          <cell r="P52">
            <v>679</v>
          </cell>
          <cell r="S52">
            <v>624</v>
          </cell>
          <cell r="X52">
            <v>3931</v>
          </cell>
          <cell r="AC52">
            <v>1375</v>
          </cell>
          <cell r="AH52">
            <v>7850</v>
          </cell>
          <cell r="AM52">
            <v>4244</v>
          </cell>
          <cell r="AR52">
            <v>412</v>
          </cell>
          <cell r="AW52">
            <v>2307</v>
          </cell>
          <cell r="BB52">
            <v>1865</v>
          </cell>
          <cell r="BG52">
            <v>1891</v>
          </cell>
          <cell r="BL52">
            <v>8973</v>
          </cell>
          <cell r="BQ52">
            <v>3427</v>
          </cell>
          <cell r="BV52">
            <v>21</v>
          </cell>
          <cell r="CA52">
            <v>213</v>
          </cell>
          <cell r="CF52">
            <v>3981</v>
          </cell>
          <cell r="CK52">
            <v>2714</v>
          </cell>
          <cell r="CP52">
            <v>217</v>
          </cell>
          <cell r="CU52">
            <v>1095</v>
          </cell>
        </row>
        <row r="53">
          <cell r="B53" t="str">
            <v>Extraordinary expense</v>
          </cell>
          <cell r="C53" t="str">
            <v>EXTRA_EXP_JPN</v>
          </cell>
          <cell r="D53" t="str">
            <v>JPY</v>
          </cell>
          <cell r="G53">
            <v>-1561</v>
          </cell>
          <cell r="H53">
            <v>-3683</v>
          </cell>
          <cell r="I53">
            <v>-1187</v>
          </cell>
          <cell r="K53">
            <v>-186</v>
          </cell>
          <cell r="L53">
            <v>-7889</v>
          </cell>
          <cell r="M53">
            <v>-10975</v>
          </cell>
          <cell r="N53">
            <v>-5165</v>
          </cell>
          <cell r="O53">
            <v>-2931</v>
          </cell>
          <cell r="P53">
            <v>-107</v>
          </cell>
          <cell r="S53">
            <v>-938</v>
          </cell>
          <cell r="X53">
            <v>-3918</v>
          </cell>
          <cell r="AC53">
            <v>-1377</v>
          </cell>
          <cell r="AH53">
            <v>-6872</v>
          </cell>
          <cell r="AM53">
            <v>-5469</v>
          </cell>
          <cell r="AR53">
            <v>-4718</v>
          </cell>
          <cell r="AW53">
            <v>-5610</v>
          </cell>
          <cell r="BB53">
            <v>-1676</v>
          </cell>
          <cell r="BG53">
            <v>-2889</v>
          </cell>
          <cell r="BL53">
            <v>-9377</v>
          </cell>
          <cell r="BQ53">
            <v>-3969</v>
          </cell>
          <cell r="BV53">
            <v>-797</v>
          </cell>
          <cell r="CA53">
            <v>-5170</v>
          </cell>
          <cell r="CF53">
            <v>-3967</v>
          </cell>
          <cell r="CK53">
            <v>-3044</v>
          </cell>
          <cell r="CP53">
            <v>-1365</v>
          </cell>
          <cell r="CU53">
            <v>-2040</v>
          </cell>
        </row>
        <row r="54">
          <cell r="B54" t="str">
            <v>Pre-tax profit</v>
          </cell>
          <cell r="C54" t="str">
            <v>PTP_JPN</v>
          </cell>
          <cell r="D54" t="str">
            <v>JPY</v>
          </cell>
          <cell r="F54">
            <v>0</v>
          </cell>
          <cell r="G54">
            <v>7310</v>
          </cell>
          <cell r="H54">
            <v>8787</v>
          </cell>
          <cell r="I54">
            <v>9321</v>
          </cell>
          <cell r="J54">
            <v>8438</v>
          </cell>
          <cell r="K54">
            <v>10560</v>
          </cell>
          <cell r="L54">
            <v>11225</v>
          </cell>
          <cell r="M54">
            <v>9057</v>
          </cell>
          <cell r="N54">
            <v>8976</v>
          </cell>
          <cell r="O54">
            <v>17211</v>
          </cell>
          <cell r="P54">
            <v>15999</v>
          </cell>
          <cell r="S54">
            <v>16336</v>
          </cell>
          <cell r="X54">
            <v>17362</v>
          </cell>
          <cell r="AC54">
            <v>20980</v>
          </cell>
          <cell r="AH54">
            <v>23366</v>
          </cell>
          <cell r="AM54">
            <v>16742</v>
          </cell>
          <cell r="AR54">
            <v>14830</v>
          </cell>
          <cell r="AW54">
            <v>13447</v>
          </cell>
          <cell r="BB54">
            <v>15431</v>
          </cell>
          <cell r="BG54">
            <v>17711</v>
          </cell>
          <cell r="BL54">
            <v>22276</v>
          </cell>
          <cell r="BQ54">
            <v>23822</v>
          </cell>
          <cell r="BV54">
            <v>30253</v>
          </cell>
          <cell r="CA54">
            <v>27079</v>
          </cell>
          <cell r="CF54">
            <v>35999</v>
          </cell>
          <cell r="CK54">
            <v>37595</v>
          </cell>
          <cell r="CP54">
            <v>37930</v>
          </cell>
          <cell r="CU54">
            <v>40519</v>
          </cell>
          <cell r="CZ54">
            <v>54231</v>
          </cell>
          <cell r="DE54">
            <v>60797</v>
          </cell>
        </row>
        <row r="55">
          <cell r="B55" t="str">
            <v>NI impact from a 10% reporting currency depreciation vs USD</v>
          </cell>
          <cell r="C55" t="str">
            <v>FX_USD_NI_SENSITIVITY</v>
          </cell>
          <cell r="D55" t="str">
            <v>JPY</v>
          </cell>
        </row>
        <row r="56">
          <cell r="B56" t="str">
            <v>NI impact from a 10% reporting currency depreciation vs EUR</v>
          </cell>
          <cell r="C56" t="str">
            <v>FX_EUR_NI_SENSITIVITY</v>
          </cell>
          <cell r="D56" t="str">
            <v>JPY</v>
          </cell>
        </row>
        <row r="57">
          <cell r="B57" t="str">
            <v>Depreciation ROU assets   (applicable to IFRS cos.)</v>
          </cell>
          <cell r="C57" t="str">
            <v>DEPR_ROU_ASSETS</v>
          </cell>
          <cell r="D57" t="str">
            <v>JPY</v>
          </cell>
        </row>
        <row r="58">
          <cell r="B58" t="str">
            <v>Lease interest charge  (applicable to IFRS cos.)</v>
          </cell>
          <cell r="C58" t="str">
            <v>LEASE_INT_CHG</v>
          </cell>
          <cell r="D58" t="str">
            <v>JPY</v>
          </cell>
        </row>
        <row r="59">
          <cell r="B59" t="str">
            <v>Lease standard adopted (US GAAP ASC 842/ IFRS 16)</v>
          </cell>
          <cell r="C59" t="str">
            <v>LEASE_ADOPT</v>
          </cell>
        </row>
        <row r="60">
          <cell r="A60" t="str">
            <v>Balance Sheet</v>
          </cell>
        </row>
        <row r="61">
          <cell r="B61" t="str">
            <v>Cash &amp; cash equivalents</v>
          </cell>
          <cell r="C61" t="str">
            <v>CASH_EQ</v>
          </cell>
          <cell r="D61" t="str">
            <v>JPY</v>
          </cell>
          <cell r="G61">
            <v>40673</v>
          </cell>
          <cell r="H61">
            <v>28638</v>
          </cell>
          <cell r="I61">
            <v>35372</v>
          </cell>
          <cell r="J61">
            <v>21478</v>
          </cell>
          <cell r="K61">
            <v>23553</v>
          </cell>
          <cell r="L61">
            <v>28987</v>
          </cell>
          <cell r="M61">
            <v>27801</v>
          </cell>
          <cell r="N61">
            <v>32835</v>
          </cell>
          <cell r="O61">
            <v>34694</v>
          </cell>
          <cell r="P61">
            <v>25679</v>
          </cell>
          <cell r="S61">
            <v>20664</v>
          </cell>
          <cell r="X61">
            <v>36487</v>
          </cell>
          <cell r="AC61">
            <v>24505</v>
          </cell>
          <cell r="AH61">
            <v>34168</v>
          </cell>
          <cell r="AM61">
            <v>28985</v>
          </cell>
          <cell r="AR61">
            <v>26798</v>
          </cell>
          <cell r="AW61">
            <v>30378</v>
          </cell>
          <cell r="BB61">
            <v>48072</v>
          </cell>
          <cell r="BG61">
            <v>30729</v>
          </cell>
          <cell r="BL61">
            <v>28695</v>
          </cell>
          <cell r="BQ61">
            <v>34838</v>
          </cell>
          <cell r="BV61">
            <v>36529</v>
          </cell>
          <cell r="CA61">
            <v>46481</v>
          </cell>
          <cell r="CF61">
            <v>25088</v>
          </cell>
          <cell r="CK61">
            <v>30162</v>
          </cell>
          <cell r="CP61">
            <v>30088</v>
          </cell>
          <cell r="CU61">
            <v>55678</v>
          </cell>
          <cell r="CZ61">
            <v>79229</v>
          </cell>
          <cell r="DE61">
            <v>99347</v>
          </cell>
        </row>
        <row r="62">
          <cell r="B62" t="str">
            <v>Accounts receivable</v>
          </cell>
          <cell r="C62" t="str">
            <v>DEBTORS</v>
          </cell>
          <cell r="D62" t="str">
            <v>JPY</v>
          </cell>
          <cell r="G62">
            <v>43969</v>
          </cell>
          <cell r="H62">
            <v>43142</v>
          </cell>
          <cell r="I62">
            <v>43323</v>
          </cell>
          <cell r="J62">
            <v>44968</v>
          </cell>
          <cell r="K62">
            <v>44515</v>
          </cell>
          <cell r="L62">
            <v>50134</v>
          </cell>
          <cell r="M62">
            <v>38746</v>
          </cell>
          <cell r="N62">
            <v>40512</v>
          </cell>
          <cell r="O62">
            <v>39918</v>
          </cell>
          <cell r="P62">
            <v>39460</v>
          </cell>
          <cell r="S62">
            <v>42916</v>
          </cell>
          <cell r="X62">
            <v>43866</v>
          </cell>
          <cell r="AC62">
            <v>49689</v>
          </cell>
          <cell r="AH62">
            <v>48210</v>
          </cell>
          <cell r="AM62">
            <v>39898</v>
          </cell>
          <cell r="AR62">
            <v>40907</v>
          </cell>
          <cell r="AW62">
            <v>38608</v>
          </cell>
          <cell r="BB62">
            <v>42051</v>
          </cell>
          <cell r="BG62">
            <v>45291</v>
          </cell>
          <cell r="BL62">
            <v>46948</v>
          </cell>
          <cell r="BQ62">
            <v>49719</v>
          </cell>
          <cell r="BV62">
            <v>51525</v>
          </cell>
          <cell r="CA62">
            <v>54447</v>
          </cell>
          <cell r="CF62">
            <v>57953</v>
          </cell>
          <cell r="CK62">
            <v>60002</v>
          </cell>
          <cell r="CP62">
            <v>59953</v>
          </cell>
          <cell r="CU62">
            <v>61074</v>
          </cell>
          <cell r="CZ62">
            <v>69407</v>
          </cell>
          <cell r="DE62">
            <v>75070</v>
          </cell>
        </row>
        <row r="63">
          <cell r="B63" t="str">
            <v>Inventory</v>
          </cell>
          <cell r="C63" t="str">
            <v>STOCKS</v>
          </cell>
          <cell r="D63" t="str">
            <v>JPY</v>
          </cell>
          <cell r="G63">
            <v>19258</v>
          </cell>
          <cell r="H63">
            <v>20441</v>
          </cell>
          <cell r="I63">
            <v>23054</v>
          </cell>
          <cell r="J63">
            <v>24341</v>
          </cell>
          <cell r="K63">
            <v>23592</v>
          </cell>
          <cell r="L63">
            <v>27925</v>
          </cell>
          <cell r="M63">
            <v>27801</v>
          </cell>
          <cell r="N63">
            <v>28525</v>
          </cell>
          <cell r="O63">
            <v>25239</v>
          </cell>
          <cell r="P63">
            <v>24726</v>
          </cell>
          <cell r="S63">
            <v>26427</v>
          </cell>
          <cell r="X63">
            <v>27142</v>
          </cell>
          <cell r="AC63">
            <v>29910</v>
          </cell>
          <cell r="AH63">
            <v>29720</v>
          </cell>
          <cell r="AM63">
            <v>28964</v>
          </cell>
          <cell r="AR63">
            <v>32231</v>
          </cell>
          <cell r="AW63">
            <v>30983</v>
          </cell>
          <cell r="BB63">
            <v>34225</v>
          </cell>
          <cell r="BG63">
            <v>37620</v>
          </cell>
          <cell r="BL63">
            <v>42432</v>
          </cell>
          <cell r="BQ63">
            <v>49009</v>
          </cell>
          <cell r="BV63">
            <v>48457</v>
          </cell>
          <cell r="CA63">
            <v>49615</v>
          </cell>
          <cell r="CF63">
            <v>53645</v>
          </cell>
          <cell r="CK63">
            <v>58840</v>
          </cell>
          <cell r="CP63">
            <v>60954</v>
          </cell>
          <cell r="CU63">
            <v>63084</v>
          </cell>
          <cell r="CZ63">
            <v>82700</v>
          </cell>
          <cell r="DE63">
            <v>92222</v>
          </cell>
        </row>
        <row r="64">
          <cell r="B64" t="str">
            <v>Other current assets</v>
          </cell>
          <cell r="C64" t="str">
            <v>OTH_CUR_ASS</v>
          </cell>
          <cell r="D64" t="str">
            <v>JPY</v>
          </cell>
          <cell r="G64">
            <v>3439</v>
          </cell>
          <cell r="H64">
            <v>3397</v>
          </cell>
          <cell r="I64">
            <v>3824</v>
          </cell>
          <cell r="J64">
            <v>4072</v>
          </cell>
          <cell r="K64">
            <v>3983</v>
          </cell>
          <cell r="L64">
            <v>7232</v>
          </cell>
          <cell r="M64">
            <v>9006</v>
          </cell>
          <cell r="N64">
            <v>13531</v>
          </cell>
          <cell r="O64">
            <v>7881</v>
          </cell>
          <cell r="P64">
            <v>9901</v>
          </cell>
          <cell r="S64">
            <v>10772</v>
          </cell>
          <cell r="X64">
            <v>11648</v>
          </cell>
          <cell r="AC64">
            <v>12287</v>
          </cell>
          <cell r="AH64">
            <v>16901</v>
          </cell>
          <cell r="AM64">
            <v>15506</v>
          </cell>
          <cell r="AR64">
            <v>14654</v>
          </cell>
          <cell r="AW64">
            <v>9476</v>
          </cell>
          <cell r="BB64">
            <v>9456</v>
          </cell>
          <cell r="BG64">
            <v>12957</v>
          </cell>
          <cell r="BL64">
            <v>15147</v>
          </cell>
          <cell r="BQ64">
            <v>16183</v>
          </cell>
          <cell r="BV64">
            <v>9783</v>
          </cell>
          <cell r="CA64">
            <v>16415</v>
          </cell>
          <cell r="CF64">
            <v>7161</v>
          </cell>
          <cell r="CK64">
            <v>7514</v>
          </cell>
          <cell r="CP64">
            <v>8545</v>
          </cell>
          <cell r="CU64">
            <v>12351</v>
          </cell>
          <cell r="CZ64">
            <v>8856</v>
          </cell>
          <cell r="DE64">
            <v>14572</v>
          </cell>
        </row>
        <row r="65">
          <cell r="B65" t="str">
            <v>Total current assets</v>
          </cell>
          <cell r="C65" t="str">
            <v>CUR_ASS</v>
          </cell>
          <cell r="D65" t="str">
            <v>JPY</v>
          </cell>
          <cell r="G65">
            <v>107339</v>
          </cell>
          <cell r="H65">
            <v>95618</v>
          </cell>
          <cell r="I65">
            <v>105573</v>
          </cell>
          <cell r="J65">
            <v>94859</v>
          </cell>
          <cell r="K65">
            <v>95643</v>
          </cell>
          <cell r="L65">
            <v>114278</v>
          </cell>
          <cell r="M65">
            <v>103354</v>
          </cell>
          <cell r="N65">
            <v>115403</v>
          </cell>
          <cell r="O65">
            <v>107732</v>
          </cell>
          <cell r="P65">
            <v>99766</v>
          </cell>
          <cell r="S65">
            <v>100779</v>
          </cell>
          <cell r="X65">
            <v>119143</v>
          </cell>
          <cell r="AC65">
            <v>116391</v>
          </cell>
          <cell r="AH65">
            <v>128999</v>
          </cell>
          <cell r="AM65">
            <v>113353</v>
          </cell>
          <cell r="AR65">
            <v>114590</v>
          </cell>
          <cell r="AW65">
            <v>109445</v>
          </cell>
          <cell r="BB65">
            <v>133804</v>
          </cell>
          <cell r="BG65">
            <v>126597</v>
          </cell>
          <cell r="BL65">
            <v>133222</v>
          </cell>
          <cell r="BQ65">
            <v>149749</v>
          </cell>
          <cell r="BV65">
            <v>146294</v>
          </cell>
          <cell r="CA65">
            <v>166958</v>
          </cell>
          <cell r="CF65">
            <v>143847</v>
          </cell>
          <cell r="CK65">
            <v>156518</v>
          </cell>
          <cell r="CP65">
            <v>159540</v>
          </cell>
          <cell r="CU65">
            <v>192187</v>
          </cell>
          <cell r="CZ65">
            <v>240192</v>
          </cell>
          <cell r="DE65">
            <v>281211</v>
          </cell>
        </row>
        <row r="66">
          <cell r="B66" t="str">
            <v>Gross fixed assets, PP&amp;E</v>
          </cell>
          <cell r="C66" t="str">
            <v>GR_FIX_ASS</v>
          </cell>
          <cell r="D66" t="str">
            <v>JPY</v>
          </cell>
          <cell r="F66">
            <v>0</v>
          </cell>
          <cell r="G66">
            <v>72864</v>
          </cell>
          <cell r="H66">
            <v>74712</v>
          </cell>
          <cell r="I66">
            <v>85231</v>
          </cell>
          <cell r="J66">
            <v>84154</v>
          </cell>
          <cell r="K66">
            <v>82111</v>
          </cell>
          <cell r="L66">
            <v>331511</v>
          </cell>
          <cell r="M66">
            <v>332349</v>
          </cell>
          <cell r="N66">
            <v>334017</v>
          </cell>
          <cell r="O66">
            <v>316041</v>
          </cell>
          <cell r="P66">
            <v>314124</v>
          </cell>
          <cell r="S66">
            <v>321141</v>
          </cell>
          <cell r="X66">
            <v>326983</v>
          </cell>
          <cell r="AC66">
            <v>356476</v>
          </cell>
          <cell r="AH66">
            <v>357979</v>
          </cell>
          <cell r="AM66">
            <v>272455</v>
          </cell>
          <cell r="AR66">
            <v>277102</v>
          </cell>
          <cell r="AW66">
            <v>279705</v>
          </cell>
          <cell r="BB66">
            <v>286374</v>
          </cell>
          <cell r="BG66">
            <v>303057</v>
          </cell>
          <cell r="BL66">
            <v>317364</v>
          </cell>
          <cell r="BQ66">
            <v>329943</v>
          </cell>
          <cell r="BV66">
            <v>342135</v>
          </cell>
          <cell r="CA66">
            <v>355867</v>
          </cell>
          <cell r="CF66">
            <v>372804</v>
          </cell>
          <cell r="CK66">
            <v>399331</v>
          </cell>
          <cell r="CP66">
            <v>441795</v>
          </cell>
          <cell r="CU66">
            <v>397999</v>
          </cell>
          <cell r="CZ66">
            <v>427031</v>
          </cell>
          <cell r="DE66">
            <v>460591</v>
          </cell>
        </row>
        <row r="67">
          <cell r="B67" t="str">
            <v>Accumulated depreciation</v>
          </cell>
          <cell r="C67" t="str">
            <v>ACC_DDA</v>
          </cell>
          <cell r="D67" t="str">
            <v>JPY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-206070</v>
          </cell>
          <cell r="M67">
            <v>-207381</v>
          </cell>
          <cell r="N67">
            <v>-209975</v>
          </cell>
          <cell r="O67">
            <v>-199456</v>
          </cell>
          <cell r="P67">
            <v>-200954</v>
          </cell>
          <cell r="S67">
            <v>-207426</v>
          </cell>
          <cell r="X67">
            <v>-212921</v>
          </cell>
          <cell r="AC67">
            <v>-222954</v>
          </cell>
          <cell r="AH67">
            <v>-223937</v>
          </cell>
          <cell r="AM67">
            <v>-175784</v>
          </cell>
          <cell r="AR67">
            <v>-179147</v>
          </cell>
          <cell r="AW67">
            <v>-183382</v>
          </cell>
          <cell r="BB67">
            <v>-187204</v>
          </cell>
          <cell r="BG67">
            <v>-199364</v>
          </cell>
          <cell r="BL67">
            <v>-212347</v>
          </cell>
          <cell r="BQ67">
            <v>-225248</v>
          </cell>
          <cell r="BV67">
            <v>-237184</v>
          </cell>
          <cell r="CA67">
            <v>-249523</v>
          </cell>
          <cell r="CF67">
            <v>-262683</v>
          </cell>
          <cell r="CK67">
            <v>-275941</v>
          </cell>
          <cell r="CP67">
            <v>-292728</v>
          </cell>
          <cell r="CU67">
            <v>-270921</v>
          </cell>
          <cell r="CZ67">
            <v>-290740</v>
          </cell>
          <cell r="DE67">
            <v>-309915</v>
          </cell>
        </row>
        <row r="68">
          <cell r="B68" t="str">
            <v>Net PP&amp;E</v>
          </cell>
          <cell r="C68" t="str">
            <v>NET_FIX_ASS</v>
          </cell>
          <cell r="D68" t="str">
            <v>JPY</v>
          </cell>
          <cell r="G68">
            <v>72864</v>
          </cell>
          <cell r="H68">
            <v>74712</v>
          </cell>
          <cell r="I68">
            <v>85231</v>
          </cell>
          <cell r="J68">
            <v>84154</v>
          </cell>
          <cell r="K68">
            <v>82111</v>
          </cell>
          <cell r="L68">
            <v>125441</v>
          </cell>
          <cell r="M68">
            <v>124968</v>
          </cell>
          <cell r="N68">
            <v>124042</v>
          </cell>
          <cell r="O68">
            <v>116585</v>
          </cell>
          <cell r="P68">
            <v>113170</v>
          </cell>
          <cell r="S68">
            <v>113715</v>
          </cell>
          <cell r="X68">
            <v>114062</v>
          </cell>
          <cell r="AC68">
            <v>133522</v>
          </cell>
          <cell r="AH68">
            <v>134042</v>
          </cell>
          <cell r="AM68">
            <v>96671</v>
          </cell>
          <cell r="AR68">
            <v>97955</v>
          </cell>
          <cell r="AW68">
            <v>96323</v>
          </cell>
          <cell r="BB68">
            <v>99170</v>
          </cell>
          <cell r="BG68">
            <v>103693</v>
          </cell>
          <cell r="BL68">
            <v>105017</v>
          </cell>
          <cell r="BQ68">
            <v>104695</v>
          </cell>
          <cell r="BV68">
            <v>104951</v>
          </cell>
          <cell r="CA68">
            <v>106344</v>
          </cell>
          <cell r="CF68">
            <v>110121</v>
          </cell>
          <cell r="CK68">
            <v>123390</v>
          </cell>
          <cell r="CP68">
            <v>149067</v>
          </cell>
          <cell r="CU68">
            <v>127078</v>
          </cell>
          <cell r="CZ68">
            <v>136291</v>
          </cell>
          <cell r="DE68">
            <v>150676</v>
          </cell>
        </row>
        <row r="69">
          <cell r="B69" t="str">
            <v>Gross intangibles</v>
          </cell>
          <cell r="C69" t="str">
            <v>GR_INTANG</v>
          </cell>
          <cell r="D69" t="str">
            <v>JPY</v>
          </cell>
          <cell r="G69">
            <v>11540</v>
          </cell>
          <cell r="H69">
            <v>10737</v>
          </cell>
          <cell r="I69">
            <v>10140</v>
          </cell>
          <cell r="J69">
            <v>9250</v>
          </cell>
          <cell r="K69">
            <v>8367</v>
          </cell>
          <cell r="L69">
            <v>8336</v>
          </cell>
          <cell r="M69">
            <v>8130</v>
          </cell>
          <cell r="N69">
            <v>8376</v>
          </cell>
          <cell r="O69">
            <v>7533</v>
          </cell>
          <cell r="P69">
            <v>7725</v>
          </cell>
          <cell r="S69">
            <v>7462</v>
          </cell>
          <cell r="X69">
            <v>6841</v>
          </cell>
          <cell r="AC69">
            <v>34015</v>
          </cell>
          <cell r="AH69">
            <v>28680</v>
          </cell>
          <cell r="AM69">
            <v>32840</v>
          </cell>
          <cell r="AR69">
            <v>29669</v>
          </cell>
          <cell r="AW69">
            <v>27782</v>
          </cell>
          <cell r="BB69">
            <v>26879</v>
          </cell>
          <cell r="BG69">
            <v>25468</v>
          </cell>
          <cell r="BL69">
            <v>23198</v>
          </cell>
          <cell r="BQ69">
            <v>22404</v>
          </cell>
          <cell r="BV69">
            <v>16564</v>
          </cell>
          <cell r="CA69">
            <v>11595</v>
          </cell>
          <cell r="CF69">
            <v>10522</v>
          </cell>
          <cell r="CK69">
            <v>10308</v>
          </cell>
          <cell r="CP69">
            <v>9168</v>
          </cell>
          <cell r="CU69">
            <v>10081</v>
          </cell>
          <cell r="CZ69">
            <v>9573</v>
          </cell>
          <cell r="DE69">
            <v>9452</v>
          </cell>
        </row>
        <row r="70">
          <cell r="B70" t="str">
            <v>Accumulated amortization</v>
          </cell>
          <cell r="C70" t="str">
            <v>ACC_AMORT</v>
          </cell>
          <cell r="D70" t="str">
            <v>JPY</v>
          </cell>
        </row>
        <row r="71">
          <cell r="B71" t="str">
            <v>Net intangible assets</v>
          </cell>
          <cell r="C71" t="str">
            <v>NET_INTANG</v>
          </cell>
          <cell r="D71" t="str">
            <v>JPY</v>
          </cell>
          <cell r="G71">
            <v>11540</v>
          </cell>
          <cell r="H71">
            <v>10737</v>
          </cell>
          <cell r="I71">
            <v>10140</v>
          </cell>
          <cell r="J71">
            <v>9250</v>
          </cell>
          <cell r="K71">
            <v>8367</v>
          </cell>
          <cell r="L71">
            <v>8336</v>
          </cell>
          <cell r="M71">
            <v>8130</v>
          </cell>
          <cell r="N71">
            <v>8376</v>
          </cell>
          <cell r="O71">
            <v>7533</v>
          </cell>
          <cell r="P71">
            <v>7725</v>
          </cell>
          <cell r="S71">
            <v>7462</v>
          </cell>
          <cell r="X71">
            <v>6841</v>
          </cell>
          <cell r="AC71">
            <v>34015</v>
          </cell>
          <cell r="AH71">
            <v>28680</v>
          </cell>
          <cell r="AM71">
            <v>32840</v>
          </cell>
          <cell r="AR71">
            <v>29669</v>
          </cell>
          <cell r="AW71">
            <v>27782</v>
          </cell>
          <cell r="BB71">
            <v>26879</v>
          </cell>
          <cell r="BG71">
            <v>25468</v>
          </cell>
          <cell r="BL71">
            <v>23198</v>
          </cell>
          <cell r="BQ71">
            <v>22404</v>
          </cell>
          <cell r="BV71">
            <v>16564</v>
          </cell>
          <cell r="CA71">
            <v>11595</v>
          </cell>
          <cell r="CF71">
            <v>10522</v>
          </cell>
          <cell r="CK71">
            <v>10308</v>
          </cell>
          <cell r="CP71">
            <v>9168</v>
          </cell>
          <cell r="CU71">
            <v>10081</v>
          </cell>
          <cell r="CZ71">
            <v>9573</v>
          </cell>
          <cell r="DE71">
            <v>9452</v>
          </cell>
        </row>
        <row r="72">
          <cell r="B72" t="str">
            <v>Equity method investments</v>
          </cell>
          <cell r="C72" t="str">
            <v>FIX_ASS_INV</v>
          </cell>
          <cell r="D72" t="str">
            <v>JPY</v>
          </cell>
        </row>
        <row r="73">
          <cell r="B73" t="str">
            <v>Investments in securities</v>
          </cell>
          <cell r="C73" t="str">
            <v>INV_SECUR</v>
          </cell>
          <cell r="D73" t="str">
            <v>JPY</v>
          </cell>
          <cell r="G73">
            <v>28544</v>
          </cell>
          <cell r="H73">
            <v>29126</v>
          </cell>
          <cell r="I73">
            <v>23429</v>
          </cell>
          <cell r="J73">
            <v>23869</v>
          </cell>
          <cell r="K73">
            <v>27916</v>
          </cell>
          <cell r="L73">
            <v>16420</v>
          </cell>
          <cell r="M73">
            <v>37633</v>
          </cell>
          <cell r="N73">
            <v>33668</v>
          </cell>
          <cell r="O73">
            <v>29345</v>
          </cell>
          <cell r="P73">
            <v>46511</v>
          </cell>
          <cell r="S73">
            <v>58496</v>
          </cell>
          <cell r="X73">
            <v>82631</v>
          </cell>
          <cell r="AC73">
            <v>55155</v>
          </cell>
          <cell r="AH73">
            <v>38326</v>
          </cell>
          <cell r="AM73">
            <v>50765</v>
          </cell>
          <cell r="AR73">
            <v>54542</v>
          </cell>
          <cell r="AW73">
            <v>51944</v>
          </cell>
          <cell r="BB73">
            <v>59536</v>
          </cell>
          <cell r="BG73">
            <v>70858</v>
          </cell>
          <cell r="BL73">
            <v>75609</v>
          </cell>
          <cell r="BQ73">
            <v>86483</v>
          </cell>
          <cell r="BV73">
            <v>86109</v>
          </cell>
          <cell r="CA73">
            <v>63180</v>
          </cell>
          <cell r="CF73">
            <v>65151</v>
          </cell>
          <cell r="CK73">
            <v>59207</v>
          </cell>
          <cell r="CP73">
            <v>57672</v>
          </cell>
          <cell r="CU73">
            <v>63267</v>
          </cell>
          <cell r="CZ73">
            <v>68961</v>
          </cell>
          <cell r="DE73">
            <v>69680</v>
          </cell>
        </row>
        <row r="74">
          <cell r="B74" t="str">
            <v>Other long-term assets</v>
          </cell>
          <cell r="C74" t="str">
            <v>OTH_LT_ASS</v>
          </cell>
          <cell r="D74" t="str">
            <v>JPY</v>
          </cell>
          <cell r="G74">
            <v>8021</v>
          </cell>
          <cell r="H74">
            <v>7648</v>
          </cell>
          <cell r="I74">
            <v>5922</v>
          </cell>
          <cell r="J74">
            <v>9047</v>
          </cell>
          <cell r="K74">
            <v>13986</v>
          </cell>
          <cell r="L74">
            <v>17635</v>
          </cell>
          <cell r="M74">
            <v>13474</v>
          </cell>
          <cell r="N74">
            <v>13038</v>
          </cell>
          <cell r="O74">
            <v>12707</v>
          </cell>
          <cell r="P74">
            <v>11430</v>
          </cell>
          <cell r="S74">
            <v>15350</v>
          </cell>
          <cell r="X74">
            <v>9104</v>
          </cell>
          <cell r="AC74">
            <v>9912</v>
          </cell>
          <cell r="AH74">
            <v>12240</v>
          </cell>
          <cell r="AM74">
            <v>17244</v>
          </cell>
          <cell r="AR74">
            <v>14419</v>
          </cell>
          <cell r="AW74">
            <v>13373</v>
          </cell>
          <cell r="BB74">
            <v>11982</v>
          </cell>
          <cell r="BG74">
            <v>11023</v>
          </cell>
          <cell r="BL74">
            <v>12057</v>
          </cell>
          <cell r="BQ74">
            <v>15435</v>
          </cell>
          <cell r="BV74">
            <v>11753</v>
          </cell>
          <cell r="CA74">
            <v>13171</v>
          </cell>
          <cell r="CF74">
            <v>14288</v>
          </cell>
          <cell r="CK74">
            <v>12696</v>
          </cell>
          <cell r="CP74">
            <v>11882</v>
          </cell>
          <cell r="CU74">
            <v>45896</v>
          </cell>
          <cell r="CZ74">
            <v>48043</v>
          </cell>
          <cell r="DE74">
            <v>55367</v>
          </cell>
        </row>
        <row r="75">
          <cell r="B75" t="str">
            <v>Total assets</v>
          </cell>
          <cell r="C75" t="str">
            <v>TOT_ASSET</v>
          </cell>
          <cell r="D75" t="str">
            <v>JPY</v>
          </cell>
          <cell r="F75">
            <v>0</v>
          </cell>
          <cell r="G75">
            <v>228308</v>
          </cell>
          <cell r="H75">
            <v>217841</v>
          </cell>
          <cell r="I75">
            <v>230295</v>
          </cell>
          <cell r="J75">
            <v>221179</v>
          </cell>
          <cell r="K75">
            <v>228023</v>
          </cell>
          <cell r="L75">
            <v>282110</v>
          </cell>
          <cell r="M75">
            <v>287559</v>
          </cell>
          <cell r="N75">
            <v>294527</v>
          </cell>
          <cell r="O75">
            <v>273902</v>
          </cell>
          <cell r="P75">
            <v>278602</v>
          </cell>
          <cell r="S75">
            <v>295802</v>
          </cell>
          <cell r="X75">
            <v>331781</v>
          </cell>
          <cell r="AC75">
            <v>348995</v>
          </cell>
          <cell r="AH75">
            <v>342287</v>
          </cell>
          <cell r="AM75">
            <v>310873</v>
          </cell>
          <cell r="AR75">
            <v>311175</v>
          </cell>
          <cell r="AW75">
            <v>298867</v>
          </cell>
          <cell r="BB75">
            <v>331371</v>
          </cell>
          <cell r="BG75">
            <v>337639</v>
          </cell>
          <cell r="BL75">
            <v>349103</v>
          </cell>
          <cell r="BQ75">
            <v>378766</v>
          </cell>
          <cell r="BV75">
            <v>365671</v>
          </cell>
          <cell r="CA75">
            <v>361248</v>
          </cell>
          <cell r="CF75">
            <v>343929</v>
          </cell>
          <cell r="CK75">
            <v>362119</v>
          </cell>
          <cell r="CP75">
            <v>387329</v>
          </cell>
          <cell r="CU75">
            <v>438508</v>
          </cell>
          <cell r="CZ75">
            <v>503061</v>
          </cell>
          <cell r="DE75">
            <v>566386</v>
          </cell>
        </row>
        <row r="76">
          <cell r="B76" t="str">
            <v>Accounts payable</v>
          </cell>
          <cell r="C76" t="str">
            <v>ACC_PAY_GQ</v>
          </cell>
          <cell r="D76" t="str">
            <v>JPY</v>
          </cell>
          <cell r="G76">
            <v>12711</v>
          </cell>
          <cell r="H76">
            <v>12273</v>
          </cell>
          <cell r="I76">
            <v>12321</v>
          </cell>
          <cell r="J76">
            <v>13063</v>
          </cell>
          <cell r="K76">
            <v>12841</v>
          </cell>
          <cell r="L76">
            <v>14832</v>
          </cell>
          <cell r="M76">
            <v>13213</v>
          </cell>
          <cell r="N76">
            <v>14069</v>
          </cell>
          <cell r="O76">
            <v>12172</v>
          </cell>
          <cell r="P76">
            <v>12590</v>
          </cell>
          <cell r="S76">
            <v>13183</v>
          </cell>
          <cell r="X76">
            <v>13391</v>
          </cell>
          <cell r="AC76">
            <v>16242</v>
          </cell>
          <cell r="AH76">
            <v>17365</v>
          </cell>
          <cell r="AM76">
            <v>13854</v>
          </cell>
          <cell r="AR76">
            <v>14507</v>
          </cell>
          <cell r="AW76">
            <v>14626</v>
          </cell>
          <cell r="BB76">
            <v>15474</v>
          </cell>
          <cell r="BG76">
            <v>16161</v>
          </cell>
          <cell r="BL76">
            <v>18193</v>
          </cell>
          <cell r="BQ76">
            <v>20766</v>
          </cell>
          <cell r="BV76">
            <v>20279</v>
          </cell>
          <cell r="CA76">
            <v>21196</v>
          </cell>
          <cell r="CF76">
            <v>21535</v>
          </cell>
          <cell r="CK76">
            <v>22383</v>
          </cell>
          <cell r="CP76">
            <v>23414</v>
          </cell>
          <cell r="CU76">
            <v>25530</v>
          </cell>
          <cell r="CZ76">
            <v>59573</v>
          </cell>
          <cell r="DE76">
            <v>61333</v>
          </cell>
        </row>
        <row r="77">
          <cell r="B77" t="str">
            <v>Short-term debt</v>
          </cell>
          <cell r="C77" t="str">
            <v>SHORT_T_DEBT</v>
          </cell>
          <cell r="D77" t="str">
            <v>JPY</v>
          </cell>
          <cell r="G77">
            <v>30596</v>
          </cell>
          <cell r="H77">
            <v>16308</v>
          </cell>
          <cell r="I77">
            <v>26476</v>
          </cell>
          <cell r="J77">
            <v>15306</v>
          </cell>
          <cell r="K77">
            <v>31344</v>
          </cell>
          <cell r="L77">
            <v>26483</v>
          </cell>
          <cell r="M77">
            <v>26463</v>
          </cell>
          <cell r="N77">
            <v>36359</v>
          </cell>
          <cell r="O77">
            <v>21827</v>
          </cell>
          <cell r="P77">
            <v>16344</v>
          </cell>
          <cell r="S77">
            <v>32188</v>
          </cell>
          <cell r="X77">
            <v>8825</v>
          </cell>
          <cell r="AC77">
            <v>24448</v>
          </cell>
          <cell r="AH77">
            <v>11996</v>
          </cell>
          <cell r="AM77">
            <v>10741</v>
          </cell>
          <cell r="AR77">
            <v>9962</v>
          </cell>
          <cell r="AW77">
            <v>5054</v>
          </cell>
          <cell r="BB77">
            <v>26412</v>
          </cell>
          <cell r="BG77">
            <v>7338</v>
          </cell>
          <cell r="BL77">
            <v>12961</v>
          </cell>
          <cell r="BQ77">
            <v>7473</v>
          </cell>
          <cell r="BV77">
            <v>6871</v>
          </cell>
          <cell r="CA77">
            <v>2820</v>
          </cell>
          <cell r="CF77">
            <v>3692</v>
          </cell>
          <cell r="CK77">
            <v>3487</v>
          </cell>
          <cell r="CP77">
            <v>5311</v>
          </cell>
          <cell r="CU77">
            <v>3950</v>
          </cell>
          <cell r="CZ77">
            <v>4503</v>
          </cell>
          <cell r="DE77">
            <v>17054</v>
          </cell>
        </row>
        <row r="78">
          <cell r="B78" t="str">
            <v>Current lease liabilities (op lease: US GAAP)</v>
          </cell>
          <cell r="C78" t="str">
            <v>ST_LEASE_LIAB</v>
          </cell>
          <cell r="D78" t="str">
            <v>JPY</v>
          </cell>
        </row>
        <row r="79">
          <cell r="B79" t="str">
            <v>Other current liabilities</v>
          </cell>
          <cell r="C79" t="str">
            <v>OTH_CUR_LIABS</v>
          </cell>
          <cell r="D79" t="str">
            <v>JPY</v>
          </cell>
          <cell r="G79">
            <v>20093</v>
          </cell>
          <cell r="H79">
            <v>16796</v>
          </cell>
          <cell r="I79">
            <v>21882</v>
          </cell>
          <cell r="J79">
            <v>21823</v>
          </cell>
          <cell r="K79">
            <v>20795</v>
          </cell>
          <cell r="L79">
            <v>28730</v>
          </cell>
          <cell r="M79">
            <v>22299</v>
          </cell>
          <cell r="N79">
            <v>26941</v>
          </cell>
          <cell r="O79">
            <v>21478</v>
          </cell>
          <cell r="P79">
            <v>22763</v>
          </cell>
          <cell r="S79">
            <v>23982</v>
          </cell>
          <cell r="X79">
            <v>24532</v>
          </cell>
          <cell r="AC79">
            <v>26141</v>
          </cell>
          <cell r="AH79">
            <v>27962</v>
          </cell>
          <cell r="AM79">
            <v>23975</v>
          </cell>
          <cell r="AR79">
            <v>21389</v>
          </cell>
          <cell r="AW79">
            <v>21824</v>
          </cell>
          <cell r="BB79">
            <v>19228</v>
          </cell>
          <cell r="BG79">
            <v>22854</v>
          </cell>
          <cell r="BL79">
            <v>24464</v>
          </cell>
          <cell r="BQ79">
            <v>25340</v>
          </cell>
          <cell r="BV79">
            <v>30417</v>
          </cell>
          <cell r="CA79">
            <v>27859</v>
          </cell>
          <cell r="CF79">
            <v>32254</v>
          </cell>
          <cell r="CK79">
            <v>30370</v>
          </cell>
          <cell r="CP79">
            <v>33066</v>
          </cell>
          <cell r="CU79">
            <v>38664</v>
          </cell>
          <cell r="CZ79">
            <v>19149</v>
          </cell>
          <cell r="DE79">
            <v>20368</v>
          </cell>
        </row>
        <row r="80">
          <cell r="B80" t="str">
            <v>Total current liabilities</v>
          </cell>
          <cell r="C80" t="str">
            <v>SHORT_TERM_LIABS</v>
          </cell>
          <cell r="D80" t="str">
            <v>JPY</v>
          </cell>
          <cell r="F80">
            <v>0</v>
          </cell>
          <cell r="G80">
            <v>63400</v>
          </cell>
          <cell r="H80">
            <v>45377</v>
          </cell>
          <cell r="I80">
            <v>60679</v>
          </cell>
          <cell r="J80">
            <v>50192</v>
          </cell>
          <cell r="K80">
            <v>64980</v>
          </cell>
          <cell r="L80">
            <v>70045</v>
          </cell>
          <cell r="M80">
            <v>61975</v>
          </cell>
          <cell r="N80">
            <v>77369</v>
          </cell>
          <cell r="O80">
            <v>55477</v>
          </cell>
          <cell r="P80">
            <v>51697</v>
          </cell>
          <cell r="S80">
            <v>69353</v>
          </cell>
          <cell r="X80">
            <v>46748</v>
          </cell>
          <cell r="AC80">
            <v>66831</v>
          </cell>
          <cell r="AH80">
            <v>57323</v>
          </cell>
          <cell r="AM80">
            <v>48570</v>
          </cell>
          <cell r="AR80">
            <v>45858</v>
          </cell>
          <cell r="AW80">
            <v>41504</v>
          </cell>
          <cell r="BB80">
            <v>61114</v>
          </cell>
          <cell r="BG80">
            <v>46353</v>
          </cell>
          <cell r="BL80">
            <v>55618</v>
          </cell>
          <cell r="BQ80">
            <v>53579</v>
          </cell>
          <cell r="BV80">
            <v>57567</v>
          </cell>
          <cell r="CA80">
            <v>51875</v>
          </cell>
          <cell r="CF80">
            <v>57481</v>
          </cell>
          <cell r="CK80">
            <v>56240</v>
          </cell>
          <cell r="CP80">
            <v>61791</v>
          </cell>
          <cell r="CU80">
            <v>68144</v>
          </cell>
          <cell r="CZ80">
            <v>83225</v>
          </cell>
          <cell r="DE80">
            <v>98755</v>
          </cell>
        </row>
        <row r="81">
          <cell r="B81" t="str">
            <v>Long-term  debt</v>
          </cell>
          <cell r="C81" t="str">
            <v>LT_DEBT</v>
          </cell>
          <cell r="D81" t="str">
            <v>JPY</v>
          </cell>
          <cell r="G81">
            <v>32233</v>
          </cell>
          <cell r="H81">
            <v>31667</v>
          </cell>
          <cell r="I81">
            <v>24230</v>
          </cell>
          <cell r="J81">
            <v>23479</v>
          </cell>
          <cell r="K81">
            <v>11486</v>
          </cell>
          <cell r="L81">
            <v>24660</v>
          </cell>
          <cell r="M81">
            <v>24660</v>
          </cell>
          <cell r="N81">
            <v>16256</v>
          </cell>
          <cell r="O81">
            <v>23662</v>
          </cell>
          <cell r="P81">
            <v>24723</v>
          </cell>
          <cell r="S81">
            <v>17381</v>
          </cell>
          <cell r="X81">
            <v>55005</v>
          </cell>
          <cell r="AC81">
            <v>41070</v>
          </cell>
          <cell r="AH81">
            <v>61592</v>
          </cell>
          <cell r="AM81">
            <v>86209</v>
          </cell>
          <cell r="AR81">
            <v>81950</v>
          </cell>
          <cell r="AW81">
            <v>79555</v>
          </cell>
          <cell r="BB81">
            <v>87600</v>
          </cell>
          <cell r="BG81">
            <v>85600</v>
          </cell>
          <cell r="BL81">
            <v>63000</v>
          </cell>
          <cell r="BQ81">
            <v>61300</v>
          </cell>
          <cell r="BV81">
            <v>59300</v>
          </cell>
          <cell r="CA81">
            <v>43300</v>
          </cell>
          <cell r="CF81">
            <v>13000</v>
          </cell>
          <cell r="CK81">
            <v>13602</v>
          </cell>
          <cell r="CP81">
            <v>13602</v>
          </cell>
          <cell r="CU81">
            <v>13400</v>
          </cell>
          <cell r="CZ81">
            <v>13000</v>
          </cell>
          <cell r="DE81">
            <v>400</v>
          </cell>
        </row>
        <row r="82">
          <cell r="B82" t="str">
            <v>Non-current lease liabilities (op lease: US GAAP)</v>
          </cell>
          <cell r="C82" t="str">
            <v>LT_LEASE_LIAB</v>
          </cell>
          <cell r="D82" t="str">
            <v>JPY</v>
          </cell>
        </row>
        <row r="83">
          <cell r="B83" t="str">
            <v>Other long-term liabilities</v>
          </cell>
          <cell r="C83" t="str">
            <v>OTH_LT_CRED_GQ</v>
          </cell>
          <cell r="D83" t="str">
            <v>JPY</v>
          </cell>
          <cell r="G83">
            <v>39476</v>
          </cell>
          <cell r="H83">
            <v>39652</v>
          </cell>
          <cell r="I83">
            <v>39981</v>
          </cell>
          <cell r="J83">
            <v>38374</v>
          </cell>
          <cell r="K83">
            <v>38555</v>
          </cell>
          <cell r="L83">
            <v>47679</v>
          </cell>
          <cell r="M83">
            <v>61198</v>
          </cell>
          <cell r="N83">
            <v>50066</v>
          </cell>
          <cell r="O83">
            <v>43684</v>
          </cell>
          <cell r="P83">
            <v>40137</v>
          </cell>
          <cell r="S83">
            <v>39071</v>
          </cell>
          <cell r="X83">
            <v>38021</v>
          </cell>
          <cell r="AC83">
            <v>34175</v>
          </cell>
          <cell r="AH83">
            <v>23957</v>
          </cell>
          <cell r="AM83">
            <v>14277</v>
          </cell>
          <cell r="AR83">
            <v>16281</v>
          </cell>
          <cell r="AW83">
            <v>15208</v>
          </cell>
          <cell r="BB83">
            <v>15305</v>
          </cell>
          <cell r="BG83">
            <v>17830</v>
          </cell>
          <cell r="BL83">
            <v>20078</v>
          </cell>
          <cell r="BQ83">
            <v>25456</v>
          </cell>
          <cell r="BV83">
            <v>23128</v>
          </cell>
          <cell r="CA83">
            <v>21636</v>
          </cell>
          <cell r="CF83">
            <v>20158</v>
          </cell>
          <cell r="CK83">
            <v>21825</v>
          </cell>
          <cell r="CP83">
            <v>34178</v>
          </cell>
          <cell r="CU83">
            <v>34523</v>
          </cell>
          <cell r="CZ83">
            <v>42928</v>
          </cell>
          <cell r="DE83">
            <v>50261</v>
          </cell>
        </row>
        <row r="84">
          <cell r="B84" t="str">
            <v>Total long-term liabilities</v>
          </cell>
          <cell r="C84" t="str">
            <v>TOT_LT_LIAB</v>
          </cell>
          <cell r="D84" t="str">
            <v>JPY</v>
          </cell>
          <cell r="F84">
            <v>0</v>
          </cell>
          <cell r="G84">
            <v>71709</v>
          </cell>
          <cell r="H84">
            <v>71319</v>
          </cell>
          <cell r="I84">
            <v>64211</v>
          </cell>
          <cell r="J84">
            <v>61853</v>
          </cell>
          <cell r="K84">
            <v>50041</v>
          </cell>
          <cell r="L84">
            <v>72339</v>
          </cell>
          <cell r="M84">
            <v>85858</v>
          </cell>
          <cell r="N84">
            <v>66322</v>
          </cell>
          <cell r="O84">
            <v>67346</v>
          </cell>
          <cell r="P84">
            <v>64860</v>
          </cell>
          <cell r="S84">
            <v>56452</v>
          </cell>
          <cell r="X84">
            <v>93026</v>
          </cell>
          <cell r="AC84">
            <v>75245</v>
          </cell>
          <cell r="AH84">
            <v>85549</v>
          </cell>
          <cell r="AM84">
            <v>100486</v>
          </cell>
          <cell r="AR84">
            <v>98231</v>
          </cell>
          <cell r="AW84">
            <v>94763</v>
          </cell>
          <cell r="BB84">
            <v>102905</v>
          </cell>
          <cell r="BG84">
            <v>103430</v>
          </cell>
          <cell r="BL84">
            <v>83078</v>
          </cell>
          <cell r="BQ84">
            <v>86756</v>
          </cell>
          <cell r="BV84">
            <v>82428</v>
          </cell>
          <cell r="CA84">
            <v>64936</v>
          </cell>
          <cell r="CF84">
            <v>33158</v>
          </cell>
          <cell r="CK84">
            <v>35427</v>
          </cell>
          <cell r="CP84">
            <v>47780</v>
          </cell>
          <cell r="CU84">
            <v>47923</v>
          </cell>
          <cell r="CZ84">
            <v>55928</v>
          </cell>
          <cell r="DE84">
            <v>50661</v>
          </cell>
        </row>
        <row r="85">
          <cell r="B85" t="str">
            <v>Total liabilities</v>
          </cell>
          <cell r="C85" t="str">
            <v>TOT_LIAB</v>
          </cell>
          <cell r="D85" t="str">
            <v>JPY</v>
          </cell>
          <cell r="G85">
            <v>135109</v>
          </cell>
          <cell r="H85">
            <v>116696</v>
          </cell>
          <cell r="I85">
            <v>124890</v>
          </cell>
          <cell r="J85">
            <v>112045</v>
          </cell>
          <cell r="K85">
            <v>115021</v>
          </cell>
          <cell r="L85">
            <v>142384</v>
          </cell>
          <cell r="M85">
            <v>147833</v>
          </cell>
          <cell r="N85">
            <v>143691</v>
          </cell>
          <cell r="O85">
            <v>122823</v>
          </cell>
          <cell r="P85">
            <v>116557</v>
          </cell>
          <cell r="S85">
            <v>125805</v>
          </cell>
          <cell r="X85">
            <v>139774</v>
          </cell>
          <cell r="AC85">
            <v>142076</v>
          </cell>
          <cell r="AH85">
            <v>142872</v>
          </cell>
          <cell r="AM85">
            <v>149056</v>
          </cell>
          <cell r="AR85">
            <v>144089</v>
          </cell>
          <cell r="AW85">
            <v>136267</v>
          </cell>
          <cell r="BB85">
            <v>164019</v>
          </cell>
          <cell r="BG85">
            <v>149783</v>
          </cell>
          <cell r="BL85">
            <v>138696</v>
          </cell>
          <cell r="BQ85">
            <v>140335</v>
          </cell>
          <cell r="BV85">
            <v>139995</v>
          </cell>
          <cell r="CA85">
            <v>116811</v>
          </cell>
          <cell r="CF85">
            <v>90639</v>
          </cell>
          <cell r="CK85">
            <v>91667</v>
          </cell>
          <cell r="CP85">
            <v>109571</v>
          </cell>
          <cell r="CU85">
            <v>116067</v>
          </cell>
          <cell r="CZ85">
            <v>139153</v>
          </cell>
          <cell r="DE85">
            <v>149416</v>
          </cell>
        </row>
        <row r="86">
          <cell r="B86" t="str">
            <v>Preferred shares</v>
          </cell>
          <cell r="C86" t="str">
            <v>PREF_SH</v>
          </cell>
          <cell r="D86" t="str">
            <v>JPY</v>
          </cell>
        </row>
        <row r="87">
          <cell r="B87" t="str">
            <v>Total common equity</v>
          </cell>
          <cell r="C87" t="str">
            <v>ORD_SH_FUND</v>
          </cell>
          <cell r="D87" t="str">
            <v>JPY</v>
          </cell>
          <cell r="G87">
            <v>92772</v>
          </cell>
          <cell r="H87">
            <v>100758</v>
          </cell>
          <cell r="I87">
            <v>105005</v>
          </cell>
          <cell r="J87">
            <v>108790</v>
          </cell>
          <cell r="K87">
            <v>112639</v>
          </cell>
          <cell r="L87">
            <v>119503</v>
          </cell>
          <cell r="M87">
            <v>120595</v>
          </cell>
          <cell r="N87">
            <v>132313</v>
          </cell>
          <cell r="O87">
            <v>131806</v>
          </cell>
          <cell r="P87">
            <v>141849</v>
          </cell>
          <cell r="S87">
            <v>147370</v>
          </cell>
          <cell r="X87">
            <v>168676</v>
          </cell>
          <cell r="AC87">
            <v>175523</v>
          </cell>
          <cell r="AH87">
            <v>167256</v>
          </cell>
          <cell r="AM87">
            <v>160173</v>
          </cell>
          <cell r="AR87">
            <v>165463</v>
          </cell>
          <cell r="AW87">
            <v>160910</v>
          </cell>
          <cell r="BB87">
            <v>165942</v>
          </cell>
          <cell r="BG87">
            <v>186682</v>
          </cell>
          <cell r="BL87">
            <v>209204</v>
          </cell>
          <cell r="BQ87">
            <v>236509</v>
          </cell>
          <cell r="BV87">
            <v>223685</v>
          </cell>
          <cell r="CA87">
            <v>240010</v>
          </cell>
          <cell r="CF87">
            <v>248073</v>
          </cell>
          <cell r="CK87">
            <v>265429</v>
          </cell>
          <cell r="CP87">
            <v>272435</v>
          </cell>
          <cell r="CU87">
            <v>305983</v>
          </cell>
          <cell r="CZ87">
            <v>357817</v>
          </cell>
          <cell r="DE87">
            <v>410514</v>
          </cell>
        </row>
        <row r="88">
          <cell r="B88" t="str">
            <v>Minority interest</v>
          </cell>
          <cell r="C88" t="str">
            <v>MINORITIES</v>
          </cell>
          <cell r="D88" t="str">
            <v>JPY</v>
          </cell>
          <cell r="G88">
            <v>427</v>
          </cell>
          <cell r="H88">
            <v>387</v>
          </cell>
          <cell r="I88">
            <v>400</v>
          </cell>
          <cell r="J88">
            <v>344</v>
          </cell>
          <cell r="K88">
            <v>363</v>
          </cell>
          <cell r="L88">
            <v>20223</v>
          </cell>
          <cell r="M88">
            <v>19131</v>
          </cell>
          <cell r="N88">
            <v>18523</v>
          </cell>
          <cell r="O88">
            <v>19273</v>
          </cell>
          <cell r="P88">
            <v>20196</v>
          </cell>
          <cell r="S88">
            <v>22627</v>
          </cell>
          <cell r="X88">
            <v>23331</v>
          </cell>
          <cell r="AC88">
            <v>31396</v>
          </cell>
          <cell r="AH88">
            <v>32159</v>
          </cell>
          <cell r="AM88">
            <v>1644</v>
          </cell>
          <cell r="AR88">
            <v>1623</v>
          </cell>
          <cell r="AW88">
            <v>1690</v>
          </cell>
          <cell r="BB88">
            <v>1410</v>
          </cell>
          <cell r="BG88">
            <v>1174</v>
          </cell>
          <cell r="BL88">
            <v>1203</v>
          </cell>
          <cell r="BQ88">
            <v>1922</v>
          </cell>
          <cell r="BV88">
            <v>1991</v>
          </cell>
          <cell r="CA88">
            <v>4427</v>
          </cell>
          <cell r="CF88">
            <v>5216</v>
          </cell>
          <cell r="CK88">
            <v>5022</v>
          </cell>
          <cell r="CP88">
            <v>5322</v>
          </cell>
          <cell r="CU88">
            <v>5419</v>
          </cell>
          <cell r="CZ88">
            <v>6091</v>
          </cell>
          <cell r="DE88">
            <v>6456</v>
          </cell>
        </row>
        <row r="89">
          <cell r="B89" t="str">
            <v>Total shareholders' equity</v>
          </cell>
          <cell r="C89" t="str">
            <v>EQ</v>
          </cell>
          <cell r="D89" t="str">
            <v>JPY</v>
          </cell>
          <cell r="F89">
            <v>0</v>
          </cell>
          <cell r="G89">
            <v>93199</v>
          </cell>
          <cell r="H89">
            <v>101145</v>
          </cell>
          <cell r="I89">
            <v>105405</v>
          </cell>
          <cell r="J89">
            <v>109134</v>
          </cell>
          <cell r="K89">
            <v>113002</v>
          </cell>
          <cell r="L89">
            <v>139726</v>
          </cell>
          <cell r="M89">
            <v>139726</v>
          </cell>
          <cell r="N89">
            <v>150836</v>
          </cell>
          <cell r="O89">
            <v>151079</v>
          </cell>
          <cell r="P89">
            <v>162045</v>
          </cell>
          <cell r="S89">
            <v>169997</v>
          </cell>
          <cell r="X89">
            <v>192007</v>
          </cell>
          <cell r="AC89">
            <v>206919</v>
          </cell>
          <cell r="AH89">
            <v>199415</v>
          </cell>
          <cell r="AM89">
            <v>161817</v>
          </cell>
          <cell r="AR89">
            <v>167086</v>
          </cell>
          <cell r="AW89">
            <v>162600</v>
          </cell>
          <cell r="BB89">
            <v>167352</v>
          </cell>
          <cell r="BG89">
            <v>187856</v>
          </cell>
          <cell r="BL89">
            <v>210407</v>
          </cell>
          <cell r="BQ89">
            <v>238431</v>
          </cell>
          <cell r="BV89">
            <v>225676</v>
          </cell>
          <cell r="CA89">
            <v>244437</v>
          </cell>
          <cell r="CF89">
            <v>253289</v>
          </cell>
          <cell r="CK89">
            <v>270452</v>
          </cell>
          <cell r="CP89">
            <v>277757</v>
          </cell>
          <cell r="CU89">
            <v>311402</v>
          </cell>
          <cell r="CZ89">
            <v>363908</v>
          </cell>
          <cell r="DE89">
            <v>416970</v>
          </cell>
        </row>
        <row r="90">
          <cell r="B90" t="str">
            <v>Total liabilities and equity</v>
          </cell>
          <cell r="C90" t="str">
            <v>TOT_LIAB_EQ</v>
          </cell>
          <cell r="D90" t="str">
            <v>JPY</v>
          </cell>
          <cell r="F90">
            <v>0</v>
          </cell>
          <cell r="G90">
            <v>228308</v>
          </cell>
          <cell r="H90">
            <v>217841</v>
          </cell>
          <cell r="I90">
            <v>230295</v>
          </cell>
          <cell r="J90">
            <v>221179</v>
          </cell>
          <cell r="K90">
            <v>228023</v>
          </cell>
          <cell r="L90">
            <v>282110</v>
          </cell>
          <cell r="M90">
            <v>287559</v>
          </cell>
          <cell r="N90">
            <v>294527</v>
          </cell>
          <cell r="O90">
            <v>273902</v>
          </cell>
          <cell r="P90">
            <v>278602</v>
          </cell>
          <cell r="S90">
            <v>295802</v>
          </cell>
          <cell r="X90">
            <v>331781</v>
          </cell>
          <cell r="AC90">
            <v>348995</v>
          </cell>
          <cell r="AH90">
            <v>342287</v>
          </cell>
          <cell r="AM90">
            <v>310873</v>
          </cell>
          <cell r="AR90">
            <v>311175</v>
          </cell>
          <cell r="AW90">
            <v>298867</v>
          </cell>
          <cell r="BB90">
            <v>331371</v>
          </cell>
          <cell r="BG90">
            <v>337639</v>
          </cell>
          <cell r="BL90">
            <v>349103</v>
          </cell>
          <cell r="BQ90">
            <v>378766</v>
          </cell>
          <cell r="BV90">
            <v>365671</v>
          </cell>
          <cell r="CA90">
            <v>361248</v>
          </cell>
          <cell r="CF90">
            <v>343929</v>
          </cell>
          <cell r="CK90">
            <v>362119</v>
          </cell>
          <cell r="CP90">
            <v>387329</v>
          </cell>
          <cell r="CU90">
            <v>427470</v>
          </cell>
          <cell r="CZ90">
            <v>503061</v>
          </cell>
          <cell r="DE90">
            <v>566386</v>
          </cell>
        </row>
        <row r="91">
          <cell r="A91" t="str">
            <v>Additional Balance Sheet Items</v>
          </cell>
        </row>
        <row r="92">
          <cell r="B92" t="str">
            <v>Total US$ debt (in US$)</v>
          </cell>
          <cell r="C92" t="str">
            <v>TOT_USD_DEBT</v>
          </cell>
          <cell r="BV92">
            <v>0</v>
          </cell>
          <cell r="CA92">
            <v>0</v>
          </cell>
          <cell r="CF92">
            <v>0</v>
          </cell>
          <cell r="CK92">
            <v>0</v>
          </cell>
          <cell r="CP92">
            <v>0</v>
          </cell>
          <cell r="CU92">
            <v>0</v>
          </cell>
          <cell r="CZ92">
            <v>0</v>
          </cell>
          <cell r="DE92">
            <v>0</v>
          </cell>
        </row>
        <row r="93">
          <cell r="B93" t="str">
            <v>% US$ debt hedged (principal)</v>
          </cell>
          <cell r="C93" t="str">
            <v>TOT_PCT_USD_DEBT_HEDGED</v>
          </cell>
          <cell r="BV93">
            <v>0</v>
          </cell>
          <cell r="CA93">
            <v>0</v>
          </cell>
          <cell r="CF93">
            <v>0</v>
          </cell>
          <cell r="CK93">
            <v>0</v>
          </cell>
          <cell r="CP93">
            <v>0</v>
          </cell>
          <cell r="CU93">
            <v>0</v>
          </cell>
          <cell r="CZ93">
            <v>0</v>
          </cell>
          <cell r="DE93">
            <v>0</v>
          </cell>
        </row>
        <row r="94">
          <cell r="B94" t="str">
            <v>% Floating debt (local currency debt)</v>
          </cell>
          <cell r="C94" t="str">
            <v>FLOATING_PCT_LOCAL_DEBT</v>
          </cell>
          <cell r="BV94">
            <v>0</v>
          </cell>
        </row>
        <row r="95">
          <cell r="B95" t="str">
            <v>% floating debt hedged (rates)</v>
          </cell>
          <cell r="C95" t="str">
            <v>FLOATING_PCT_LOCAL_DEBT_HEDGED</v>
          </cell>
          <cell r="BV95">
            <v>0</v>
          </cell>
        </row>
        <row r="96">
          <cell r="B96" t="str">
            <v>Net debt</v>
          </cell>
          <cell r="C96" t="str">
            <v>NET_DEBT</v>
          </cell>
          <cell r="D96" t="str">
            <v>JPY</v>
          </cell>
          <cell r="G96">
            <v>22156</v>
          </cell>
          <cell r="H96">
            <v>19337</v>
          </cell>
          <cell r="I96">
            <v>15334</v>
          </cell>
          <cell r="J96">
            <v>17307</v>
          </cell>
          <cell r="K96">
            <v>19277</v>
          </cell>
          <cell r="L96">
            <v>22156</v>
          </cell>
          <cell r="M96">
            <v>23322</v>
          </cell>
          <cell r="N96">
            <v>19780</v>
          </cell>
          <cell r="O96">
            <v>10795</v>
          </cell>
          <cell r="P96">
            <v>15388</v>
          </cell>
          <cell r="S96">
            <v>28905</v>
          </cell>
          <cell r="X96">
            <v>27343</v>
          </cell>
          <cell r="AC96">
            <v>41013</v>
          </cell>
          <cell r="AH96">
            <v>39420</v>
          </cell>
          <cell r="AM96">
            <v>67965</v>
          </cell>
          <cell r="AR96">
            <v>65114</v>
          </cell>
          <cell r="AW96">
            <v>54231</v>
          </cell>
          <cell r="BB96">
            <v>65940</v>
          </cell>
          <cell r="BG96">
            <v>62209</v>
          </cell>
          <cell r="BL96">
            <v>47266</v>
          </cell>
          <cell r="BQ96">
            <v>33935</v>
          </cell>
          <cell r="BV96">
            <v>29642</v>
          </cell>
          <cell r="CA96">
            <v>-361</v>
          </cell>
          <cell r="CF96">
            <v>-8396</v>
          </cell>
          <cell r="CK96">
            <v>-13073</v>
          </cell>
          <cell r="CP96">
            <v>-11175</v>
          </cell>
          <cell r="CU96">
            <v>-38328</v>
          </cell>
          <cell r="CZ96">
            <v>-61726</v>
          </cell>
          <cell r="DE96">
            <v>-81893</v>
          </cell>
        </row>
        <row r="97">
          <cell r="B97" t="str">
            <v>Capitalized operating leases (off-balance sheet)</v>
          </cell>
          <cell r="C97" t="str">
            <v>CAP_LEASES</v>
          </cell>
          <cell r="D97" t="str">
            <v>JPY</v>
          </cell>
        </row>
        <row r="98">
          <cell r="B98" t="str">
            <v>Deferred income taxes</v>
          </cell>
          <cell r="C98" t="str">
            <v>DEF_INC_TAX</v>
          </cell>
          <cell r="D98" t="str">
            <v>JPY</v>
          </cell>
        </row>
        <row r="99">
          <cell r="B99" t="str">
            <v>Associates (mkt value) used in EV calculation</v>
          </cell>
          <cell r="C99" t="str">
            <v>MV_ASSOCIATES</v>
          </cell>
          <cell r="D99" t="str">
            <v>JPY</v>
          </cell>
        </row>
        <row r="100">
          <cell r="B100" t="str">
            <v>Net debt adjustment</v>
          </cell>
          <cell r="C100" t="str">
            <v>NET_DEBT_ADJ</v>
          </cell>
          <cell r="D100" t="str">
            <v>JPY</v>
          </cell>
        </row>
        <row r="101">
          <cell r="B101" t="str">
            <v>Company borrowing margin</v>
          </cell>
          <cell r="C101" t="str">
            <v>CO_BOR_MARGIN</v>
          </cell>
          <cell r="G101">
            <v>2.9922488022999998E-2</v>
          </cell>
          <cell r="H101">
            <v>3.5372589890999999E-2</v>
          </cell>
          <cell r="I101">
            <v>2.8280676843000001E-2</v>
          </cell>
          <cell r="J101">
            <v>3.8545829572999998E-2</v>
          </cell>
          <cell r="K101">
            <v>2.7994396450999999E-2</v>
          </cell>
          <cell r="L101">
            <v>2.7276460121999999E-2</v>
          </cell>
          <cell r="M101">
            <v>2.9869139135E-2</v>
          </cell>
          <cell r="N101">
            <v>2.3681459660000001E-2</v>
          </cell>
          <cell r="O101">
            <v>2.0708303106000001E-2</v>
          </cell>
          <cell r="P101">
            <v>1.546253683E-2</v>
          </cell>
          <cell r="S101">
            <v>1.0974601061000001E-2</v>
          </cell>
          <cell r="X101">
            <v>1.0339965533E-2</v>
          </cell>
          <cell r="AC101">
            <v>1.5980341280000001E-2</v>
          </cell>
          <cell r="AH101">
            <v>1.4581181714E-2</v>
          </cell>
          <cell r="AM101">
            <v>1.5110881898E-2</v>
          </cell>
          <cell r="AR101">
            <v>1.6787797023000001E-2</v>
          </cell>
          <cell r="AW101">
            <v>1.7090380456E-2</v>
          </cell>
          <cell r="BB101">
            <v>1.3200364874E-2</v>
          </cell>
          <cell r="BG101">
            <v>1.6892982418E-2</v>
          </cell>
          <cell r="BL101">
            <v>2.0760653492999999E-2</v>
          </cell>
          <cell r="BQ101">
            <v>1.6532650895000001E-2</v>
          </cell>
          <cell r="BV101">
            <v>1.6124888545999999E-2</v>
          </cell>
          <cell r="CA101">
            <v>1.6522116218999999E-2</v>
          </cell>
          <cell r="CF101">
            <v>1.8212317278E-2</v>
          </cell>
          <cell r="CK101">
            <v>7.6657498980000002E-3</v>
          </cell>
          <cell r="CP101">
            <v>2.4533389732000001E-2</v>
          </cell>
          <cell r="CU101">
            <v>3.0489913545E-2</v>
          </cell>
          <cell r="CZ101">
            <v>0.39244700908399999</v>
          </cell>
          <cell r="DE101">
            <v>0.38610060731099999</v>
          </cell>
        </row>
        <row r="102">
          <cell r="B102" t="str">
            <v>Unfunded pensions &amp; other provisions</v>
          </cell>
          <cell r="C102" t="str">
            <v>UNF_PENS</v>
          </cell>
          <cell r="D102" t="str">
            <v>JPY</v>
          </cell>
        </row>
        <row r="103">
          <cell r="B103" t="str">
            <v>Unfunded pension liabilities (off balance sheet)</v>
          </cell>
          <cell r="C103" t="str">
            <v>UNF_PENS_OFF</v>
          </cell>
          <cell r="D103" t="str">
            <v>JPY</v>
          </cell>
        </row>
        <row r="104">
          <cell r="B104" t="str">
            <v>Unfunded pension liabilities &amp; other, used in EV</v>
          </cell>
          <cell r="C104" t="str">
            <v>UNF_PENS_LIAB_OTH</v>
          </cell>
          <cell r="D104" t="str">
            <v>JPY</v>
          </cell>
        </row>
        <row r="105">
          <cell r="B105" t="str">
            <v>Adjustment for unfunded pensions &amp; goodwill</v>
          </cell>
          <cell r="C105" t="str">
            <v>ADJ_UNF_PENS_GOOD</v>
          </cell>
          <cell r="D105" t="str">
            <v>JPY</v>
          </cell>
        </row>
        <row r="106">
          <cell r="B106" t="str">
            <v>Other GCI adjustments</v>
          </cell>
          <cell r="C106" t="str">
            <v>OTH_GCI_ADJ</v>
          </cell>
          <cell r="D106" t="str">
            <v>JPY</v>
          </cell>
        </row>
        <row r="107">
          <cell r="B107" t="str">
            <v>GCI inflator</v>
          </cell>
          <cell r="C107" t="str">
            <v>GCI_INFL</v>
          </cell>
        </row>
        <row r="108">
          <cell r="B108" t="str">
            <v>Minority interest</v>
          </cell>
          <cell r="C108" t="str">
            <v>BAL_MINO_INT</v>
          </cell>
          <cell r="D108" t="str">
            <v>JPY</v>
          </cell>
          <cell r="G108">
            <v>427</v>
          </cell>
          <cell r="H108">
            <v>387</v>
          </cell>
          <cell r="I108">
            <v>400</v>
          </cell>
          <cell r="J108">
            <v>344</v>
          </cell>
          <cell r="K108">
            <v>363</v>
          </cell>
          <cell r="L108">
            <v>20223</v>
          </cell>
          <cell r="M108">
            <v>19131</v>
          </cell>
          <cell r="N108">
            <v>18523</v>
          </cell>
          <cell r="O108">
            <v>19273</v>
          </cell>
          <cell r="P108">
            <v>20196</v>
          </cell>
          <cell r="S108">
            <v>22627</v>
          </cell>
          <cell r="X108">
            <v>23331</v>
          </cell>
          <cell r="AC108">
            <v>31396</v>
          </cell>
          <cell r="AH108">
            <v>32159</v>
          </cell>
          <cell r="AM108">
            <v>1644</v>
          </cell>
          <cell r="AR108">
            <v>1623</v>
          </cell>
          <cell r="AW108">
            <v>1690</v>
          </cell>
          <cell r="BB108">
            <v>1410</v>
          </cell>
          <cell r="BG108">
            <v>1174</v>
          </cell>
          <cell r="BL108">
            <v>1203</v>
          </cell>
          <cell r="BQ108">
            <v>1922</v>
          </cell>
          <cell r="BV108">
            <v>1991</v>
          </cell>
          <cell r="CA108">
            <v>4427</v>
          </cell>
          <cell r="CF108">
            <v>5216</v>
          </cell>
          <cell r="CK108">
            <v>5022</v>
          </cell>
          <cell r="CP108">
            <v>5322</v>
          </cell>
          <cell r="CU108">
            <v>5419</v>
          </cell>
          <cell r="CZ108">
            <v>6091</v>
          </cell>
          <cell r="DE108">
            <v>6456</v>
          </cell>
        </row>
        <row r="109">
          <cell r="B109" t="str">
            <v>Cash &amp; cash equivalents</v>
          </cell>
          <cell r="C109" t="str">
            <v>CASH_EQ_JPN</v>
          </cell>
          <cell r="D109" t="str">
            <v>JPY</v>
          </cell>
          <cell r="F109">
            <v>0</v>
          </cell>
          <cell r="G109">
            <v>40673</v>
          </cell>
          <cell r="H109">
            <v>28638</v>
          </cell>
          <cell r="I109">
            <v>35372</v>
          </cell>
          <cell r="J109">
            <v>21478</v>
          </cell>
          <cell r="K109">
            <v>23553</v>
          </cell>
          <cell r="L109">
            <v>28987</v>
          </cell>
          <cell r="M109">
            <v>27801</v>
          </cell>
          <cell r="N109">
            <v>32835</v>
          </cell>
          <cell r="O109">
            <v>34694</v>
          </cell>
          <cell r="P109">
            <v>25679</v>
          </cell>
          <cell r="S109">
            <v>20664</v>
          </cell>
          <cell r="X109">
            <v>36487</v>
          </cell>
          <cell r="AC109">
            <v>24505</v>
          </cell>
          <cell r="AH109">
            <v>34168</v>
          </cell>
          <cell r="AM109">
            <v>28985</v>
          </cell>
          <cell r="AR109">
            <v>26798</v>
          </cell>
          <cell r="AW109">
            <v>30378</v>
          </cell>
          <cell r="BB109">
            <v>48072</v>
          </cell>
          <cell r="BG109">
            <v>30729</v>
          </cell>
          <cell r="BL109">
            <v>28695</v>
          </cell>
          <cell r="BQ109">
            <v>34838</v>
          </cell>
          <cell r="BV109">
            <v>36529</v>
          </cell>
          <cell r="CA109">
            <v>46481</v>
          </cell>
          <cell r="CF109">
            <v>25088</v>
          </cell>
          <cell r="CK109">
            <v>30162</v>
          </cell>
          <cell r="CP109">
            <v>30088</v>
          </cell>
          <cell r="CU109">
            <v>55678</v>
          </cell>
          <cell r="CZ109">
            <v>79229</v>
          </cell>
          <cell r="DE109">
            <v>99347</v>
          </cell>
        </row>
        <row r="110">
          <cell r="B110" t="str">
            <v>Other current assets</v>
          </cell>
          <cell r="C110" t="str">
            <v>OTH_CUR_ASS_JPN</v>
          </cell>
          <cell r="D110" t="str">
            <v>JPY</v>
          </cell>
          <cell r="F110">
            <v>0</v>
          </cell>
          <cell r="G110">
            <v>3439</v>
          </cell>
          <cell r="H110">
            <v>3397</v>
          </cell>
          <cell r="I110">
            <v>3824</v>
          </cell>
          <cell r="J110">
            <v>4072</v>
          </cell>
          <cell r="K110">
            <v>3983</v>
          </cell>
          <cell r="L110">
            <v>7232</v>
          </cell>
          <cell r="M110">
            <v>9006</v>
          </cell>
          <cell r="N110">
            <v>13531</v>
          </cell>
          <cell r="O110">
            <v>7881</v>
          </cell>
          <cell r="P110">
            <v>9901</v>
          </cell>
          <cell r="S110">
            <v>10772</v>
          </cell>
          <cell r="X110">
            <v>11648</v>
          </cell>
          <cell r="AC110">
            <v>12287</v>
          </cell>
          <cell r="AH110">
            <v>16901</v>
          </cell>
          <cell r="AM110">
            <v>15506</v>
          </cell>
          <cell r="AR110">
            <v>14654</v>
          </cell>
          <cell r="AW110">
            <v>9476</v>
          </cell>
          <cell r="BB110">
            <v>9456</v>
          </cell>
          <cell r="BG110">
            <v>12957</v>
          </cell>
          <cell r="BL110">
            <v>15147</v>
          </cell>
          <cell r="BQ110">
            <v>16183</v>
          </cell>
          <cell r="BV110">
            <v>9783</v>
          </cell>
          <cell r="CA110">
            <v>16415</v>
          </cell>
          <cell r="CF110">
            <v>7161</v>
          </cell>
          <cell r="CK110">
            <v>7514</v>
          </cell>
          <cell r="CP110">
            <v>8545</v>
          </cell>
          <cell r="CU110">
            <v>12351</v>
          </cell>
          <cell r="CZ110">
            <v>8856</v>
          </cell>
          <cell r="DE110">
            <v>14572</v>
          </cell>
        </row>
        <row r="111">
          <cell r="B111" t="str">
            <v>Right-of-use assets (op lease assets under US GAAP)</v>
          </cell>
          <cell r="C111" t="str">
            <v>ROU_ASSET</v>
          </cell>
          <cell r="D111" t="str">
            <v>JPY</v>
          </cell>
        </row>
        <row r="112">
          <cell r="A112" t="str">
            <v>Cash Flow Statement</v>
          </cell>
        </row>
        <row r="113">
          <cell r="B113" t="str">
            <v>Minority interest add-back</v>
          </cell>
          <cell r="C113" t="str">
            <v>CF_INC_MINORITY</v>
          </cell>
          <cell r="D113" t="str">
            <v>JPY</v>
          </cell>
          <cell r="K113">
            <v>-21</v>
          </cell>
          <cell r="L113">
            <v>-461</v>
          </cell>
          <cell r="M113">
            <v>435</v>
          </cell>
          <cell r="N113">
            <v>441</v>
          </cell>
          <cell r="O113">
            <v>-1414</v>
          </cell>
          <cell r="P113">
            <v>-1241</v>
          </cell>
          <cell r="S113">
            <v>-1106</v>
          </cell>
          <cell r="X113">
            <v>1002</v>
          </cell>
          <cell r="AC113">
            <v>1793</v>
          </cell>
          <cell r="AH113">
            <v>1452</v>
          </cell>
          <cell r="AM113">
            <v>724</v>
          </cell>
          <cell r="AR113">
            <v>85</v>
          </cell>
          <cell r="AW113">
            <v>83</v>
          </cell>
          <cell r="BB113">
            <v>51</v>
          </cell>
          <cell r="BG113">
            <v>102</v>
          </cell>
          <cell r="BL113">
            <v>5</v>
          </cell>
          <cell r="BQ113">
            <v>110</v>
          </cell>
          <cell r="BV113">
            <v>201</v>
          </cell>
          <cell r="CA113">
            <v>53</v>
          </cell>
          <cell r="CF113">
            <v>311</v>
          </cell>
          <cell r="CK113">
            <v>411</v>
          </cell>
          <cell r="CP113">
            <v>409</v>
          </cell>
          <cell r="CU113">
            <v>460</v>
          </cell>
          <cell r="CZ113">
            <v>441</v>
          </cell>
          <cell r="DE113">
            <v>466</v>
          </cell>
        </row>
        <row r="114">
          <cell r="B114" t="str">
            <v>Depreciation &amp; amortization add-back</v>
          </cell>
          <cell r="C114" t="str">
            <v>DEPR_AMORT</v>
          </cell>
          <cell r="D114" t="str">
            <v>JPY</v>
          </cell>
          <cell r="K114">
            <v>9950</v>
          </cell>
          <cell r="L114">
            <v>15919</v>
          </cell>
          <cell r="M114">
            <v>17681</v>
          </cell>
          <cell r="N114">
            <v>16437</v>
          </cell>
          <cell r="O114">
            <v>15028</v>
          </cell>
          <cell r="P114">
            <v>13847</v>
          </cell>
          <cell r="S114">
            <v>13622</v>
          </cell>
          <cell r="X114">
            <v>14223</v>
          </cell>
          <cell r="AC114">
            <v>16290</v>
          </cell>
          <cell r="AH114">
            <v>17660</v>
          </cell>
          <cell r="AM114">
            <v>17239</v>
          </cell>
          <cell r="AR114">
            <v>12036</v>
          </cell>
          <cell r="AW114">
            <v>12150</v>
          </cell>
          <cell r="BB114">
            <v>12611</v>
          </cell>
          <cell r="BG114">
            <v>12160</v>
          </cell>
          <cell r="BL114">
            <v>12983</v>
          </cell>
          <cell r="BQ114">
            <v>14401</v>
          </cell>
          <cell r="BV114">
            <v>11936</v>
          </cell>
          <cell r="CA114">
            <v>12339</v>
          </cell>
          <cell r="CF114">
            <v>13159</v>
          </cell>
          <cell r="CK114">
            <v>13258</v>
          </cell>
          <cell r="CP114">
            <v>13832</v>
          </cell>
          <cell r="CU114">
            <v>14926</v>
          </cell>
          <cell r="CZ114">
            <v>20030</v>
          </cell>
          <cell r="DE114">
            <v>22240</v>
          </cell>
        </row>
        <row r="115">
          <cell r="B115" t="str">
            <v>(Increase)/decrease in working capital</v>
          </cell>
          <cell r="C115" t="str">
            <v>WORK_CAP</v>
          </cell>
          <cell r="D115" t="str">
            <v>JPY</v>
          </cell>
          <cell r="L115">
            <v>3006</v>
          </cell>
          <cell r="M115">
            <v>11216</v>
          </cell>
          <cell r="N115">
            <v>2541</v>
          </cell>
          <cell r="O115">
            <v>525</v>
          </cell>
          <cell r="P115">
            <v>259</v>
          </cell>
          <cell r="S115">
            <v>-3355</v>
          </cell>
          <cell r="X115">
            <v>213</v>
          </cell>
          <cell r="AC115">
            <v>-2071</v>
          </cell>
          <cell r="AH115">
            <v>1159</v>
          </cell>
          <cell r="AM115">
            <v>-5783</v>
          </cell>
          <cell r="AR115">
            <v>-4127</v>
          </cell>
          <cell r="AW115">
            <v>1312</v>
          </cell>
          <cell r="BB115">
            <v>-6277</v>
          </cell>
          <cell r="BG115">
            <v>-2775</v>
          </cell>
          <cell r="BL115">
            <v>-2585</v>
          </cell>
          <cell r="BQ115">
            <v>-2772</v>
          </cell>
          <cell r="BV115">
            <v>-3526</v>
          </cell>
          <cell r="CA115">
            <v>-2990</v>
          </cell>
          <cell r="CF115">
            <v>-7893</v>
          </cell>
          <cell r="CK115">
            <v>-5468</v>
          </cell>
          <cell r="CP115">
            <v>-3152</v>
          </cell>
          <cell r="CU115">
            <v>1851</v>
          </cell>
          <cell r="CZ115">
            <v>-13467</v>
          </cell>
          <cell r="DE115">
            <v>-9472</v>
          </cell>
        </row>
        <row r="116">
          <cell r="B116" t="str">
            <v>Other operating cash flow items</v>
          </cell>
          <cell r="C116" t="str">
            <v>OTH_OP_CF</v>
          </cell>
          <cell r="D116" t="str">
            <v>JPY</v>
          </cell>
          <cell r="K116">
            <v>-15215</v>
          </cell>
          <cell r="L116">
            <v>-2489</v>
          </cell>
          <cell r="M116">
            <v>-9709</v>
          </cell>
          <cell r="N116">
            <v>-2210</v>
          </cell>
          <cell r="O116">
            <v>-2438</v>
          </cell>
          <cell r="P116">
            <v>-1701</v>
          </cell>
          <cell r="S116">
            <v>1757</v>
          </cell>
          <cell r="X116">
            <v>-3710</v>
          </cell>
          <cell r="AC116">
            <v>-2583</v>
          </cell>
          <cell r="AH116">
            <v>-8018</v>
          </cell>
          <cell r="AM116">
            <v>6517</v>
          </cell>
          <cell r="AR116">
            <v>1698</v>
          </cell>
          <cell r="AW116">
            <v>1560</v>
          </cell>
          <cell r="BB116">
            <v>1161</v>
          </cell>
          <cell r="BG116">
            <v>7193</v>
          </cell>
          <cell r="BL116">
            <v>5164</v>
          </cell>
          <cell r="BQ116">
            <v>5629</v>
          </cell>
          <cell r="BV116">
            <v>6772</v>
          </cell>
          <cell r="CA116">
            <v>-6136</v>
          </cell>
          <cell r="CF116">
            <v>7792</v>
          </cell>
          <cell r="CK116">
            <v>3620</v>
          </cell>
          <cell r="CP116">
            <v>617</v>
          </cell>
          <cell r="CU116">
            <v>9515</v>
          </cell>
          <cell r="CZ116">
            <v>11649</v>
          </cell>
          <cell r="DE116">
            <v>10150</v>
          </cell>
        </row>
        <row r="117">
          <cell r="B117" t="str">
            <v>Cash flow from operating activities</v>
          </cell>
          <cell r="C117" t="str">
            <v>CF_OPS</v>
          </cell>
          <cell r="D117" t="str">
            <v>JPY</v>
          </cell>
          <cell r="K117">
            <v>0</v>
          </cell>
          <cell r="L117">
            <v>22125</v>
          </cell>
          <cell r="M117">
            <v>25367</v>
          </cell>
          <cell r="N117">
            <v>22572</v>
          </cell>
          <cell r="O117">
            <v>20012</v>
          </cell>
          <cell r="P117">
            <v>20451</v>
          </cell>
          <cell r="S117">
            <v>20405</v>
          </cell>
          <cell r="X117">
            <v>21853</v>
          </cell>
          <cell r="AC117">
            <v>24168</v>
          </cell>
          <cell r="AH117">
            <v>23700</v>
          </cell>
          <cell r="AM117">
            <v>21443</v>
          </cell>
          <cell r="AR117">
            <v>18294</v>
          </cell>
          <cell r="AW117">
            <v>22875</v>
          </cell>
          <cell r="BB117">
            <v>16529</v>
          </cell>
          <cell r="BG117">
            <v>27686</v>
          </cell>
          <cell r="BL117">
            <v>28126</v>
          </cell>
          <cell r="BQ117">
            <v>32750</v>
          </cell>
          <cell r="BV117">
            <v>35347</v>
          </cell>
          <cell r="CA117">
            <v>27076</v>
          </cell>
          <cell r="CF117">
            <v>37215</v>
          </cell>
          <cell r="CK117">
            <v>37813</v>
          </cell>
          <cell r="CP117">
            <v>38301</v>
          </cell>
          <cell r="CU117">
            <v>55580</v>
          </cell>
          <cell r="CZ117">
            <v>57556</v>
          </cell>
          <cell r="DE117">
            <v>67117</v>
          </cell>
        </row>
        <row r="118">
          <cell r="B118" t="str">
            <v>Capital expenditures, Capex</v>
          </cell>
          <cell r="C118" t="str">
            <v>CAPEX</v>
          </cell>
          <cell r="D118" t="str">
            <v>JPY</v>
          </cell>
          <cell r="L118">
            <v>-15831</v>
          </cell>
          <cell r="M118">
            <v>-17445</v>
          </cell>
          <cell r="N118">
            <v>-14567</v>
          </cell>
          <cell r="O118">
            <v>-11841</v>
          </cell>
          <cell r="P118">
            <v>-15422</v>
          </cell>
          <cell r="S118">
            <v>-13663</v>
          </cell>
          <cell r="X118">
            <v>-17156</v>
          </cell>
          <cell r="AC118">
            <v>-17064</v>
          </cell>
          <cell r="AH118">
            <v>-21304</v>
          </cell>
          <cell r="AM118">
            <v>-17307</v>
          </cell>
          <cell r="AR118">
            <v>-15623</v>
          </cell>
          <cell r="AW118">
            <v>-14489</v>
          </cell>
          <cell r="BB118">
            <v>-18014</v>
          </cell>
          <cell r="BG118">
            <v>-14199</v>
          </cell>
          <cell r="BL118">
            <v>-17265</v>
          </cell>
          <cell r="BQ118">
            <v>-13087</v>
          </cell>
          <cell r="BV118">
            <v>-14795</v>
          </cell>
          <cell r="CA118">
            <v>-12165</v>
          </cell>
          <cell r="CF118">
            <v>-18180</v>
          </cell>
          <cell r="CK118">
            <v>-28346</v>
          </cell>
          <cell r="CP118">
            <v>-27464</v>
          </cell>
          <cell r="CU118">
            <v>-19703</v>
          </cell>
          <cell r="CZ118">
            <v>-24617</v>
          </cell>
          <cell r="DE118">
            <v>-38228</v>
          </cell>
        </row>
        <row r="119">
          <cell r="B119" t="str">
            <v>Acquisitions</v>
          </cell>
          <cell r="C119" t="str">
            <v>ACQ</v>
          </cell>
          <cell r="D119" t="str">
            <v>JPY</v>
          </cell>
        </row>
        <row r="120">
          <cell r="B120" t="str">
            <v>Divestitures</v>
          </cell>
          <cell r="C120" t="str">
            <v>DIVEST</v>
          </cell>
          <cell r="D120" t="str">
            <v>JPY</v>
          </cell>
        </row>
        <row r="121">
          <cell r="B121" t="str">
            <v>Other investing cash flow items</v>
          </cell>
          <cell r="C121" t="str">
            <v>OTH_INV_CF</v>
          </cell>
          <cell r="D121" t="str">
            <v>JPY</v>
          </cell>
          <cell r="L121">
            <v>-492</v>
          </cell>
          <cell r="M121">
            <v>-784</v>
          </cell>
          <cell r="N121">
            <v>-3035</v>
          </cell>
          <cell r="O121">
            <v>3290</v>
          </cell>
          <cell r="P121">
            <v>-685</v>
          </cell>
          <cell r="S121">
            <v>-17561</v>
          </cell>
          <cell r="X121">
            <v>-114</v>
          </cell>
          <cell r="AC121">
            <v>-10570</v>
          </cell>
          <cell r="AH121">
            <v>1726</v>
          </cell>
          <cell r="AM121">
            <v>-29241</v>
          </cell>
          <cell r="AR121">
            <v>3664</v>
          </cell>
          <cell r="AW121">
            <v>6687</v>
          </cell>
          <cell r="BB121">
            <v>-6618</v>
          </cell>
          <cell r="BG121">
            <v>-1499</v>
          </cell>
          <cell r="BL121">
            <v>8736</v>
          </cell>
          <cell r="BQ121">
            <v>8046</v>
          </cell>
          <cell r="BV121">
            <v>-1060</v>
          </cell>
          <cell r="CA121">
            <v>25400</v>
          </cell>
          <cell r="CF121">
            <v>3540</v>
          </cell>
          <cell r="CK121">
            <v>2648</v>
          </cell>
          <cell r="CP121">
            <v>-1765</v>
          </cell>
          <cell r="CU121">
            <v>2892</v>
          </cell>
          <cell r="CZ121">
            <v>8512</v>
          </cell>
          <cell r="DE121">
            <v>11608</v>
          </cell>
        </row>
        <row r="122">
          <cell r="B122" t="str">
            <v>Cash flow from investing</v>
          </cell>
          <cell r="C122" t="str">
            <v>CF_INV</v>
          </cell>
          <cell r="D122" t="str">
            <v>JPY</v>
          </cell>
          <cell r="K122">
            <v>0</v>
          </cell>
          <cell r="L122">
            <v>-16323</v>
          </cell>
          <cell r="M122">
            <v>-18229</v>
          </cell>
          <cell r="N122">
            <v>-17602</v>
          </cell>
          <cell r="O122">
            <v>-8551</v>
          </cell>
          <cell r="P122">
            <v>-16107</v>
          </cell>
          <cell r="S122">
            <v>-31224</v>
          </cell>
          <cell r="X122">
            <v>-17270</v>
          </cell>
          <cell r="AC122">
            <v>-27634</v>
          </cell>
          <cell r="AH122">
            <v>-19578</v>
          </cell>
          <cell r="AM122">
            <v>-46548</v>
          </cell>
          <cell r="AR122">
            <v>-11959</v>
          </cell>
          <cell r="AW122">
            <v>-7802</v>
          </cell>
          <cell r="BB122">
            <v>-24632</v>
          </cell>
          <cell r="BG122">
            <v>-15698</v>
          </cell>
          <cell r="BL122">
            <v>-8529</v>
          </cell>
          <cell r="BQ122">
            <v>-5041</v>
          </cell>
          <cell r="BV122">
            <v>-15855</v>
          </cell>
          <cell r="CA122">
            <v>13235</v>
          </cell>
          <cell r="CF122">
            <v>-14640</v>
          </cell>
          <cell r="CK122">
            <v>-25698</v>
          </cell>
          <cell r="CP122">
            <v>-29229</v>
          </cell>
          <cell r="CU122">
            <v>-16811</v>
          </cell>
          <cell r="CZ122">
            <v>-16105</v>
          </cell>
          <cell r="DE122">
            <v>-26620</v>
          </cell>
        </row>
        <row r="123">
          <cell r="B123" t="str">
            <v>Dividends paid</v>
          </cell>
          <cell r="C123" t="str">
            <v>DIV_PAID</v>
          </cell>
          <cell r="D123" t="str">
            <v>JPY</v>
          </cell>
          <cell r="L123">
            <v>-1569</v>
          </cell>
          <cell r="M123">
            <v>-1580</v>
          </cell>
          <cell r="N123">
            <v>-545</v>
          </cell>
          <cell r="O123">
            <v>-1581</v>
          </cell>
          <cell r="P123">
            <v>-1892</v>
          </cell>
          <cell r="S123">
            <v>-2200</v>
          </cell>
          <cell r="X123">
            <v>-2193</v>
          </cell>
          <cell r="AC123">
            <v>-3007</v>
          </cell>
          <cell r="AH123">
            <v>-3505</v>
          </cell>
          <cell r="AM123">
            <v>-3510</v>
          </cell>
          <cell r="AR123">
            <v>-3114</v>
          </cell>
          <cell r="AW123">
            <v>-3110</v>
          </cell>
          <cell r="BB123">
            <v>-3094</v>
          </cell>
          <cell r="BG123">
            <v>-3088</v>
          </cell>
          <cell r="BL123">
            <v>-4002</v>
          </cell>
          <cell r="BQ123">
            <v>-4697</v>
          </cell>
          <cell r="BV123">
            <v>-6182</v>
          </cell>
          <cell r="CA123">
            <v>-6568</v>
          </cell>
          <cell r="CF123">
            <v>-7514</v>
          </cell>
          <cell r="CK123">
            <v>-7873</v>
          </cell>
          <cell r="CP123">
            <v>-8065</v>
          </cell>
          <cell r="CU123">
            <v>-8641</v>
          </cell>
          <cell r="CZ123">
            <v>-8825</v>
          </cell>
          <cell r="DE123">
            <v>-13220</v>
          </cell>
        </row>
        <row r="124">
          <cell r="B124" t="str">
            <v>Common stock issuance/(repurchase)</v>
          </cell>
          <cell r="C124" t="str">
            <v>SH_REPUR</v>
          </cell>
          <cell r="D124" t="str">
            <v>JPY</v>
          </cell>
          <cell r="N124">
            <v>-36</v>
          </cell>
          <cell r="O124">
            <v>-554</v>
          </cell>
          <cell r="P124">
            <v>-541</v>
          </cell>
          <cell r="S124">
            <v>-1523</v>
          </cell>
          <cell r="X124">
            <v>-130</v>
          </cell>
          <cell r="AC124">
            <v>-249</v>
          </cell>
          <cell r="AH124">
            <v>-237</v>
          </cell>
          <cell r="AM124">
            <v>-892</v>
          </cell>
          <cell r="AR124">
            <v>-271</v>
          </cell>
          <cell r="AW124">
            <v>-1161</v>
          </cell>
          <cell r="BB124">
            <v>-71</v>
          </cell>
          <cell r="BG124">
            <v>-5113</v>
          </cell>
          <cell r="BL124">
            <v>-130</v>
          </cell>
          <cell r="BQ124">
            <v>-10134</v>
          </cell>
          <cell r="BV124">
            <v>-10262</v>
          </cell>
          <cell r="CA124">
            <v>-101</v>
          </cell>
          <cell r="CF124">
            <v>-5035</v>
          </cell>
          <cell r="CK124">
            <v>-19</v>
          </cell>
          <cell r="CP124">
            <v>-16</v>
          </cell>
          <cell r="CU124">
            <v>-33</v>
          </cell>
          <cell r="CZ124">
            <v>-3154</v>
          </cell>
          <cell r="DE124">
            <v>-519</v>
          </cell>
        </row>
        <row r="125">
          <cell r="B125" t="str">
            <v>Increase/(decrease) in total debt</v>
          </cell>
          <cell r="C125" t="str">
            <v>CHG_LT_DEBT</v>
          </cell>
          <cell r="D125" t="str">
            <v>JPY</v>
          </cell>
          <cell r="L125">
            <v>-6769</v>
          </cell>
          <cell r="M125">
            <v>-6789</v>
          </cell>
          <cell r="N125">
            <v>145</v>
          </cell>
          <cell r="O125">
            <v>-6454</v>
          </cell>
          <cell r="P125">
            <v>-3911</v>
          </cell>
          <cell r="S125">
            <v>8438</v>
          </cell>
          <cell r="X125">
            <v>-19288</v>
          </cell>
          <cell r="AC125">
            <v>-1376</v>
          </cell>
          <cell r="AH125">
            <v>8558</v>
          </cell>
          <cell r="AM125">
            <v>24356</v>
          </cell>
          <cell r="AR125">
            <v>-4998</v>
          </cell>
          <cell r="AW125">
            <v>-7058</v>
          </cell>
          <cell r="BB125">
            <v>29040</v>
          </cell>
          <cell r="BG125">
            <v>-21134</v>
          </cell>
          <cell r="BL125">
            <v>-17757</v>
          </cell>
          <cell r="BQ125">
            <v>-7275</v>
          </cell>
          <cell r="BV125">
            <v>-2558</v>
          </cell>
          <cell r="CA125">
            <v>-20468</v>
          </cell>
          <cell r="CF125">
            <v>-31132</v>
          </cell>
          <cell r="CK125">
            <v>681</v>
          </cell>
          <cell r="CP125">
            <v>1949</v>
          </cell>
          <cell r="CU125">
            <v>-1582</v>
          </cell>
          <cell r="CZ125">
            <v>34</v>
          </cell>
          <cell r="DE125">
            <v>-145</v>
          </cell>
        </row>
        <row r="126">
          <cell r="B126" t="str">
            <v>Lease principal payments  (applicable to IFRS cos.)</v>
          </cell>
          <cell r="C126" t="str">
            <v>LEASE_PRINCIPAL_CASH</v>
          </cell>
          <cell r="D126" t="str">
            <v>JPY</v>
          </cell>
        </row>
        <row r="127">
          <cell r="B127" t="str">
            <v>Other financing cash flow items</v>
          </cell>
          <cell r="C127" t="str">
            <v>OTH_FIN_CF</v>
          </cell>
          <cell r="D127" t="str">
            <v>JPY</v>
          </cell>
          <cell r="L127">
            <v>5600</v>
          </cell>
          <cell r="M127">
            <v>4030</v>
          </cell>
          <cell r="N127">
            <v>-34</v>
          </cell>
          <cell r="O127">
            <v>39</v>
          </cell>
          <cell r="P127">
            <v>-4643</v>
          </cell>
          <cell r="S127">
            <v>-230</v>
          </cell>
          <cell r="X127">
            <v>32851</v>
          </cell>
          <cell r="AC127">
            <v>-3884</v>
          </cell>
          <cell r="AH127">
            <v>725</v>
          </cell>
          <cell r="AM127">
            <v>-32</v>
          </cell>
          <cell r="AR127">
            <v>-139</v>
          </cell>
          <cell r="AW127">
            <v>-164</v>
          </cell>
          <cell r="BB127">
            <v>-78</v>
          </cell>
          <cell r="BG127">
            <v>4</v>
          </cell>
          <cell r="BL127">
            <v>258</v>
          </cell>
          <cell r="BQ127">
            <v>540</v>
          </cell>
          <cell r="BV127">
            <v>1201</v>
          </cell>
          <cell r="CA127">
            <v>-3222</v>
          </cell>
          <cell r="CF127">
            <v>-287</v>
          </cell>
          <cell r="CK127">
            <v>170</v>
          </cell>
          <cell r="CP127">
            <v>-3014</v>
          </cell>
          <cell r="CU127">
            <v>-2923</v>
          </cell>
          <cell r="CZ127">
            <v>-5955</v>
          </cell>
          <cell r="DE127">
            <v>-6495</v>
          </cell>
        </row>
        <row r="128">
          <cell r="B128" t="str">
            <v>Cash flow from financing</v>
          </cell>
          <cell r="C128" t="str">
            <v>CF_FIN</v>
          </cell>
          <cell r="D128" t="str">
            <v>JPY</v>
          </cell>
          <cell r="K128">
            <v>0</v>
          </cell>
          <cell r="L128">
            <v>-2738</v>
          </cell>
          <cell r="M128">
            <v>-4339</v>
          </cell>
          <cell r="N128">
            <v>-470</v>
          </cell>
          <cell r="O128">
            <v>-8550</v>
          </cell>
          <cell r="P128">
            <v>-10987</v>
          </cell>
          <cell r="S128">
            <v>4485</v>
          </cell>
          <cell r="X128">
            <v>11240</v>
          </cell>
          <cell r="AC128">
            <v>-8516</v>
          </cell>
          <cell r="AH128">
            <v>5541</v>
          </cell>
          <cell r="AM128">
            <v>19922</v>
          </cell>
          <cell r="AR128">
            <v>-8522</v>
          </cell>
          <cell r="AW128">
            <v>-11493</v>
          </cell>
          <cell r="BB128">
            <v>25797</v>
          </cell>
          <cell r="BG128">
            <v>-29331</v>
          </cell>
          <cell r="BL128">
            <v>-21631</v>
          </cell>
          <cell r="BQ128">
            <v>-21566</v>
          </cell>
          <cell r="BV128">
            <v>-17801</v>
          </cell>
          <cell r="CA128">
            <v>-30359</v>
          </cell>
          <cell r="CF128">
            <v>-43968</v>
          </cell>
          <cell r="CK128">
            <v>-7041</v>
          </cell>
          <cell r="CP128">
            <v>-9146</v>
          </cell>
          <cell r="CU128">
            <v>-13179</v>
          </cell>
          <cell r="CZ128">
            <v>-17900</v>
          </cell>
          <cell r="DE128">
            <v>-20379</v>
          </cell>
        </row>
        <row r="129">
          <cell r="B129" t="str">
            <v>Total cash flow</v>
          </cell>
          <cell r="C129" t="str">
            <v>TOT_CF</v>
          </cell>
          <cell r="D129" t="str">
            <v>JPY</v>
          </cell>
          <cell r="K129">
            <v>0</v>
          </cell>
          <cell r="L129">
            <v>3064</v>
          </cell>
          <cell r="M129">
            <v>2799</v>
          </cell>
          <cell r="N129">
            <v>4500</v>
          </cell>
          <cell r="O129">
            <v>2911</v>
          </cell>
          <cell r="P129">
            <v>-6643</v>
          </cell>
          <cell r="S129">
            <v>-6334</v>
          </cell>
          <cell r="X129">
            <v>15823</v>
          </cell>
          <cell r="AC129">
            <v>-11982</v>
          </cell>
          <cell r="AH129">
            <v>9663</v>
          </cell>
          <cell r="AM129">
            <v>-5183</v>
          </cell>
          <cell r="AR129">
            <v>-2187</v>
          </cell>
          <cell r="AW129">
            <v>3580</v>
          </cell>
          <cell r="BB129">
            <v>17694</v>
          </cell>
          <cell r="BG129">
            <v>-17343</v>
          </cell>
          <cell r="BL129">
            <v>-2034</v>
          </cell>
          <cell r="BQ129">
            <v>6143</v>
          </cell>
          <cell r="BV129">
            <v>1691</v>
          </cell>
          <cell r="CA129">
            <v>9952</v>
          </cell>
          <cell r="CF129">
            <v>-21393</v>
          </cell>
          <cell r="CK129">
            <v>5074</v>
          </cell>
          <cell r="CP129">
            <v>-74</v>
          </cell>
          <cell r="CU129">
            <v>25590</v>
          </cell>
          <cell r="CZ129">
            <v>23551</v>
          </cell>
          <cell r="DE129">
            <v>20118</v>
          </cell>
        </row>
        <row r="130">
          <cell r="A130" t="str">
            <v>Additional Cash Flow Items</v>
          </cell>
        </row>
        <row r="131">
          <cell r="B131" t="str">
            <v>Associate and JV add-back</v>
          </cell>
          <cell r="C131" t="str">
            <v>ASSOC_JV_ADDBK</v>
          </cell>
          <cell r="D131" t="str">
            <v>JPY</v>
          </cell>
        </row>
        <row r="132">
          <cell r="B132" t="str">
            <v>Profit/(loss) on sale of assets</v>
          </cell>
          <cell r="C132" t="str">
            <v>PL_SALE_ASSETS</v>
          </cell>
          <cell r="D132" t="str">
            <v>JPY</v>
          </cell>
        </row>
        <row r="133">
          <cell r="B133" t="str">
            <v>Other non-cash adjustments</v>
          </cell>
          <cell r="C133" t="str">
            <v>OTH_NONCASH_ADJ</v>
          </cell>
          <cell r="D133" t="str">
            <v>JPY</v>
          </cell>
        </row>
        <row r="134">
          <cell r="B134" t="str">
            <v>Other DACF adjustments</v>
          </cell>
          <cell r="C134" t="str">
            <v>OTH_DACF_ADJ</v>
          </cell>
          <cell r="D134" t="str">
            <v>JPY</v>
          </cell>
        </row>
        <row r="135">
          <cell r="B135" t="str">
            <v>Cash interest expense</v>
          </cell>
          <cell r="C135" t="str">
            <v>CASH_INT_EXP</v>
          </cell>
          <cell r="D135" t="str">
            <v>JPY</v>
          </cell>
        </row>
        <row r="136">
          <cell r="B136" t="str">
            <v>Cash tax expense</v>
          </cell>
          <cell r="C136" t="str">
            <v>CASH_TAX_EXP</v>
          </cell>
          <cell r="D136" t="str">
            <v>JPY</v>
          </cell>
        </row>
        <row r="137">
          <cell r="B137" t="str">
            <v>Dividends received from associates/JVs</v>
          </cell>
          <cell r="C137" t="str">
            <v>DIVDS_ASSOC_JV</v>
          </cell>
          <cell r="D137" t="str">
            <v>JPY</v>
          </cell>
        </row>
        <row r="138">
          <cell r="B138" t="str">
            <v>Capex maintenance</v>
          </cell>
          <cell r="C138" t="str">
            <v>CAPEX_MAINTENANCE</v>
          </cell>
          <cell r="D138" t="str">
            <v>JPY</v>
          </cell>
        </row>
        <row r="139">
          <cell r="B139" t="str">
            <v>Capex expansion</v>
          </cell>
          <cell r="C139" t="str">
            <v>CAPEX_EXPANSION</v>
          </cell>
          <cell r="D139" t="str">
            <v>JPY</v>
          </cell>
        </row>
        <row r="140">
          <cell r="B140" t="str">
            <v>Non-PP&amp;E capex</v>
          </cell>
          <cell r="C140" t="str">
            <v>NONPPE_CAPEX</v>
          </cell>
          <cell r="D140" t="str">
            <v>JPY</v>
          </cell>
        </row>
        <row r="141">
          <cell r="B141" t="str">
            <v>Dividends paid to minorities</v>
          </cell>
          <cell r="C141" t="str">
            <v>DIVDS_PD_MINORITIES</v>
          </cell>
          <cell r="D141" t="str">
            <v>JPY</v>
          </cell>
        </row>
        <row r="142">
          <cell r="B142" t="str">
            <v>Capital expenditures (excl. leases)</v>
          </cell>
          <cell r="C142" t="str">
            <v>CAPEX_EX_LEASES</v>
          </cell>
          <cell r="D142" t="str">
            <v>JPY</v>
          </cell>
          <cell r="K142">
            <v>0</v>
          </cell>
          <cell r="L142">
            <v>-15831</v>
          </cell>
          <cell r="M142">
            <v>-17445</v>
          </cell>
          <cell r="N142">
            <v>-14567</v>
          </cell>
          <cell r="O142">
            <v>-11841</v>
          </cell>
          <cell r="P142">
            <v>-15422</v>
          </cell>
          <cell r="S142">
            <v>-13663</v>
          </cell>
          <cell r="X142">
            <v>-17156</v>
          </cell>
          <cell r="AC142">
            <v>-17064</v>
          </cell>
          <cell r="AH142">
            <v>-21304</v>
          </cell>
          <cell r="AM142">
            <v>-17307</v>
          </cell>
          <cell r="AR142">
            <v>-15623</v>
          </cell>
          <cell r="AW142">
            <v>-14489</v>
          </cell>
          <cell r="BB142">
            <v>-18014</v>
          </cell>
          <cell r="BG142">
            <v>-14199</v>
          </cell>
          <cell r="BL142">
            <v>-17265</v>
          </cell>
          <cell r="BQ142">
            <v>-13087</v>
          </cell>
          <cell r="BV142">
            <v>-14795</v>
          </cell>
          <cell r="CA142">
            <v>-12165</v>
          </cell>
          <cell r="CF142">
            <v>-18180</v>
          </cell>
          <cell r="CK142">
            <v>-28346</v>
          </cell>
          <cell r="CP142">
            <v>-27464</v>
          </cell>
          <cell r="CU142">
            <v>-19703</v>
          </cell>
          <cell r="CZ142">
            <v>-24617</v>
          </cell>
          <cell r="DE142">
            <v>-38228</v>
          </cell>
        </row>
        <row r="143">
          <cell r="A143" t="str">
            <v>Other Items</v>
          </cell>
        </row>
        <row r="144">
          <cell r="B144" t="str">
            <v>Number of employees</v>
          </cell>
          <cell r="C144" t="str">
            <v>EMPLOYEES</v>
          </cell>
          <cell r="BG144">
            <v>5.4729999999999999</v>
          </cell>
          <cell r="BL144">
            <v>5.5754999999999999</v>
          </cell>
        </row>
        <row r="145">
          <cell r="B145" t="str">
            <v>Media/advertising expense</v>
          </cell>
          <cell r="C145" t="str">
            <v>MEDIA_ADVERTISING</v>
          </cell>
          <cell r="D145" t="str">
            <v>JPY</v>
          </cell>
          <cell r="BG145">
            <v>6411</v>
          </cell>
          <cell r="BL145">
            <v>7051.9542409966598</v>
          </cell>
        </row>
        <row r="146">
          <cell r="A146" t="str">
            <v>COGS Breakdown</v>
          </cell>
        </row>
        <row r="147">
          <cell r="B147" t="str">
            <v>% of COGS from Corn</v>
          </cell>
          <cell r="C147" t="str">
            <v>COGS_CORN</v>
          </cell>
          <cell r="BG147">
            <v>0</v>
          </cell>
          <cell r="BL147">
            <v>0</v>
          </cell>
        </row>
        <row r="148">
          <cell r="B148" t="str">
            <v>% of COGS from Wheat</v>
          </cell>
          <cell r="C148" t="str">
            <v>COGS_WHEAT</v>
          </cell>
          <cell r="BG148">
            <v>0.1</v>
          </cell>
          <cell r="BL148">
            <v>0.1</v>
          </cell>
        </row>
        <row r="149">
          <cell r="B149" t="str">
            <v>% of COGS from Other agriculture</v>
          </cell>
          <cell r="C149" t="str">
            <v>COGS_OTH_AGRI</v>
          </cell>
          <cell r="BG149">
            <v>0</v>
          </cell>
          <cell r="BL149">
            <v>0</v>
          </cell>
        </row>
        <row r="150">
          <cell r="B150" t="str">
            <v>% of COGS from Beef</v>
          </cell>
          <cell r="C150" t="str">
            <v>COGS_BEEF</v>
          </cell>
          <cell r="BG150">
            <v>0</v>
          </cell>
          <cell r="BL150">
            <v>0</v>
          </cell>
        </row>
        <row r="151">
          <cell r="B151" t="str">
            <v>% of COGS from Chicken</v>
          </cell>
          <cell r="C151" t="str">
            <v>COGS_CHICKEN</v>
          </cell>
          <cell r="BG151">
            <v>0</v>
          </cell>
          <cell r="BL151">
            <v>0</v>
          </cell>
        </row>
        <row r="152">
          <cell r="B152" t="str">
            <v>% of COGS from Pork</v>
          </cell>
          <cell r="C152" t="str">
            <v>COGS_PORK</v>
          </cell>
          <cell r="BG152">
            <v>0</v>
          </cell>
          <cell r="BL152">
            <v>0</v>
          </cell>
        </row>
        <row r="153">
          <cell r="B153" t="str">
            <v>% of COGS from Sugar</v>
          </cell>
          <cell r="C153" t="str">
            <v>COGS_SUGAR</v>
          </cell>
          <cell r="BG153">
            <v>0</v>
          </cell>
          <cell r="BL153">
            <v>0</v>
          </cell>
        </row>
        <row r="154">
          <cell r="B154" t="str">
            <v>% of COGS from Coffee</v>
          </cell>
          <cell r="C154" t="str">
            <v>COGS_COFFEE</v>
          </cell>
          <cell r="BG154">
            <v>0</v>
          </cell>
          <cell r="BL154">
            <v>0</v>
          </cell>
        </row>
        <row r="155">
          <cell r="B155" t="str">
            <v>% of COGS from Dairy</v>
          </cell>
          <cell r="C155" t="str">
            <v>COGS_DAIRY</v>
          </cell>
          <cell r="BG155">
            <v>0</v>
          </cell>
          <cell r="BL155">
            <v>0</v>
          </cell>
        </row>
        <row r="156">
          <cell r="B156" t="str">
            <v>% of COGS from Nuts</v>
          </cell>
          <cell r="C156" t="str">
            <v>COGS_NUTS</v>
          </cell>
          <cell r="BG156">
            <v>0</v>
          </cell>
          <cell r="BL156">
            <v>0</v>
          </cell>
        </row>
        <row r="157">
          <cell r="B157" t="str">
            <v>% of COGS from Palm oil</v>
          </cell>
          <cell r="C157" t="str">
            <v>COGS_PALM_OIL</v>
          </cell>
          <cell r="BG157">
            <v>0</v>
          </cell>
          <cell r="BL157">
            <v>0</v>
          </cell>
        </row>
        <row r="158">
          <cell r="B158" t="str">
            <v>% of COGS from Other edible oil</v>
          </cell>
          <cell r="C158" t="str">
            <v>COGS_OTH_EDIBLE_OIL</v>
          </cell>
          <cell r="BG158">
            <v>0</v>
          </cell>
          <cell r="BL158">
            <v>0</v>
          </cell>
        </row>
        <row r="159">
          <cell r="B159" t="str">
            <v>% of COGS from Soybean</v>
          </cell>
          <cell r="C159" t="str">
            <v>COGS_SOYBEAN</v>
          </cell>
          <cell r="BG159">
            <v>0.15</v>
          </cell>
          <cell r="BL159">
            <v>0.15</v>
          </cell>
        </row>
        <row r="160">
          <cell r="B160" t="str">
            <v>% of COGS from Tobacco leaf</v>
          </cell>
          <cell r="C160" t="str">
            <v>COGS_TOBACCO</v>
          </cell>
          <cell r="BG160">
            <v>0</v>
          </cell>
          <cell r="BL160">
            <v>0</v>
          </cell>
        </row>
        <row r="161">
          <cell r="B161" t="str">
            <v>% of COGS from Energy</v>
          </cell>
          <cell r="C161" t="str">
            <v>COGS_ENERGY</v>
          </cell>
          <cell r="BG161">
            <v>0</v>
          </cell>
          <cell r="BL161">
            <v>0</v>
          </cell>
        </row>
        <row r="162">
          <cell r="B162" t="str">
            <v>% of COGS from Raws - Pulp</v>
          </cell>
          <cell r="C162" t="str">
            <v>COGS_RAW_PULP</v>
          </cell>
          <cell r="BG162">
            <v>0</v>
          </cell>
          <cell r="BL162">
            <v>0</v>
          </cell>
        </row>
        <row r="163">
          <cell r="B163" t="str">
            <v>% of COGS from Raws - Oil derivatives</v>
          </cell>
          <cell r="C163" t="str">
            <v>COGS_RAW_OIL_DERIV</v>
          </cell>
          <cell r="BG163">
            <v>0</v>
          </cell>
          <cell r="BL163">
            <v>0</v>
          </cell>
        </row>
        <row r="164">
          <cell r="B164" t="str">
            <v>% of COGS from Raws - Other</v>
          </cell>
          <cell r="C164" t="str">
            <v>COGS_RAW_OTH</v>
          </cell>
          <cell r="BG164">
            <v>0</v>
          </cell>
          <cell r="BL164">
            <v>0</v>
          </cell>
        </row>
        <row r="165">
          <cell r="B165" t="str">
            <v>% of COGS from Pack - Paper/pulp</v>
          </cell>
          <cell r="C165" t="str">
            <v>COGS_PACK_PAPER</v>
          </cell>
          <cell r="BG165">
            <v>0</v>
          </cell>
          <cell r="BL165">
            <v>0</v>
          </cell>
        </row>
        <row r="166">
          <cell r="B166" t="str">
            <v>% of COGS from Pack - Glass</v>
          </cell>
          <cell r="C166" t="str">
            <v>COGS_PACK_GLASS</v>
          </cell>
          <cell r="BG166">
            <v>0</v>
          </cell>
          <cell r="BL166">
            <v>0</v>
          </cell>
        </row>
        <row r="167">
          <cell r="B167" t="str">
            <v>% of COGS from Pack - Oil derivatives/plastics</v>
          </cell>
          <cell r="C167" t="str">
            <v>COGS_PACK_OIL_DERIV</v>
          </cell>
          <cell r="BG167">
            <v>0</v>
          </cell>
          <cell r="BL167">
            <v>0</v>
          </cell>
        </row>
        <row r="168">
          <cell r="B168" t="str">
            <v>% of COGS from Pack - Tin</v>
          </cell>
          <cell r="C168" t="str">
            <v>COGS_PACK_TIN</v>
          </cell>
          <cell r="BG168">
            <v>0</v>
          </cell>
          <cell r="BL168">
            <v>0</v>
          </cell>
        </row>
        <row r="169">
          <cell r="B169" t="str">
            <v>% of COGS from Pack - Aluminium</v>
          </cell>
          <cell r="C169" t="str">
            <v>COGS_PACK_ALUM</v>
          </cell>
          <cell r="BG169">
            <v>0</v>
          </cell>
          <cell r="BL169">
            <v>0</v>
          </cell>
        </row>
        <row r="170">
          <cell r="B170" t="str">
            <v>% of COGS from Overhead / wages</v>
          </cell>
          <cell r="C170" t="str">
            <v>COGS_OH_WAGES</v>
          </cell>
          <cell r="BG170">
            <v>0.22</v>
          </cell>
          <cell r="BL170">
            <v>0.22</v>
          </cell>
        </row>
        <row r="171">
          <cell r="A171" t="str">
            <v>Regional Sales Growth</v>
          </cell>
        </row>
        <row r="172">
          <cell r="B172" t="str">
            <v>North America sales growth</v>
          </cell>
          <cell r="C172" t="str">
            <v>NAMERICA_SALES_GROWTH</v>
          </cell>
          <cell r="BG172">
            <v>8.0324181603000006E-2</v>
          </cell>
          <cell r="BL172">
            <v>0.26264690909100002</v>
          </cell>
        </row>
        <row r="173">
          <cell r="B173" t="str">
            <v>LatAm sales growth</v>
          </cell>
          <cell r="C173" t="str">
            <v>LATAM_SALES_GROWTH</v>
          </cell>
          <cell r="BG173">
            <v>0</v>
          </cell>
          <cell r="BL173">
            <v>0</v>
          </cell>
        </row>
        <row r="174">
          <cell r="B174" t="str">
            <v>Europe sales growth</v>
          </cell>
          <cell r="C174" t="str">
            <v>EUROPE_SALES_GROWTH</v>
          </cell>
          <cell r="BG174">
            <v>9.0035742308999994E-2</v>
          </cell>
          <cell r="BL174">
            <v>0.37974372253499999</v>
          </cell>
        </row>
        <row r="175">
          <cell r="B175" t="str">
            <v>EEMEA sales growth</v>
          </cell>
          <cell r="C175" t="str">
            <v>EEMEA_SALES_GROWTH</v>
          </cell>
          <cell r="BG175">
            <v>0</v>
          </cell>
          <cell r="BL175">
            <v>0</v>
          </cell>
        </row>
        <row r="176">
          <cell r="B176" t="str">
            <v>Asia sales growth</v>
          </cell>
          <cell r="C176" t="str">
            <v>ASIA_SALES_GROWTH</v>
          </cell>
          <cell r="BG176">
            <v>4.6684088952999997E-2</v>
          </cell>
          <cell r="BL176">
            <v>5.6889235676000002E-2</v>
          </cell>
        </row>
        <row r="177">
          <cell r="A177" t="str">
            <v>Geographical Breakdown</v>
          </cell>
        </row>
        <row r="178">
          <cell r="B178" t="str">
            <v>Sales - % Canada</v>
          </cell>
          <cell r="C178" t="str">
            <v>SALES_CANADA</v>
          </cell>
        </row>
        <row r="179">
          <cell r="B179" t="str">
            <v>Sales - % United States</v>
          </cell>
          <cell r="C179" t="str">
            <v>SALES_US</v>
          </cell>
          <cell r="BB179">
            <v>0.34490552301499999</v>
          </cell>
          <cell r="BG179">
            <v>0.34490552301499999</v>
          </cell>
          <cell r="BL179">
            <v>0.38102289191499999</v>
          </cell>
          <cell r="BQ179">
            <v>0.41100217923299998</v>
          </cell>
          <cell r="BV179">
            <v>0.43070407107600001</v>
          </cell>
          <cell r="CA179">
            <v>0.421239965419</v>
          </cell>
          <cell r="CF179">
            <v>0.42783956967600001</v>
          </cell>
          <cell r="CK179">
            <v>0.43401716039400001</v>
          </cell>
          <cell r="CP179">
            <v>0.43723003164500002</v>
          </cell>
          <cell r="CU179">
            <v>0.43304697194300001</v>
          </cell>
          <cell r="CZ179">
            <v>0.49160475307500001</v>
          </cell>
          <cell r="DE179">
            <v>0.54277061010600003</v>
          </cell>
        </row>
        <row r="180">
          <cell r="B180" t="str">
            <v>Sales - % Other North Americas</v>
          </cell>
          <cell r="C180" t="str">
            <v>SALES_OTH_NO_AMER</v>
          </cell>
        </row>
        <row r="181">
          <cell r="B181" t="str">
            <v>Sales - % Argentina</v>
          </cell>
          <cell r="C181" t="str">
            <v>SALES_ARGENTINA</v>
          </cell>
        </row>
        <row r="182">
          <cell r="B182" t="str">
            <v>Sales - % Brazil</v>
          </cell>
          <cell r="C182" t="str">
            <v>SALES_BRAZIL</v>
          </cell>
        </row>
        <row r="183">
          <cell r="B183" t="str">
            <v>Sales - % Chile</v>
          </cell>
          <cell r="C183" t="str">
            <v>SALES_CHILE</v>
          </cell>
        </row>
        <row r="184">
          <cell r="B184" t="str">
            <v>Sales - % Colombia</v>
          </cell>
          <cell r="C184" t="str">
            <v>SALES_COLOMBIA</v>
          </cell>
        </row>
        <row r="185">
          <cell r="B185" t="str">
            <v>Sales - % Mexico</v>
          </cell>
          <cell r="C185" t="str">
            <v>SALES_MEXICO</v>
          </cell>
        </row>
        <row r="186">
          <cell r="B186" t="str">
            <v>Sales - % Venezuela</v>
          </cell>
          <cell r="C186" t="str">
            <v>SALES_VENEZUELA</v>
          </cell>
        </row>
        <row r="187">
          <cell r="B187" t="str">
            <v>Sales - % Other Latin Americas</v>
          </cell>
          <cell r="C187" t="str">
            <v>SALES_OTH_LATAM</v>
          </cell>
        </row>
        <row r="188">
          <cell r="B188" t="str">
            <v>Sales - % Austria</v>
          </cell>
          <cell r="C188" t="str">
            <v>SALES_AUSTRIA</v>
          </cell>
        </row>
        <row r="189">
          <cell r="B189" t="str">
            <v>Sales - % Belgium</v>
          </cell>
          <cell r="C189" t="str">
            <v>SALES_BEL</v>
          </cell>
        </row>
        <row r="190">
          <cell r="B190" t="str">
            <v>Sales - % France</v>
          </cell>
          <cell r="C190" t="str">
            <v>SALES_FRA</v>
          </cell>
        </row>
        <row r="191">
          <cell r="B191" t="str">
            <v>Sales - % Germany</v>
          </cell>
          <cell r="C191" t="str">
            <v>SALES_GER</v>
          </cell>
        </row>
        <row r="192">
          <cell r="B192" t="str">
            <v>Sales - % Greece</v>
          </cell>
          <cell r="C192" t="str">
            <v>SALES_GRE</v>
          </cell>
        </row>
        <row r="193">
          <cell r="B193" t="str">
            <v>Sales - % Ireland</v>
          </cell>
          <cell r="C193" t="str">
            <v>SALES_IRE</v>
          </cell>
        </row>
        <row r="194">
          <cell r="B194" t="str">
            <v>Sales - % Italy</v>
          </cell>
          <cell r="C194" t="str">
            <v>SALES_ITA</v>
          </cell>
        </row>
        <row r="195">
          <cell r="B195" t="str">
            <v>Sales - % Netherlands</v>
          </cell>
          <cell r="C195" t="str">
            <v>SALES_NETH</v>
          </cell>
        </row>
        <row r="196">
          <cell r="B196" t="str">
            <v>Sales - % Norway</v>
          </cell>
          <cell r="C196" t="str">
            <v>SALES_NOR</v>
          </cell>
        </row>
        <row r="197">
          <cell r="B197" t="str">
            <v>Sales - % Portugal</v>
          </cell>
          <cell r="C197" t="str">
            <v>SALES_POR</v>
          </cell>
        </row>
        <row r="198">
          <cell r="B198" t="str">
            <v>Sales - % Spain</v>
          </cell>
          <cell r="C198" t="str">
            <v>SALES_SPA</v>
          </cell>
        </row>
        <row r="199">
          <cell r="B199" t="str">
            <v>Sales - % Sweden</v>
          </cell>
          <cell r="C199" t="str">
            <v>SALES_SWE</v>
          </cell>
        </row>
        <row r="200">
          <cell r="B200" t="str">
            <v>Sales - % Switzerland</v>
          </cell>
          <cell r="C200" t="str">
            <v>SALES_SWIT</v>
          </cell>
        </row>
        <row r="201">
          <cell r="B201" t="str">
            <v>Sales - % UK</v>
          </cell>
          <cell r="C201" t="str">
            <v>SALES_UK</v>
          </cell>
        </row>
        <row r="202">
          <cell r="B202" t="str">
            <v>Sales - % Other Western Europe</v>
          </cell>
          <cell r="C202" t="str">
            <v>SALES_OTH_WEST_EURO</v>
          </cell>
        </row>
        <row r="203">
          <cell r="B203" t="str">
            <v>Sales - % Poland</v>
          </cell>
          <cell r="C203" t="str">
            <v>SALES_POLAND</v>
          </cell>
        </row>
        <row r="204">
          <cell r="B204" t="str">
            <v>Sales - % Russia</v>
          </cell>
          <cell r="C204" t="str">
            <v>SALES_RUSSIA</v>
          </cell>
        </row>
        <row r="205">
          <cell r="B205" t="str">
            <v>Sales - % Turkey</v>
          </cell>
          <cell r="C205" t="str">
            <v>SALES_TURKEY</v>
          </cell>
        </row>
        <row r="206">
          <cell r="B206" t="str">
            <v>Sales - % Other CEE</v>
          </cell>
          <cell r="C206" t="str">
            <v>SALES_OTH_CEE</v>
          </cell>
        </row>
        <row r="207">
          <cell r="B207" t="str">
            <v>Sales - % Saudi Arabia</v>
          </cell>
          <cell r="C207" t="str">
            <v>SALES_SAUDI_ARABIA</v>
          </cell>
        </row>
        <row r="208">
          <cell r="B208" t="str">
            <v>Sales - % United Arab Emirates</v>
          </cell>
          <cell r="C208" t="str">
            <v>SALES_UAE</v>
          </cell>
        </row>
        <row r="209">
          <cell r="B209" t="str">
            <v>Sales - % Other Middle East</v>
          </cell>
          <cell r="C209" t="str">
            <v>SALES_OTH_ME</v>
          </cell>
        </row>
        <row r="210">
          <cell r="B210" t="str">
            <v>Sales - % Nigeria</v>
          </cell>
          <cell r="C210" t="str">
            <v>SALES_NIGERIA</v>
          </cell>
        </row>
        <row r="211">
          <cell r="B211" t="str">
            <v>Sales - % South Africa</v>
          </cell>
          <cell r="C211" t="str">
            <v>SALES_SO_AFRICA</v>
          </cell>
        </row>
        <row r="212">
          <cell r="B212" t="str">
            <v>Sales - % Other Africa</v>
          </cell>
          <cell r="C212" t="str">
            <v>SALES_OTH_AFRICA</v>
          </cell>
        </row>
        <row r="213">
          <cell r="B213" t="str">
            <v>Sales - % Hong Kong</v>
          </cell>
          <cell r="C213" t="str">
            <v>SALES_HONG_KONG</v>
          </cell>
        </row>
        <row r="214">
          <cell r="B214" t="str">
            <v>Sales - % Japan</v>
          </cell>
          <cell r="C214" t="str">
            <v>SALES_JAPAN</v>
          </cell>
          <cell r="BB214">
            <v>0.54208610476899999</v>
          </cell>
          <cell r="BG214">
            <v>0.54208610476899999</v>
          </cell>
          <cell r="BL214">
            <v>0.49447696319899997</v>
          </cell>
          <cell r="BQ214">
            <v>0.454356590974</v>
          </cell>
          <cell r="BV214">
            <v>0.42974989350699999</v>
          </cell>
          <cell r="CA214">
            <v>0.43564283067800003</v>
          </cell>
          <cell r="CF214">
            <v>0.41844238283500002</v>
          </cell>
          <cell r="CK214">
            <v>0.40140920720000001</v>
          </cell>
          <cell r="CP214">
            <v>0.40097747556300001</v>
          </cell>
          <cell r="CU214">
            <v>0.389745934766</v>
          </cell>
          <cell r="CZ214">
            <v>0.30360199577800001</v>
          </cell>
          <cell r="DE214">
            <v>0.24801069726200001</v>
          </cell>
        </row>
        <row r="215">
          <cell r="B215" t="str">
            <v>Sales - % Singapore</v>
          </cell>
          <cell r="C215" t="str">
            <v>SALES_SINGAPORE</v>
          </cell>
        </row>
        <row r="216">
          <cell r="B216" t="str">
            <v>Sales - % South Korea</v>
          </cell>
          <cell r="C216" t="str">
            <v>SALES_SK</v>
          </cell>
        </row>
        <row r="217">
          <cell r="B217" t="str">
            <v>Sales - % Taiwan</v>
          </cell>
          <cell r="C217" t="str">
            <v>SALES_TAIWAN</v>
          </cell>
        </row>
        <row r="218">
          <cell r="B218" t="str">
            <v>Sales - % Other Developed Asia</v>
          </cell>
          <cell r="C218" t="str">
            <v>SALES_OTH_DEV_ASIA</v>
          </cell>
        </row>
        <row r="219">
          <cell r="B219" t="str">
            <v>Sales - % China</v>
          </cell>
          <cell r="C219" t="str">
            <v>SALES_CHINA</v>
          </cell>
        </row>
        <row r="220">
          <cell r="B220" t="str">
            <v>Sales - % India</v>
          </cell>
          <cell r="C220" t="str">
            <v>SALES_INDIA</v>
          </cell>
        </row>
        <row r="221">
          <cell r="B221" t="str">
            <v>Sales - % Indonesia</v>
          </cell>
          <cell r="C221" t="str">
            <v>SALES_INDONESIA</v>
          </cell>
        </row>
        <row r="222">
          <cell r="B222" t="str">
            <v>Sales - % Thailand</v>
          </cell>
          <cell r="C222" t="str">
            <v>SALES_THAILAND</v>
          </cell>
        </row>
        <row r="223">
          <cell r="B223" t="str">
            <v>Sales - % Other Emerging Asia</v>
          </cell>
          <cell r="C223" t="str">
            <v>SALES_OTH_EMERG_ASIA</v>
          </cell>
        </row>
        <row r="224">
          <cell r="B224" t="str">
            <v>Sales - % Australia</v>
          </cell>
          <cell r="C224" t="str">
            <v>SALES_AUSTRA</v>
          </cell>
        </row>
        <row r="225">
          <cell r="B225" t="str">
            <v>Sales - % New Zealand</v>
          </cell>
          <cell r="C225" t="str">
            <v>SALES_NZ</v>
          </cell>
        </row>
        <row r="226">
          <cell r="B226" t="str">
            <v>Sales - % Others</v>
          </cell>
          <cell r="C226" t="str">
            <v>SALES_OTHER</v>
          </cell>
          <cell r="BB226">
            <v>0.11300837221600001</v>
          </cell>
          <cell r="BG226">
            <v>0.11300837221600001</v>
          </cell>
          <cell r="BL226">
            <v>0.124500144886</v>
          </cell>
          <cell r="BQ226">
            <v>0.13464122979400001</v>
          </cell>
          <cell r="BV226">
            <v>0.139546035417</v>
          </cell>
          <cell r="CA226">
            <v>0.14311720390300001</v>
          </cell>
          <cell r="CF226">
            <v>0.153718047489</v>
          </cell>
          <cell r="CK226">
            <v>0.16457363240600001</v>
          </cell>
          <cell r="CP226">
            <v>0.161792492791</v>
          </cell>
          <cell r="CU226">
            <v>0.17720709329100001</v>
          </cell>
          <cell r="CZ226">
            <v>0.204793251147</v>
          </cell>
          <cell r="DE226">
            <v>0.20921869263199999</v>
          </cell>
        </row>
        <row r="227">
          <cell r="B227" t="str">
            <v>% of CoGS from U.S. (GS estimate)</v>
          </cell>
          <cell r="C227" t="str">
            <v>COGS_PCT_US</v>
          </cell>
          <cell r="BB227">
            <v>0.34490552301499999</v>
          </cell>
          <cell r="BG227">
            <v>0.34490552301499999</v>
          </cell>
          <cell r="BL227">
            <v>0.38102289191499999</v>
          </cell>
          <cell r="BQ227">
            <v>0.41100217923299998</v>
          </cell>
          <cell r="BV227">
            <v>0.44</v>
          </cell>
          <cell r="CA227">
            <v>0.421239965419</v>
          </cell>
          <cell r="CF227">
            <v>0.42783956967600001</v>
          </cell>
          <cell r="CK227">
            <v>0.43401716039400001</v>
          </cell>
          <cell r="CP227">
            <v>0.43723003164500002</v>
          </cell>
          <cell r="CU227">
            <v>0.43304697194300001</v>
          </cell>
          <cell r="CZ227">
            <v>0.49160475307500001</v>
          </cell>
          <cell r="DE227">
            <v>0.54277061010600003</v>
          </cell>
        </row>
        <row r="228">
          <cell r="B228" t="str">
            <v>% of CoGS from non-U.S. (GS estimate)</v>
          </cell>
          <cell r="C228" t="str">
            <v>COGS_PCT_ROW</v>
          </cell>
          <cell r="BB228">
            <v>0.65509447698500001</v>
          </cell>
          <cell r="BG228">
            <v>0.65509447698500001</v>
          </cell>
          <cell r="BL228">
            <v>0.61897710808499995</v>
          </cell>
          <cell r="BQ228">
            <v>0.58899782076700002</v>
          </cell>
          <cell r="BV228">
            <v>0.56000000000000005</v>
          </cell>
          <cell r="CA228">
            <v>0.578760034581</v>
          </cell>
          <cell r="CF228">
            <v>0.57216043032399999</v>
          </cell>
          <cell r="CK228">
            <v>0.56598283960600004</v>
          </cell>
          <cell r="CP228">
            <v>0.56276996835500004</v>
          </cell>
          <cell r="CU228">
            <v>0.56695302805699999</v>
          </cell>
          <cell r="CZ228">
            <v>0.50839524692500004</v>
          </cell>
          <cell r="DE228">
            <v>0.45722938989400003</v>
          </cell>
        </row>
        <row r="229">
          <cell r="B229" t="str">
            <v>% of SG&amp;A from U.S. (GS estimate)</v>
          </cell>
          <cell r="C229" t="str">
            <v>SGA_PCT_US</v>
          </cell>
          <cell r="BB229">
            <v>0.34490552301499999</v>
          </cell>
          <cell r="BG229">
            <v>0.34490552301499999</v>
          </cell>
          <cell r="BL229">
            <v>0.38102289191499999</v>
          </cell>
          <cell r="BQ229">
            <v>0.41100217923299998</v>
          </cell>
          <cell r="BV229">
            <v>0.39</v>
          </cell>
          <cell r="CA229">
            <v>0.421239965419</v>
          </cell>
          <cell r="CF229">
            <v>0.42783956967600001</v>
          </cell>
          <cell r="CK229">
            <v>0.43401716039400001</v>
          </cell>
          <cell r="CP229">
            <v>0.43723003164500002</v>
          </cell>
          <cell r="CU229">
            <v>0.43304697194300001</v>
          </cell>
          <cell r="CZ229">
            <v>0.49160475307500001</v>
          </cell>
          <cell r="DE229">
            <v>0.54277061010600003</v>
          </cell>
        </row>
        <row r="230">
          <cell r="B230" t="str">
            <v>% of SG&amp;A from non-U.S. (GS estimate)</v>
          </cell>
          <cell r="C230" t="str">
            <v>SGA_PCT_ROW</v>
          </cell>
          <cell r="BB230">
            <v>0.65509447698500001</v>
          </cell>
          <cell r="BG230">
            <v>0.65509447698500001</v>
          </cell>
          <cell r="BL230">
            <v>0.61897710808499995</v>
          </cell>
          <cell r="BQ230">
            <v>0.58899782076700002</v>
          </cell>
          <cell r="BV230">
            <v>0.61</v>
          </cell>
          <cell r="CA230">
            <v>0.578760034581</v>
          </cell>
          <cell r="CF230">
            <v>0.57216043032399999</v>
          </cell>
          <cell r="CK230">
            <v>0.56598283960600004</v>
          </cell>
          <cell r="CP230">
            <v>0.56276996835500004</v>
          </cell>
          <cell r="CU230">
            <v>0.56695302805699999</v>
          </cell>
          <cell r="CZ230">
            <v>0.50839524692500004</v>
          </cell>
          <cell r="DE230">
            <v>0.45722938989400003</v>
          </cell>
        </row>
        <row r="231">
          <cell r="B231" t="str">
            <v>Sales -% Consumer (C)</v>
          </cell>
          <cell r="C231" t="str">
            <v>SALES_CONS</v>
          </cell>
          <cell r="F231">
            <v>1</v>
          </cell>
          <cell r="G231">
            <v>1</v>
          </cell>
          <cell r="H231">
            <v>1</v>
          </cell>
          <cell r="I231">
            <v>1</v>
          </cell>
          <cell r="J231">
            <v>1</v>
          </cell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F231">
            <v>1</v>
          </cell>
          <cell r="CK231">
            <v>1</v>
          </cell>
          <cell r="CP231">
            <v>1</v>
          </cell>
          <cell r="CU231">
            <v>1</v>
          </cell>
          <cell r="CZ231">
            <v>1</v>
          </cell>
          <cell r="DE231">
            <v>1</v>
          </cell>
        </row>
        <row r="232">
          <cell r="B232" t="str">
            <v>Sales -% Industry (I)</v>
          </cell>
          <cell r="C232" t="str">
            <v>SALES_IND</v>
          </cell>
        </row>
        <row r="233">
          <cell r="B233" t="str">
            <v>Sales -% Government (G)</v>
          </cell>
          <cell r="C233" t="str">
            <v>SALES_GOV</v>
          </cell>
        </row>
        <row r="234">
          <cell r="B234" t="str">
            <v>Sales - % Industry Sub-Segment: Financial Services</v>
          </cell>
          <cell r="C234" t="str">
            <v>SALES_FINAN</v>
          </cell>
        </row>
        <row r="235">
          <cell r="B235" t="str">
            <v>Sales - % Industry Sub-Segment: Oil &amp; Gas</v>
          </cell>
          <cell r="C235" t="str">
            <v>SALES_OIL_GAS</v>
          </cell>
        </row>
        <row r="236">
          <cell r="B236" t="str">
            <v>Sales - % from Captive Financing Business</v>
          </cell>
          <cell r="C236" t="str">
            <v>REV_FIN_SEGMENT</v>
          </cell>
        </row>
        <row r="237">
          <cell r="A237" t="str">
            <v>Commodities Exposure - Sales</v>
          </cell>
        </row>
        <row r="238">
          <cell r="B238" t="str">
            <v>Sales - % Wheat</v>
          </cell>
          <cell r="C238" t="str">
            <v>SALES_WHEAT</v>
          </cell>
        </row>
        <row r="239">
          <cell r="B239" t="str">
            <v>Sales - % Sugar</v>
          </cell>
          <cell r="C239" t="str">
            <v>SALES_SUGAR</v>
          </cell>
        </row>
        <row r="240">
          <cell r="B240" t="str">
            <v>Sales - % Soybean</v>
          </cell>
          <cell r="C240" t="str">
            <v>SALES_SOYBEAN</v>
          </cell>
        </row>
        <row r="241">
          <cell r="B241" t="str">
            <v>Sales - % Corn</v>
          </cell>
          <cell r="C241" t="str">
            <v>SALES_CORN</v>
          </cell>
        </row>
        <row r="242">
          <cell r="B242" t="str">
            <v>Sales - % Coffee</v>
          </cell>
          <cell r="C242" t="str">
            <v>SALES_COFFEE</v>
          </cell>
        </row>
        <row r="243">
          <cell r="B243" t="str">
            <v>Sales - % Cocoa</v>
          </cell>
          <cell r="C243" t="str">
            <v>SALES_COCOA</v>
          </cell>
        </row>
        <row r="244">
          <cell r="B244" t="str">
            <v>Sales - % Beef</v>
          </cell>
          <cell r="C244" t="str">
            <v>SALES_BEEF</v>
          </cell>
        </row>
        <row r="245">
          <cell r="B245" t="str">
            <v>Sales - % Pork</v>
          </cell>
          <cell r="C245" t="str">
            <v>SALES_PORK</v>
          </cell>
        </row>
        <row r="246">
          <cell r="B246" t="str">
            <v>Sales - % Chicken</v>
          </cell>
          <cell r="C246" t="str">
            <v>SALES_CHICKEN</v>
          </cell>
        </row>
        <row r="247">
          <cell r="B247" t="str">
            <v>Sales - % Dairy</v>
          </cell>
          <cell r="C247" t="str">
            <v>SALES_DAIRY</v>
          </cell>
        </row>
        <row r="248">
          <cell r="B248" t="str">
            <v>Sales - % Nuts</v>
          </cell>
          <cell r="C248" t="str">
            <v>SALES_NUTS</v>
          </cell>
        </row>
        <row r="249">
          <cell r="B249" t="str">
            <v>Sales - % Water</v>
          </cell>
          <cell r="C249" t="str">
            <v>SALES_WATER</v>
          </cell>
        </row>
        <row r="250">
          <cell r="B250" t="str">
            <v>Sales - % Other commodity</v>
          </cell>
          <cell r="C250" t="str">
            <v>SALES_OTH_COMMODITY</v>
          </cell>
        </row>
        <row r="251">
          <cell r="B251" t="str">
            <v>Sales - % Other (Non-Commodity) sales sources</v>
          </cell>
          <cell r="C251" t="str">
            <v>SALES_OTH_SALES_SOURCES</v>
          </cell>
        </row>
        <row r="252">
          <cell r="A252" t="str">
            <v>Commodities Exposure - Expense</v>
          </cell>
        </row>
        <row r="253">
          <cell r="B253" t="str">
            <v>Expense - % Oil/Petrol/Fuel</v>
          </cell>
          <cell r="C253" t="str">
            <v>EXP_OIL_PETRO_FUEL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F253">
            <v>0</v>
          </cell>
          <cell r="CK253">
            <v>0</v>
          </cell>
          <cell r="CP253">
            <v>0</v>
          </cell>
          <cell r="CU253">
            <v>0</v>
          </cell>
          <cell r="CZ253">
            <v>0</v>
          </cell>
          <cell r="DE253">
            <v>0</v>
          </cell>
        </row>
        <row r="254">
          <cell r="B254" t="str">
            <v>Expense - % Oil derivatives/NGLs/plastics</v>
          </cell>
          <cell r="C254" t="str">
            <v>EXP_OIL_DERIV_NGLS_PLASTICS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F254">
            <v>0</v>
          </cell>
          <cell r="CK254">
            <v>0</v>
          </cell>
          <cell r="CP254">
            <v>0</v>
          </cell>
          <cell r="CU254">
            <v>0</v>
          </cell>
          <cell r="CZ254">
            <v>0</v>
          </cell>
          <cell r="DE254">
            <v>0</v>
          </cell>
        </row>
        <row r="255">
          <cell r="B255" t="str">
            <v>Expense - % Aluminium</v>
          </cell>
          <cell r="C255" t="str">
            <v>EXP_ALUMINIUM</v>
          </cell>
        </row>
        <row r="256">
          <cell r="B256" t="str">
            <v>Expense - % Steel</v>
          </cell>
          <cell r="C256" t="str">
            <v>EXP_STEEL</v>
          </cell>
        </row>
        <row r="257">
          <cell r="B257" t="str">
            <v>Expense - % Tin</v>
          </cell>
          <cell r="C257" t="str">
            <v>EXP_TIN</v>
          </cell>
        </row>
        <row r="258">
          <cell r="B258" t="str">
            <v>Expense - % Paper/pulp</v>
          </cell>
          <cell r="C258" t="str">
            <v>EXP_PAPER_PULP</v>
          </cell>
        </row>
        <row r="259">
          <cell r="B259" t="str">
            <v>Expense - % Glass</v>
          </cell>
          <cell r="C259" t="str">
            <v>EXP_GLASS</v>
          </cell>
        </row>
        <row r="260">
          <cell r="B260" t="str">
            <v>Expense - % Wheat</v>
          </cell>
          <cell r="C260" t="str">
            <v>EXP_WHEAT</v>
          </cell>
        </row>
        <row r="261">
          <cell r="B261" t="str">
            <v>Expense - % Sugar</v>
          </cell>
          <cell r="C261" t="str">
            <v>EXP_SUGAR</v>
          </cell>
        </row>
        <row r="262">
          <cell r="B262" t="str">
            <v>Expense - % Soybean</v>
          </cell>
          <cell r="C262" t="str">
            <v>EXP_SOYBEAN</v>
          </cell>
        </row>
        <row r="263">
          <cell r="B263" t="str">
            <v>Expense - % Corn</v>
          </cell>
          <cell r="C263" t="str">
            <v>EXP_CORN</v>
          </cell>
        </row>
        <row r="264">
          <cell r="B264" t="str">
            <v>Expense - % Coffee</v>
          </cell>
          <cell r="C264" t="str">
            <v>EXP_COFFEE</v>
          </cell>
        </row>
        <row r="265">
          <cell r="B265" t="str">
            <v>Expense - % Cocoa</v>
          </cell>
          <cell r="C265" t="str">
            <v>EXP_COCOA</v>
          </cell>
        </row>
        <row r="266">
          <cell r="B266" t="str">
            <v>Expense - % Beef</v>
          </cell>
          <cell r="C266" t="str">
            <v>EXP_BEEF</v>
          </cell>
        </row>
        <row r="267">
          <cell r="B267" t="str">
            <v>Expense - % Pork</v>
          </cell>
          <cell r="C267" t="str">
            <v>EXP_PORK</v>
          </cell>
        </row>
        <row r="268">
          <cell r="B268" t="str">
            <v>Expense - % Chicken</v>
          </cell>
          <cell r="C268" t="str">
            <v>EXP_CHICKEN</v>
          </cell>
        </row>
        <row r="269">
          <cell r="B269" t="str">
            <v>Expense - % Dairy</v>
          </cell>
          <cell r="C269" t="str">
            <v>EXP_DAIRY</v>
          </cell>
        </row>
        <row r="270">
          <cell r="B270" t="str">
            <v>Expense - % Nuts</v>
          </cell>
          <cell r="C270" t="str">
            <v>EXP_NUTS</v>
          </cell>
        </row>
        <row r="271">
          <cell r="B271" t="str">
            <v>Expense - % Palm oil</v>
          </cell>
          <cell r="C271" t="str">
            <v>EXP_PALM_OIL</v>
          </cell>
        </row>
        <row r="272">
          <cell r="B272" t="str">
            <v>Expense - % Other edible oil</v>
          </cell>
          <cell r="C272" t="str">
            <v>EXP_OTH_EDIBLE_OIL</v>
          </cell>
        </row>
        <row r="273">
          <cell r="B273" t="str">
            <v>Expense - % Water</v>
          </cell>
          <cell r="C273" t="str">
            <v>EXP_WATER</v>
          </cell>
        </row>
        <row r="274">
          <cell r="B274" t="str">
            <v>Expense - % Other commodity</v>
          </cell>
          <cell r="C274" t="str">
            <v>EXP_OTH_COMMODITY</v>
          </cell>
        </row>
        <row r="275">
          <cell r="B275" t="str">
            <v>Expense - % Other (Non-Commodity) cost</v>
          </cell>
          <cell r="C275" t="str">
            <v>EXP_OTH_COST</v>
          </cell>
        </row>
        <row r="276">
          <cell r="A276" t="str">
            <v>FX Exposure - Sales</v>
          </cell>
        </row>
        <row r="277">
          <cell r="B277" t="str">
            <v>Sales - % FX: British Pounds/Pence</v>
          </cell>
          <cell r="C277" t="str">
            <v>SALES_FX_GPB</v>
          </cell>
          <cell r="BG277">
            <v>0</v>
          </cell>
          <cell r="BL277">
            <v>0</v>
          </cell>
          <cell r="BQ277">
            <v>0</v>
          </cell>
          <cell r="BV277">
            <v>0</v>
          </cell>
          <cell r="CA277">
            <v>0</v>
          </cell>
          <cell r="CF277">
            <v>0</v>
          </cell>
          <cell r="CK277">
            <v>0</v>
          </cell>
          <cell r="CP277">
            <v>0</v>
          </cell>
          <cell r="CU277">
            <v>0</v>
          </cell>
          <cell r="CZ277">
            <v>0</v>
          </cell>
          <cell r="DE277">
            <v>0</v>
          </cell>
        </row>
        <row r="278">
          <cell r="B278" t="str">
            <v>Sales - % FX: Euro</v>
          </cell>
          <cell r="C278" t="str">
            <v>SALES_FX_EUR</v>
          </cell>
          <cell r="BG278">
            <v>4.6781826004E-2</v>
          </cell>
          <cell r="BL278">
            <v>5.6473485945999997E-2</v>
          </cell>
          <cell r="BQ278">
            <v>5.8582267366000002E-2</v>
          </cell>
          <cell r="BV278">
            <v>5.7552485851999999E-2</v>
          </cell>
          <cell r="CA278">
            <v>5.6850685439000001E-2</v>
          </cell>
          <cell r="CF278">
            <v>6.4387106893999999E-2</v>
          </cell>
          <cell r="CK278">
            <v>6.8491679144000006E-2</v>
          </cell>
          <cell r="CP278">
            <v>6.7302619591000007E-2</v>
          </cell>
          <cell r="CU278">
            <v>7.3934931908000004E-2</v>
          </cell>
          <cell r="CZ278">
            <v>8.9025139128999994E-2</v>
          </cell>
          <cell r="DE278">
            <v>8.4298657550999995E-2</v>
          </cell>
        </row>
        <row r="279">
          <cell r="B279" t="str">
            <v>Sales - % FX: New Russian Ruble</v>
          </cell>
          <cell r="C279" t="str">
            <v>SALES_FX_RUB</v>
          </cell>
          <cell r="BG279">
            <v>0</v>
          </cell>
          <cell r="BL279">
            <v>0</v>
          </cell>
          <cell r="BQ279">
            <v>0</v>
          </cell>
          <cell r="BV279">
            <v>0</v>
          </cell>
          <cell r="CA279">
            <v>0</v>
          </cell>
          <cell r="CF279">
            <v>0</v>
          </cell>
          <cell r="CK279">
            <v>0</v>
          </cell>
          <cell r="CP279">
            <v>0</v>
          </cell>
          <cell r="CU279">
            <v>0</v>
          </cell>
          <cell r="CZ279">
            <v>0</v>
          </cell>
          <cell r="DE279">
            <v>0</v>
          </cell>
        </row>
        <row r="280">
          <cell r="B280" t="str">
            <v>Sales - % FX: U.S. Dollar</v>
          </cell>
          <cell r="C280" t="str">
            <v>SALES_FX_USD</v>
          </cell>
          <cell r="BG280">
            <v>0.34490552301499999</v>
          </cell>
          <cell r="BL280">
            <v>0.38102289191499999</v>
          </cell>
          <cell r="BQ280">
            <v>0.41100217923299998</v>
          </cell>
          <cell r="BV280">
            <v>0.43070407107600001</v>
          </cell>
          <cell r="CA280">
            <v>0.421239965419</v>
          </cell>
          <cell r="CF280">
            <v>0.42783956967600001</v>
          </cell>
          <cell r="CK280">
            <v>0.43401716039400001</v>
          </cell>
          <cell r="CP280">
            <v>0.43723003164500002</v>
          </cell>
          <cell r="CU280">
            <v>0.43304697194300001</v>
          </cell>
          <cell r="CZ280">
            <v>0.49160475307500001</v>
          </cell>
          <cell r="DE280">
            <v>0.54277061010600003</v>
          </cell>
        </row>
        <row r="281">
          <cell r="B281" t="str">
            <v>Sales - % FX: Brazilian Real</v>
          </cell>
          <cell r="C281" t="str">
            <v>SALES_FX_BRL</v>
          </cell>
          <cell r="BG281">
            <v>0</v>
          </cell>
          <cell r="BL281">
            <v>0</v>
          </cell>
          <cell r="BQ281">
            <v>0</v>
          </cell>
          <cell r="BV281">
            <v>0</v>
          </cell>
          <cell r="CA281">
            <v>0</v>
          </cell>
          <cell r="CF281">
            <v>0</v>
          </cell>
          <cell r="CK281">
            <v>0</v>
          </cell>
          <cell r="CP281">
            <v>0</v>
          </cell>
          <cell r="CU281">
            <v>0</v>
          </cell>
          <cell r="CZ281">
            <v>0</v>
          </cell>
          <cell r="DE281">
            <v>0</v>
          </cell>
        </row>
        <row r="282">
          <cell r="B282" t="str">
            <v>Sales - % FX: Japanese Yen</v>
          </cell>
          <cell r="C282" t="str">
            <v>SALES_FX_YEN</v>
          </cell>
          <cell r="BG282">
            <v>0.54208610476899999</v>
          </cell>
          <cell r="BL282">
            <v>0.49447696319899997</v>
          </cell>
          <cell r="BQ282">
            <v>0.454356590974</v>
          </cell>
          <cell r="BV282">
            <v>0.42974989350699999</v>
          </cell>
          <cell r="CA282">
            <v>0.43564283067800003</v>
          </cell>
          <cell r="CF282">
            <v>0.41844238283500002</v>
          </cell>
          <cell r="CK282">
            <v>0.40140920720000001</v>
          </cell>
          <cell r="CP282">
            <v>0.40097747556300001</v>
          </cell>
          <cell r="CU282">
            <v>0.389745934766</v>
          </cell>
          <cell r="CZ282">
            <v>0.30360199577800001</v>
          </cell>
          <cell r="DE282">
            <v>0.24801069726200001</v>
          </cell>
        </row>
        <row r="283">
          <cell r="B283" t="str">
            <v>Sales - % FX: Chinese Renminbi</v>
          </cell>
          <cell r="C283" t="str">
            <v>SALES_FX_CNY</v>
          </cell>
          <cell r="BG283">
            <v>0</v>
          </cell>
          <cell r="BL283">
            <v>0</v>
          </cell>
          <cell r="BQ283">
            <v>0</v>
          </cell>
          <cell r="BV283">
            <v>0</v>
          </cell>
          <cell r="CA283">
            <v>0</v>
          </cell>
          <cell r="CF283">
            <v>0</v>
          </cell>
          <cell r="CK283">
            <v>0</v>
          </cell>
          <cell r="CP283">
            <v>0</v>
          </cell>
          <cell r="CU283">
            <v>0</v>
          </cell>
          <cell r="CZ283">
            <v>0</v>
          </cell>
          <cell r="DE283">
            <v>0</v>
          </cell>
        </row>
        <row r="284">
          <cell r="B284" t="str">
            <v>Sales - % FX: Indian Rupee</v>
          </cell>
          <cell r="C284" t="str">
            <v>SALES_FX_INR</v>
          </cell>
          <cell r="BG284">
            <v>0</v>
          </cell>
          <cell r="BL284">
            <v>0</v>
          </cell>
          <cell r="BQ284">
            <v>0</v>
          </cell>
          <cell r="BV284">
            <v>0</v>
          </cell>
          <cell r="CA284">
            <v>0</v>
          </cell>
          <cell r="CF284">
            <v>0</v>
          </cell>
          <cell r="CK284">
            <v>0</v>
          </cell>
          <cell r="CP284">
            <v>0</v>
          </cell>
          <cell r="CU284">
            <v>0</v>
          </cell>
          <cell r="CZ284">
            <v>0</v>
          </cell>
          <cell r="DE284">
            <v>0</v>
          </cell>
        </row>
        <row r="285">
          <cell r="B285" t="str">
            <v>Sales - % FX: Indonesian Rupiah</v>
          </cell>
          <cell r="C285" t="str">
            <v>SALES_FX_IDR</v>
          </cell>
          <cell r="BG285">
            <v>0</v>
          </cell>
          <cell r="BL285">
            <v>0</v>
          </cell>
          <cell r="BQ285">
            <v>0</v>
          </cell>
          <cell r="BV285">
            <v>0</v>
          </cell>
          <cell r="CA285">
            <v>0</v>
          </cell>
          <cell r="CF285">
            <v>0</v>
          </cell>
          <cell r="CK285">
            <v>0</v>
          </cell>
          <cell r="CP285">
            <v>0</v>
          </cell>
          <cell r="CU285">
            <v>0</v>
          </cell>
          <cell r="CZ285">
            <v>0</v>
          </cell>
          <cell r="DE285">
            <v>0</v>
          </cell>
        </row>
        <row r="286">
          <cell r="B286" t="str">
            <v>Sales - % FX: Thai Baht</v>
          </cell>
          <cell r="C286" t="str">
            <v>SALES_FX_THB</v>
          </cell>
          <cell r="BG286">
            <v>0</v>
          </cell>
          <cell r="BL286">
            <v>0</v>
          </cell>
          <cell r="BQ286">
            <v>0</v>
          </cell>
          <cell r="BV286">
            <v>0</v>
          </cell>
          <cell r="CA286">
            <v>0</v>
          </cell>
          <cell r="CF286">
            <v>0</v>
          </cell>
          <cell r="CK286">
            <v>0</v>
          </cell>
          <cell r="CP286">
            <v>0</v>
          </cell>
          <cell r="CU286">
            <v>0</v>
          </cell>
          <cell r="CZ286">
            <v>0</v>
          </cell>
          <cell r="DE286">
            <v>0</v>
          </cell>
        </row>
        <row r="287">
          <cell r="B287" t="str">
            <v>Sales - % FX: Australian Dollar</v>
          </cell>
          <cell r="C287" t="str">
            <v>SALES_FX_AUD</v>
          </cell>
          <cell r="BG287">
            <v>0</v>
          </cell>
          <cell r="BL287">
            <v>0</v>
          </cell>
          <cell r="BQ287">
            <v>0</v>
          </cell>
          <cell r="BV287">
            <v>0</v>
          </cell>
          <cell r="CA287">
            <v>0</v>
          </cell>
          <cell r="CF287">
            <v>0</v>
          </cell>
          <cell r="CK287">
            <v>0</v>
          </cell>
          <cell r="CP287">
            <v>0</v>
          </cell>
          <cell r="CU287">
            <v>0</v>
          </cell>
          <cell r="CZ287">
            <v>0</v>
          </cell>
          <cell r="DE287">
            <v>0</v>
          </cell>
        </row>
        <row r="288">
          <cell r="B288" t="str">
            <v>Sales - % FX: Other Currency</v>
          </cell>
          <cell r="C288" t="str">
            <v>SALES_FX_OTH</v>
          </cell>
          <cell r="BG288">
            <v>6.6226546213000004E-2</v>
          </cell>
          <cell r="BL288">
            <v>6.8026658939000006E-2</v>
          </cell>
          <cell r="BQ288">
            <v>7.6058962428000004E-2</v>
          </cell>
          <cell r="BV288">
            <v>8.1993549565000004E-2</v>
          </cell>
          <cell r="CA288">
            <v>8.6266518464000005E-2</v>
          </cell>
          <cell r="CF288">
            <v>8.9330940595000005E-2</v>
          </cell>
          <cell r="CK288">
            <v>9.6081953262000003E-2</v>
          </cell>
          <cell r="CP288">
            <v>9.4489873200000005E-2</v>
          </cell>
          <cell r="CU288">
            <v>0.10327216138299999</v>
          </cell>
          <cell r="CZ288">
            <v>0.115768112019</v>
          </cell>
          <cell r="DE288">
            <v>0.12492003508000001</v>
          </cell>
        </row>
        <row r="289">
          <cell r="A289" t="str">
            <v>Items to be removed</v>
          </cell>
        </row>
        <row r="290">
          <cell r="B290" t="str">
            <v>Sales - Total % Americas</v>
          </cell>
          <cell r="C290" t="str">
            <v>SALES_TOT_AM</v>
          </cell>
          <cell r="BG290">
            <v>0.34490552301499999</v>
          </cell>
          <cell r="BL290">
            <v>0.38102289191499999</v>
          </cell>
          <cell r="BQ290">
            <v>0.41100217923299998</v>
          </cell>
          <cell r="BV290">
            <v>0.43070407107600001</v>
          </cell>
        </row>
        <row r="291">
          <cell r="B291" t="str">
            <v>Sales - % Other Americas</v>
          </cell>
          <cell r="C291" t="str">
            <v>SALES_OTH_AM</v>
          </cell>
        </row>
        <row r="292">
          <cell r="B292" t="str">
            <v>Sales - Total % EMEA</v>
          </cell>
          <cell r="C292" t="str">
            <v>SALES_TOT_EMEA</v>
          </cell>
          <cell r="BG292">
            <v>4.6781826004E-2</v>
          </cell>
          <cell r="BL292">
            <v>5.6473485945999997E-2</v>
          </cell>
          <cell r="BQ292">
            <v>5.8582267366000002E-2</v>
          </cell>
          <cell r="BV292">
            <v>5.7552485851999999E-2</v>
          </cell>
        </row>
        <row r="293">
          <cell r="B293" t="str">
            <v>Sales - % Western Europe-Ex UK</v>
          </cell>
          <cell r="C293" t="str">
            <v>SALES_EU_EX_UK</v>
          </cell>
        </row>
        <row r="294">
          <cell r="B294" t="str">
            <v>Sales - % Central &amp; Eastern Europe</v>
          </cell>
          <cell r="C294" t="str">
            <v>SALES_CEE</v>
          </cell>
        </row>
        <row r="295">
          <cell r="B295" t="str">
            <v>Sales - % Middle East</v>
          </cell>
          <cell r="C295" t="str">
            <v>SALES_ME</v>
          </cell>
        </row>
        <row r="296">
          <cell r="B296" t="str">
            <v>Sales - % Total Africa</v>
          </cell>
          <cell r="C296" t="str">
            <v>SALES_TOT_AFRICA</v>
          </cell>
        </row>
        <row r="297">
          <cell r="B297" t="str">
            <v>Sales - % Other EMEA</v>
          </cell>
          <cell r="C297" t="str">
            <v>SALES_OTH_EMEA</v>
          </cell>
        </row>
        <row r="298">
          <cell r="B298" t="str">
            <v>Sales - Total % Asia (incl Australia &amp; New Zealand)</v>
          </cell>
          <cell r="C298" t="str">
            <v>SALES_TOT_ASIA</v>
          </cell>
          <cell r="BG298">
            <v>0.60831265098099996</v>
          </cell>
          <cell r="BL298">
            <v>0.56250362213899996</v>
          </cell>
          <cell r="BQ298">
            <v>0.53041555340199997</v>
          </cell>
          <cell r="BV298">
            <v>0.51174344307200004</v>
          </cell>
        </row>
        <row r="299">
          <cell r="B299" t="str">
            <v>Sales - % Other Asia</v>
          </cell>
          <cell r="C299" t="str">
            <v>SALES_OTH_AEJ</v>
          </cell>
          <cell r="BG299">
            <v>6.6226546213000004E-2</v>
          </cell>
          <cell r="BL299">
            <v>6.8026658939000006E-2</v>
          </cell>
          <cell r="BQ299">
            <v>7.6058962428000004E-2</v>
          </cell>
          <cell r="BV299">
            <v>8.1993549565000004E-2</v>
          </cell>
        </row>
        <row r="300">
          <cell r="A300" t="str">
            <v>Analyst Defined Items</v>
          </cell>
        </row>
        <row r="301">
          <cell r="B301" t="str">
            <v>Currency contribution to % sales growth</v>
          </cell>
          <cell r="C301" t="str">
            <v>SALES_FX</v>
          </cell>
        </row>
        <row r="303">
          <cell r="BG303">
            <v>0</v>
          </cell>
          <cell r="BL303">
            <v>0</v>
          </cell>
        </row>
        <row r="304">
          <cell r="B304" t="str">
            <v>Inorganic sales contribution to % sales growth</v>
          </cell>
          <cell r="C304" t="str">
            <v>SALES_INORGANIC</v>
          </cell>
        </row>
        <row r="305">
          <cell r="BG305">
            <v>-1.5989001990000001E-2</v>
          </cell>
          <cell r="BL305">
            <v>-9.0653056553000003E-2</v>
          </cell>
        </row>
        <row r="306">
          <cell r="B306" t="str">
            <v>Pricing contribution to % sales growth</v>
          </cell>
          <cell r="C306" t="str">
            <v>SALES_PRICE</v>
          </cell>
        </row>
        <row r="307">
          <cell r="BG307">
            <v>0</v>
          </cell>
          <cell r="BL307">
            <v>0</v>
          </cell>
        </row>
        <row r="308">
          <cell r="B308" t="str">
            <v>Volume contribution to % sales growth</v>
          </cell>
          <cell r="C308" t="str">
            <v>SALES_VOLUME</v>
          </cell>
        </row>
        <row r="309">
          <cell r="BG309">
            <v>1.5989001990000001E-2</v>
          </cell>
          <cell r="BL309">
            <v>9.0653056553000003E-2</v>
          </cell>
        </row>
        <row r="310">
          <cell r="A310" t="str">
            <v>Security: Kikkoman</v>
          </cell>
          <cell r="B310" t="str">
            <v>132XEV</v>
          </cell>
        </row>
        <row r="311">
          <cell r="A311" t="str">
            <v>Reference Data</v>
          </cell>
        </row>
        <row r="312">
          <cell r="B312" t="str">
            <v>Ticker</v>
          </cell>
          <cell r="C312" t="str">
            <v>Ticker</v>
          </cell>
          <cell r="E312" t="str">
            <v>2801.T</v>
          </cell>
        </row>
        <row r="313">
          <cell r="B313" t="str">
            <v>Security Name</v>
          </cell>
          <cell r="C313" t="str">
            <v>Security Name</v>
          </cell>
          <cell r="E313" t="str">
            <v>Kikkoman</v>
          </cell>
        </row>
        <row r="314">
          <cell r="B314" t="str">
            <v>Interim Type</v>
          </cell>
          <cell r="C314" t="str">
            <v>Interim Type</v>
          </cell>
          <cell r="E314" t="str">
            <v>Q</v>
          </cell>
        </row>
        <row r="315">
          <cell r="B315" t="str">
            <v>Publishing Currency</v>
          </cell>
          <cell r="C315" t="str">
            <v>PUB_CURRENCY_ISO</v>
          </cell>
          <cell r="E315" t="str">
            <v>JPY</v>
          </cell>
        </row>
        <row r="316">
          <cell r="B316" t="str">
            <v>Pricing Currency</v>
          </cell>
          <cell r="C316" t="str">
            <v>PRICE_CURRENCY_ISO</v>
          </cell>
          <cell r="E316" t="str">
            <v>JPY</v>
          </cell>
        </row>
        <row r="317">
          <cell r="B317" t="str">
            <v>Reporting Currency</v>
          </cell>
          <cell r="C317" t="str">
            <v>CURRENCY_ISO</v>
          </cell>
          <cell r="E317" t="str">
            <v>JPY</v>
          </cell>
        </row>
        <row r="318">
          <cell r="A318" t="str">
            <v>General Information</v>
          </cell>
        </row>
        <row r="319">
          <cell r="B319" t="str">
            <v>Japan Investment List</v>
          </cell>
          <cell r="C319" t="str">
            <v>JAPAN_LIST</v>
          </cell>
        </row>
        <row r="320">
          <cell r="B320" t="str">
            <v>Japan Conviction List</v>
          </cell>
          <cell r="C320" t="str">
            <v>NOT IN USE</v>
          </cell>
        </row>
        <row r="322">
          <cell r="B322" t="str">
            <v>Legal rating</v>
          </cell>
          <cell r="C322" t="str">
            <v>LEGAL_RATING</v>
          </cell>
        </row>
        <row r="323">
          <cell r="B323" t="str">
            <v>Target price</v>
          </cell>
          <cell r="C323" t="str">
            <v>TARGET_PRICE</v>
          </cell>
          <cell r="D323" t="str">
            <v>JPY</v>
          </cell>
          <cell r="E323">
            <v>10100</v>
          </cell>
        </row>
        <row r="324">
          <cell r="B324" t="str">
            <v>Target price period</v>
          </cell>
          <cell r="C324" t="str">
            <v>TP_PERIOD</v>
          </cell>
          <cell r="E324" t="str">
            <v>12 months</v>
          </cell>
        </row>
        <row r="325">
          <cell r="B325" t="str">
            <v>Fundamental value</v>
          </cell>
          <cell r="C325" t="str">
            <v>TARGET_PRICE_FUNDAMENTAL</v>
          </cell>
          <cell r="D325" t="str">
            <v>JPY</v>
          </cell>
        </row>
        <row r="326">
          <cell r="B326" t="str">
            <v>M&amp;A value</v>
          </cell>
          <cell r="C326" t="str">
            <v>TARGET_PRICE_MA</v>
          </cell>
          <cell r="D326" t="str">
            <v>JPY</v>
          </cell>
        </row>
        <row r="327">
          <cell r="B327" t="str">
            <v>Current shares outstanding (mn)</v>
          </cell>
          <cell r="C327" t="str">
            <v>NUM_SH</v>
          </cell>
          <cell r="E327">
            <v>191.47736</v>
          </cell>
        </row>
        <row r="328">
          <cell r="B328" t="str">
            <v>Free float</v>
          </cell>
          <cell r="C328" t="str">
            <v>FREE_FLOAT</v>
          </cell>
        </row>
        <row r="329">
          <cell r="B329" t="str">
            <v>Catalyst 1 date</v>
          </cell>
          <cell r="C329" t="str">
            <v>CATALYST1_DATE</v>
          </cell>
        </row>
        <row r="330">
          <cell r="B330" t="str">
            <v>Catalyst 1 description</v>
          </cell>
          <cell r="C330" t="str">
            <v>CATALYST1_EVENT</v>
          </cell>
        </row>
        <row r="331">
          <cell r="B331" t="str">
            <v>Catalyst 2 date</v>
          </cell>
          <cell r="C331" t="str">
            <v>CATALYST2_DATE</v>
          </cell>
        </row>
        <row r="332">
          <cell r="B332" t="str">
            <v>Catalyst 2 description</v>
          </cell>
          <cell r="C332" t="str">
            <v>CATALYST2_EVENT</v>
          </cell>
        </row>
        <row r="333">
          <cell r="B333" t="str">
            <v>Catalyst 3 date</v>
          </cell>
          <cell r="C333" t="str">
            <v>CATALYST3_DATE</v>
          </cell>
        </row>
        <row r="334">
          <cell r="B334" t="str">
            <v>Catalyst 3 description</v>
          </cell>
          <cell r="C334" t="str">
            <v>CATALYST3_EVENT</v>
          </cell>
        </row>
        <row r="335">
          <cell r="B335" t="str">
            <v>Catalyst 4 date</v>
          </cell>
          <cell r="C335" t="str">
            <v>CATALYST4_DATE</v>
          </cell>
        </row>
        <row r="336">
          <cell r="B336" t="str">
            <v>Catalyst 4 description</v>
          </cell>
          <cell r="C336" t="str">
            <v>CATALYST4_EVENT</v>
          </cell>
        </row>
        <row r="337">
          <cell r="B337" t="str">
            <v>Catalyst 5 date</v>
          </cell>
          <cell r="C337" t="str">
            <v>CATALYST5_DATE</v>
          </cell>
        </row>
        <row r="338">
          <cell r="B338" t="str">
            <v>Catalyst 5 description</v>
          </cell>
          <cell r="C338" t="str">
            <v>CATALYST5_EVENT</v>
          </cell>
        </row>
        <row r="339">
          <cell r="B339" t="str">
            <v>Target price multiple</v>
          </cell>
          <cell r="C339" t="str">
            <v>PRI_TARG_MULT</v>
          </cell>
        </row>
        <row r="340">
          <cell r="B340" t="str">
            <v>Target price methodology</v>
          </cell>
          <cell r="C340" t="str">
            <v>PRI_TARG_METH</v>
          </cell>
          <cell r="E340" t="str">
            <v>EV/NOPAT</v>
          </cell>
        </row>
        <row r="341">
          <cell r="B341" t="str">
            <v>Dividend policy</v>
          </cell>
          <cell r="C341" t="str">
            <v>DIV_POLICY</v>
          </cell>
          <cell r="E341" t="str">
            <v>Target dividend payout ratio of more than 30%</v>
          </cell>
        </row>
        <row r="342">
          <cell r="A342" t="str">
            <v>Publishing Items</v>
          </cell>
        </row>
        <row r="343">
          <cell r="B343" t="str">
            <v>Book value per share, BVPS (Pub)</v>
          </cell>
          <cell r="C343" t="str">
            <v>BVPS_PUB</v>
          </cell>
          <cell r="D343" t="str">
            <v>JPY</v>
          </cell>
          <cell r="G343">
            <v>493.96915638313698</v>
          </cell>
          <cell r="H343">
            <v>510.94311159253499</v>
          </cell>
          <cell r="I343">
            <v>532.48593466078898</v>
          </cell>
          <cell r="J343">
            <v>551.67127110268802</v>
          </cell>
          <cell r="K343">
            <v>571.18998622042602</v>
          </cell>
          <cell r="L343">
            <v>605.99547950891395</v>
          </cell>
          <cell r="M343">
            <v>616.71213956641395</v>
          </cell>
          <cell r="N343">
            <v>671.13290559873201</v>
          </cell>
          <cell r="O343">
            <v>671.01915288614896</v>
          </cell>
          <cell r="P343">
            <v>723.80676895799502</v>
          </cell>
          <cell r="S343">
            <v>757.41785998098101</v>
          </cell>
          <cell r="X343">
            <v>871.30739287917004</v>
          </cell>
          <cell r="AC343">
            <v>906.84699524855796</v>
          </cell>
          <cell r="AH343">
            <v>864.36248006172002</v>
          </cell>
          <cell r="AM343">
            <v>775.12160318103099</v>
          </cell>
          <cell r="AR343">
            <v>801.68608203133897</v>
          </cell>
          <cell r="AW343">
            <v>784.45390305646401</v>
          </cell>
          <cell r="BB343">
            <v>809.26980715065702</v>
          </cell>
          <cell r="BG343">
            <v>934.66198440141602</v>
          </cell>
          <cell r="BL343">
            <v>1045.8565587662799</v>
          </cell>
          <cell r="BQ343">
            <v>1210.77294841154</v>
          </cell>
          <cell r="BV343">
            <v>1160.05643842992</v>
          </cell>
          <cell r="CA343">
            <v>1242.7159363399101</v>
          </cell>
          <cell r="CF343">
            <v>1292.18068973257</v>
          </cell>
          <cell r="CK343">
            <v>1382.6033351562201</v>
          </cell>
          <cell r="CP343">
            <v>1419.1209830186201</v>
          </cell>
          <cell r="CU343">
            <v>1593.8966494061201</v>
          </cell>
          <cell r="CZ343">
            <v>1868.13030071146</v>
          </cell>
          <cell r="DE343">
            <v>2143.9297053186901</v>
          </cell>
        </row>
        <row r="344">
          <cell r="B344" t="str">
            <v>DPS, dividend per share (Pub)</v>
          </cell>
          <cell r="C344" t="str">
            <v>DPS_PUB</v>
          </cell>
          <cell r="D344" t="str">
            <v>JPY</v>
          </cell>
          <cell r="F344">
            <v>0</v>
          </cell>
          <cell r="G344">
            <v>7</v>
          </cell>
          <cell r="H344">
            <v>7</v>
          </cell>
          <cell r="I344">
            <v>7</v>
          </cell>
          <cell r="J344">
            <v>7</v>
          </cell>
          <cell r="K344">
            <v>7</v>
          </cell>
          <cell r="L344">
            <v>7</v>
          </cell>
          <cell r="M344">
            <v>7</v>
          </cell>
          <cell r="N344">
            <v>7</v>
          </cell>
          <cell r="O344">
            <v>8</v>
          </cell>
          <cell r="P344">
            <v>10</v>
          </cell>
          <cell r="S344">
            <v>10</v>
          </cell>
          <cell r="X344">
            <v>12</v>
          </cell>
          <cell r="AC344">
            <v>15</v>
          </cell>
          <cell r="AH344">
            <v>15</v>
          </cell>
          <cell r="AM344">
            <v>15</v>
          </cell>
          <cell r="AR344">
            <v>15</v>
          </cell>
          <cell r="AW344">
            <v>15</v>
          </cell>
          <cell r="AX344">
            <v>0</v>
          </cell>
          <cell r="AY344">
            <v>7.5</v>
          </cell>
          <cell r="AZ344">
            <v>0</v>
          </cell>
          <cell r="BA344">
            <v>7.5</v>
          </cell>
          <cell r="BB344">
            <v>15</v>
          </cell>
          <cell r="BC344">
            <v>0</v>
          </cell>
          <cell r="BD344">
            <v>10</v>
          </cell>
          <cell r="BE344">
            <v>0</v>
          </cell>
          <cell r="BF344">
            <v>10</v>
          </cell>
          <cell r="BG344">
            <v>20</v>
          </cell>
          <cell r="BH344">
            <v>0</v>
          </cell>
          <cell r="BI344">
            <v>10</v>
          </cell>
          <cell r="BJ344">
            <v>0</v>
          </cell>
          <cell r="BK344">
            <v>10</v>
          </cell>
          <cell r="BL344">
            <v>20</v>
          </cell>
          <cell r="BQ344">
            <v>24</v>
          </cell>
          <cell r="BV344">
            <v>32</v>
          </cell>
          <cell r="CA344">
            <v>34</v>
          </cell>
          <cell r="CF344">
            <v>39</v>
          </cell>
          <cell r="CK344">
            <v>41</v>
          </cell>
          <cell r="CP344">
            <v>42</v>
          </cell>
          <cell r="CU344">
            <v>45</v>
          </cell>
          <cell r="CZ344">
            <v>61</v>
          </cell>
          <cell r="DE344">
            <v>78</v>
          </cell>
        </row>
        <row r="345">
          <cell r="B345" t="str">
            <v>Special dividend per share</v>
          </cell>
          <cell r="C345" t="str">
            <v>DPS_SPECIAL_PUB</v>
          </cell>
          <cell r="D345" t="str">
            <v>JPY</v>
          </cell>
        </row>
        <row r="346">
          <cell r="B346" t="str">
            <v>EBITDA (Pub)</v>
          </cell>
          <cell r="C346" t="str">
            <v>EBITDA_PUB</v>
          </cell>
          <cell r="D346" t="str">
            <v>JPY</v>
          </cell>
          <cell r="F346">
            <v>0</v>
          </cell>
          <cell r="G346">
            <v>19346</v>
          </cell>
          <cell r="H346">
            <v>18166</v>
          </cell>
          <cell r="I346">
            <v>17637</v>
          </cell>
          <cell r="J346">
            <v>19686</v>
          </cell>
          <cell r="K346">
            <v>20996</v>
          </cell>
          <cell r="L346">
            <v>30605</v>
          </cell>
          <cell r="M346">
            <v>32571</v>
          </cell>
          <cell r="N346">
            <v>31379</v>
          </cell>
          <cell r="O346">
            <v>32932</v>
          </cell>
          <cell r="P346">
            <v>30906</v>
          </cell>
          <cell r="S346">
            <v>31469</v>
          </cell>
          <cell r="X346">
            <v>32780</v>
          </cell>
          <cell r="AC346">
            <v>37936</v>
          </cell>
          <cell r="AH346">
            <v>41514</v>
          </cell>
          <cell r="AM346">
            <v>37607</v>
          </cell>
          <cell r="AR346">
            <v>33121</v>
          </cell>
          <cell r="AW346">
            <v>31358</v>
          </cell>
          <cell r="BB346">
            <v>30375</v>
          </cell>
          <cell r="BG346">
            <v>31967</v>
          </cell>
          <cell r="BL346">
            <v>36829</v>
          </cell>
          <cell r="BQ346">
            <v>39772</v>
          </cell>
          <cell r="BV346">
            <v>44535</v>
          </cell>
          <cell r="CA346">
            <v>45182</v>
          </cell>
          <cell r="CF346">
            <v>49662</v>
          </cell>
          <cell r="CK346">
            <v>51677</v>
          </cell>
          <cell r="CP346">
            <v>53658</v>
          </cell>
          <cell r="CU346">
            <v>57540</v>
          </cell>
          <cell r="CZ346">
            <v>72304</v>
          </cell>
          <cell r="DE346">
            <v>81017</v>
          </cell>
        </row>
        <row r="347">
          <cell r="B347" t="str">
            <v>EPS (Pub)</v>
          </cell>
          <cell r="C347" t="str">
            <v>EPS_PUB</v>
          </cell>
          <cell r="D347" t="str">
            <v>JPY</v>
          </cell>
          <cell r="G347">
            <v>23.677933252401001</v>
          </cell>
          <cell r="H347">
            <v>36.946886948408</v>
          </cell>
          <cell r="I347">
            <v>28.955081591464999</v>
          </cell>
          <cell r="J347">
            <v>26.460177888661999</v>
          </cell>
          <cell r="K347">
            <v>26.805001977667999</v>
          </cell>
          <cell r="L347">
            <v>31.186296285027002</v>
          </cell>
          <cell r="M347">
            <v>29.374177772964</v>
          </cell>
          <cell r="N347">
            <v>27.195464549040999</v>
          </cell>
          <cell r="O347">
            <v>42.144602995912997</v>
          </cell>
          <cell r="P347">
            <v>47.093842861634002</v>
          </cell>
          <cell r="S347">
            <v>48.108031358707997</v>
          </cell>
          <cell r="X347">
            <v>51.343292664374999</v>
          </cell>
          <cell r="AC347">
            <v>54.456851350392</v>
          </cell>
          <cell r="AH347">
            <v>58.046990324149</v>
          </cell>
          <cell r="AM347">
            <v>13.052372879086001</v>
          </cell>
          <cell r="AR347">
            <v>40.887294794572</v>
          </cell>
          <cell r="AW347">
            <v>36.932606434995002</v>
          </cell>
          <cell r="BB347">
            <v>42.698275882311002</v>
          </cell>
          <cell r="BG347">
            <v>54.835331283822001</v>
          </cell>
          <cell r="BL347">
            <v>62.817503114140997</v>
          </cell>
          <cell r="BQ347">
            <v>78.197522203074001</v>
          </cell>
          <cell r="BV347">
            <v>102.662486590021</v>
          </cell>
          <cell r="BW347">
            <v>57.330304034515997</v>
          </cell>
          <cell r="BX347">
            <v>25.576781534409001</v>
          </cell>
          <cell r="BY347">
            <v>33.016829118406001</v>
          </cell>
          <cell r="BZ347">
            <v>7.3520303196069996</v>
          </cell>
          <cell r="CA347">
            <v>123.27594500693699</v>
          </cell>
          <cell r="CB347">
            <v>31.65512904134</v>
          </cell>
          <cell r="CC347">
            <v>30.814727385375001</v>
          </cell>
          <cell r="CD347">
            <v>32.728975601739002</v>
          </cell>
          <cell r="CE347">
            <v>28.506216663743</v>
          </cell>
          <cell r="CF347">
            <v>123.70504869219801</v>
          </cell>
          <cell r="CG347">
            <v>37</v>
          </cell>
          <cell r="CH347">
            <v>37.659999999999997</v>
          </cell>
          <cell r="CI347">
            <v>41.71</v>
          </cell>
          <cell r="CJ347">
            <v>-19.547115973362999</v>
          </cell>
          <cell r="CK347">
            <v>135.38976171495699</v>
          </cell>
          <cell r="CL347">
            <v>41.54</v>
          </cell>
          <cell r="CM347">
            <v>38.1</v>
          </cell>
          <cell r="CN347">
            <v>42.29</v>
          </cell>
          <cell r="CO347">
            <v>16.602960379719001</v>
          </cell>
          <cell r="CP347">
            <v>138.53296037971899</v>
          </cell>
          <cell r="CQ347">
            <v>36.22</v>
          </cell>
          <cell r="CR347">
            <v>39.94</v>
          </cell>
          <cell r="CS347">
            <v>46.79</v>
          </cell>
          <cell r="CT347">
            <v>27.217339052492001</v>
          </cell>
          <cell r="CU347">
            <v>150.166784728278</v>
          </cell>
          <cell r="CV347">
            <v>60.45</v>
          </cell>
          <cell r="CW347">
            <v>50.96</v>
          </cell>
          <cell r="CX347">
            <v>62.55</v>
          </cell>
          <cell r="CY347">
            <v>28.973371287814999</v>
          </cell>
          <cell r="CZ347">
            <v>202.93337128781499</v>
          </cell>
          <cell r="DA347">
            <v>63.31</v>
          </cell>
          <cell r="DB347">
            <v>58.31</v>
          </cell>
          <cell r="DC347">
            <v>68.318224273007004</v>
          </cell>
          <cell r="DD347">
            <v>38.431484672297998</v>
          </cell>
          <cell r="DE347">
            <v>228.36970894530501</v>
          </cell>
          <cell r="DF347">
            <v>55.5</v>
          </cell>
          <cell r="DG347">
            <v>95.3</v>
          </cell>
          <cell r="DH347">
            <v>58.492554942265997</v>
          </cell>
          <cell r="DI347">
            <v>50.611727673704998</v>
          </cell>
        </row>
        <row r="348">
          <cell r="B348" t="str">
            <v>EV adjustment (Pub)</v>
          </cell>
          <cell r="C348" t="str">
            <v>EV_ADJ_PUB</v>
          </cell>
          <cell r="D348" t="str">
            <v>JPY</v>
          </cell>
        </row>
        <row r="349">
          <cell r="B349" t="str">
            <v>Net debt (Pub)</v>
          </cell>
          <cell r="C349" t="str">
            <v>NET_DEBT_PUB</v>
          </cell>
          <cell r="D349" t="str">
            <v>JPY</v>
          </cell>
          <cell r="F349">
            <v>0</v>
          </cell>
          <cell r="G349">
            <v>22156</v>
          </cell>
          <cell r="H349">
            <v>19337</v>
          </cell>
          <cell r="I349">
            <v>15334</v>
          </cell>
          <cell r="J349">
            <v>17307</v>
          </cell>
          <cell r="K349">
            <v>19277</v>
          </cell>
          <cell r="L349">
            <v>22156</v>
          </cell>
          <cell r="M349">
            <v>23322</v>
          </cell>
          <cell r="N349">
            <v>19780</v>
          </cell>
          <cell r="O349">
            <v>10795</v>
          </cell>
          <cell r="P349">
            <v>15388</v>
          </cell>
          <cell r="S349">
            <v>28905</v>
          </cell>
          <cell r="X349">
            <v>27343</v>
          </cell>
          <cell r="AC349">
            <v>41013</v>
          </cell>
          <cell r="AH349">
            <v>39420</v>
          </cell>
          <cell r="AM349">
            <v>67965</v>
          </cell>
          <cell r="AR349">
            <v>65114</v>
          </cell>
          <cell r="AW349">
            <v>54231</v>
          </cell>
          <cell r="BB349">
            <v>65940</v>
          </cell>
          <cell r="BG349">
            <v>62209</v>
          </cell>
          <cell r="BL349">
            <v>47266</v>
          </cell>
          <cell r="BQ349">
            <v>33935</v>
          </cell>
          <cell r="BV349">
            <v>29642</v>
          </cell>
          <cell r="CA349">
            <v>-361</v>
          </cell>
          <cell r="CF349">
            <v>-8396</v>
          </cell>
          <cell r="CK349">
            <v>-13073</v>
          </cell>
          <cell r="CP349">
            <v>-11175</v>
          </cell>
          <cell r="CU349">
            <v>-38328</v>
          </cell>
          <cell r="CZ349">
            <v>-61726</v>
          </cell>
          <cell r="DE349">
            <v>-81893</v>
          </cell>
        </row>
        <row r="350">
          <cell r="B350" t="str">
            <v>Net Debt (ex leases) (Pub)</v>
          </cell>
          <cell r="C350" t="str">
            <v>NET_DEBT_EX_LEASES_PUB</v>
          </cell>
          <cell r="D350" t="str">
            <v>JPY</v>
          </cell>
        </row>
        <row r="351">
          <cell r="B351" t="str">
            <v>Consensus equivalent net debt</v>
          </cell>
          <cell r="C351" t="str">
            <v>CEEE_NDEBT</v>
          </cell>
          <cell r="D351" t="str">
            <v>JPY</v>
          </cell>
        </row>
        <row r="352">
          <cell r="B352" t="str">
            <v>Net income (Pub)</v>
          </cell>
          <cell r="C352" t="str">
            <v>NI_PUB</v>
          </cell>
          <cell r="D352" t="str">
            <v>JPY</v>
          </cell>
          <cell r="F352">
            <v>0</v>
          </cell>
          <cell r="G352">
            <v>4447</v>
          </cell>
          <cell r="H352">
            <v>7286</v>
          </cell>
          <cell r="I352">
            <v>5710</v>
          </cell>
          <cell r="J352">
            <v>5218</v>
          </cell>
          <cell r="K352">
            <v>5286</v>
          </cell>
          <cell r="L352">
            <v>6150</v>
          </cell>
          <cell r="M352">
            <v>5744</v>
          </cell>
          <cell r="N352">
            <v>5363</v>
          </cell>
          <cell r="O352">
            <v>8311</v>
          </cell>
          <cell r="P352">
            <v>9287</v>
          </cell>
          <cell r="S352">
            <v>9487</v>
          </cell>
          <cell r="X352">
            <v>10125</v>
          </cell>
          <cell r="AC352">
            <v>10739</v>
          </cell>
          <cell r="AH352">
            <v>11447</v>
          </cell>
          <cell r="AM352">
            <v>2746</v>
          </cell>
          <cell r="AR352">
            <v>8602</v>
          </cell>
          <cell r="AW352">
            <v>7770</v>
          </cell>
          <cell r="AX352">
            <v>2496</v>
          </cell>
          <cell r="AY352">
            <v>1895</v>
          </cell>
          <cell r="AZ352">
            <v>3659</v>
          </cell>
          <cell r="BA352">
            <v>933</v>
          </cell>
          <cell r="BB352">
            <v>8983</v>
          </cell>
          <cell r="BC352">
            <v>2348</v>
          </cell>
          <cell r="BD352">
            <v>2457</v>
          </cell>
          <cell r="BE352">
            <v>4210</v>
          </cell>
          <cell r="BF352">
            <v>1991</v>
          </cell>
          <cell r="BG352">
            <v>11006</v>
          </cell>
          <cell r="BH352">
            <v>4023</v>
          </cell>
          <cell r="BI352">
            <v>3133</v>
          </cell>
          <cell r="BJ352">
            <v>4788</v>
          </cell>
          <cell r="BK352">
            <v>615</v>
          </cell>
          <cell r="BL352">
            <v>12559</v>
          </cell>
          <cell r="BM352">
            <v>3798</v>
          </cell>
          <cell r="BN352">
            <v>3987</v>
          </cell>
          <cell r="BO352">
            <v>5500</v>
          </cell>
          <cell r="BP352">
            <v>15382</v>
          </cell>
          <cell r="BQ352">
            <v>15382</v>
          </cell>
          <cell r="BR352">
            <v>5613</v>
          </cell>
          <cell r="BS352">
            <v>4872</v>
          </cell>
          <cell r="BT352">
            <v>6589</v>
          </cell>
          <cell r="BU352">
            <v>2890</v>
          </cell>
          <cell r="BV352">
            <v>19964</v>
          </cell>
          <cell r="BW352">
            <v>11073</v>
          </cell>
          <cell r="BX352">
            <v>4940</v>
          </cell>
          <cell r="BY352">
            <v>6377</v>
          </cell>
          <cell r="BZ352">
            <v>1420</v>
          </cell>
          <cell r="CA352">
            <v>23810</v>
          </cell>
          <cell r="CB352">
            <v>6102</v>
          </cell>
          <cell r="CC352">
            <v>5940</v>
          </cell>
          <cell r="CD352">
            <v>6309</v>
          </cell>
          <cell r="CE352">
            <v>5495</v>
          </cell>
          <cell r="CF352">
            <v>23846</v>
          </cell>
          <cell r="CG352">
            <v>7102</v>
          </cell>
          <cell r="CH352">
            <v>7231</v>
          </cell>
          <cell r="CI352">
            <v>15411.48</v>
          </cell>
          <cell r="CJ352">
            <v>-3752.48</v>
          </cell>
          <cell r="CK352">
            <v>25992</v>
          </cell>
          <cell r="CL352">
            <v>7975</v>
          </cell>
          <cell r="CM352">
            <v>7314</v>
          </cell>
          <cell r="CN352">
            <v>8118</v>
          </cell>
          <cell r="CO352">
            <v>3188</v>
          </cell>
          <cell r="CP352">
            <v>26595</v>
          </cell>
          <cell r="CQ352">
            <v>6954</v>
          </cell>
          <cell r="CR352">
            <v>7666</v>
          </cell>
          <cell r="CS352">
            <v>8983</v>
          </cell>
          <cell r="CT352">
            <v>5225</v>
          </cell>
          <cell r="CU352">
            <v>28828</v>
          </cell>
          <cell r="CV352">
            <v>11599</v>
          </cell>
          <cell r="CW352">
            <v>9768</v>
          </cell>
          <cell r="CX352">
            <v>11987</v>
          </cell>
          <cell r="CY352">
            <v>5549</v>
          </cell>
          <cell r="CZ352">
            <v>38903</v>
          </cell>
          <cell r="DA352">
            <v>12127</v>
          </cell>
          <cell r="DB352">
            <v>11165</v>
          </cell>
          <cell r="DC352">
            <v>13083</v>
          </cell>
          <cell r="DD352">
            <v>7358</v>
          </cell>
          <cell r="DE352">
            <v>43733</v>
          </cell>
          <cell r="DF352">
            <v>10619</v>
          </cell>
          <cell r="DG352">
            <v>18190</v>
          </cell>
          <cell r="DH352">
            <v>11200</v>
          </cell>
          <cell r="DI352">
            <v>9691</v>
          </cell>
        </row>
        <row r="353">
          <cell r="B353" t="str">
            <v>EBIT, operating profit (Pub)</v>
          </cell>
          <cell r="C353" t="str">
            <v>EBIT_PUB</v>
          </cell>
          <cell r="D353" t="str">
            <v>JPY</v>
          </cell>
          <cell r="F353">
            <v>0</v>
          </cell>
          <cell r="G353">
            <v>10794</v>
          </cell>
          <cell r="H353">
            <v>9614</v>
          </cell>
          <cell r="I353">
            <v>8729</v>
          </cell>
          <cell r="J353">
            <v>10050</v>
          </cell>
          <cell r="K353">
            <v>11046</v>
          </cell>
          <cell r="L353">
            <v>14686</v>
          </cell>
          <cell r="M353">
            <v>14890</v>
          </cell>
          <cell r="N353">
            <v>14942</v>
          </cell>
          <cell r="O353">
            <v>17904</v>
          </cell>
          <cell r="P353">
            <v>17059</v>
          </cell>
          <cell r="S353">
            <v>17847</v>
          </cell>
          <cell r="X353">
            <v>18557</v>
          </cell>
          <cell r="AC353">
            <v>21646</v>
          </cell>
          <cell r="AH353">
            <v>23854</v>
          </cell>
          <cell r="AM353">
            <v>20368</v>
          </cell>
          <cell r="AR353">
            <v>21085</v>
          </cell>
          <cell r="AW353">
            <v>19208</v>
          </cell>
          <cell r="AX353">
            <v>5195</v>
          </cell>
          <cell r="AY353">
            <v>4168</v>
          </cell>
          <cell r="AZ353">
            <v>5297</v>
          </cell>
          <cell r="BA353">
            <v>3104</v>
          </cell>
          <cell r="BB353">
            <v>17764</v>
          </cell>
          <cell r="BC353">
            <v>5062</v>
          </cell>
          <cell r="BD353">
            <v>5254</v>
          </cell>
          <cell r="BE353">
            <v>6298</v>
          </cell>
          <cell r="BF353">
            <v>3193</v>
          </cell>
          <cell r="BG353">
            <v>19807</v>
          </cell>
          <cell r="BH353">
            <v>6497</v>
          </cell>
          <cell r="BI353">
            <v>6165</v>
          </cell>
          <cell r="BJ353">
            <v>6947</v>
          </cell>
          <cell r="BK353">
            <v>4238</v>
          </cell>
          <cell r="BL353">
            <v>23846</v>
          </cell>
          <cell r="BM353">
            <v>5682</v>
          </cell>
          <cell r="BN353">
            <v>6614</v>
          </cell>
          <cell r="BO353">
            <v>8105</v>
          </cell>
          <cell r="BP353">
            <v>25370</v>
          </cell>
          <cell r="BQ353">
            <v>25371</v>
          </cell>
          <cell r="BR353">
            <v>8401</v>
          </cell>
          <cell r="BS353">
            <v>8538</v>
          </cell>
          <cell r="BT353">
            <v>10160</v>
          </cell>
          <cell r="BU353">
            <v>5500</v>
          </cell>
          <cell r="BV353">
            <v>32599</v>
          </cell>
          <cell r="BW353">
            <v>8469</v>
          </cell>
          <cell r="BX353">
            <v>8475</v>
          </cell>
          <cell r="BY353">
            <v>9315</v>
          </cell>
          <cell r="BZ353">
            <v>6584</v>
          </cell>
          <cell r="CA353">
            <v>32843</v>
          </cell>
          <cell r="CB353">
            <v>9703</v>
          </cell>
          <cell r="CC353">
            <v>9367</v>
          </cell>
          <cell r="CD353">
            <v>10719</v>
          </cell>
          <cell r="CE353">
            <v>6714</v>
          </cell>
          <cell r="CF353">
            <v>36503</v>
          </cell>
          <cell r="CG353">
            <v>10100</v>
          </cell>
          <cell r="CH353">
            <v>9968</v>
          </cell>
          <cell r="CI353">
            <v>10791</v>
          </cell>
          <cell r="CJ353">
            <v>7560</v>
          </cell>
          <cell r="CK353">
            <v>38419</v>
          </cell>
          <cell r="CL353">
            <v>10553</v>
          </cell>
          <cell r="CM353">
            <v>10433</v>
          </cell>
          <cell r="CN353">
            <v>11626</v>
          </cell>
          <cell r="CO353">
            <v>7214</v>
          </cell>
          <cell r="CP353">
            <v>39826</v>
          </cell>
          <cell r="CQ353">
            <v>9765</v>
          </cell>
          <cell r="CR353">
            <v>11485</v>
          </cell>
          <cell r="CS353">
            <v>12554</v>
          </cell>
          <cell r="CT353">
            <v>8810</v>
          </cell>
          <cell r="CU353">
            <v>42614</v>
          </cell>
          <cell r="CV353">
            <v>14303</v>
          </cell>
          <cell r="CW353">
            <v>13331</v>
          </cell>
          <cell r="CX353">
            <v>16632</v>
          </cell>
          <cell r="CY353">
            <v>8008</v>
          </cell>
          <cell r="CZ353">
            <v>52274</v>
          </cell>
          <cell r="DA353">
            <v>16452</v>
          </cell>
          <cell r="DB353">
            <v>15299</v>
          </cell>
          <cell r="DC353">
            <v>16470</v>
          </cell>
          <cell r="DD353">
            <v>10556</v>
          </cell>
          <cell r="DE353">
            <v>58777</v>
          </cell>
          <cell r="DF353">
            <v>18579</v>
          </cell>
          <cell r="DG353">
            <v>19591</v>
          </cell>
          <cell r="DH353">
            <v>16300</v>
          </cell>
          <cell r="DI353">
            <v>13730</v>
          </cell>
        </row>
        <row r="354">
          <cell r="B354" t="str">
            <v>Pre-tax profit (Pub)</v>
          </cell>
          <cell r="C354" t="str">
            <v>PTP_PUB</v>
          </cell>
          <cell r="D354" t="str">
            <v>JPY</v>
          </cell>
          <cell r="F354">
            <v>0</v>
          </cell>
          <cell r="G354">
            <v>7310</v>
          </cell>
          <cell r="H354">
            <v>8787</v>
          </cell>
          <cell r="I354">
            <v>9321</v>
          </cell>
          <cell r="J354">
            <v>8438</v>
          </cell>
          <cell r="K354">
            <v>10560</v>
          </cell>
          <cell r="L354">
            <v>11225</v>
          </cell>
          <cell r="M354">
            <v>9057</v>
          </cell>
          <cell r="N354">
            <v>8976</v>
          </cell>
          <cell r="O354">
            <v>17211</v>
          </cell>
          <cell r="P354">
            <v>15999</v>
          </cell>
          <cell r="S354">
            <v>16336</v>
          </cell>
          <cell r="X354">
            <v>17362</v>
          </cell>
          <cell r="AC354">
            <v>20980</v>
          </cell>
          <cell r="AH354">
            <v>23366</v>
          </cell>
          <cell r="AM354">
            <v>16742</v>
          </cell>
          <cell r="AR354">
            <v>14830</v>
          </cell>
          <cell r="AW354">
            <v>13447</v>
          </cell>
          <cell r="BB354">
            <v>15431</v>
          </cell>
          <cell r="BG354">
            <v>17711</v>
          </cell>
          <cell r="BL354">
            <v>22276</v>
          </cell>
          <cell r="BQ354">
            <v>23822</v>
          </cell>
          <cell r="BV354">
            <v>30253</v>
          </cell>
          <cell r="CA354">
            <v>27079</v>
          </cell>
          <cell r="CF354">
            <v>35999</v>
          </cell>
          <cell r="CK354">
            <v>37595</v>
          </cell>
          <cell r="CP354">
            <v>37930</v>
          </cell>
          <cell r="CU354">
            <v>40519</v>
          </cell>
          <cell r="CZ354">
            <v>54231</v>
          </cell>
          <cell r="DE354">
            <v>60797</v>
          </cell>
        </row>
        <row r="355">
          <cell r="B355" t="str">
            <v>Sales, revenue (Pub)</v>
          </cell>
          <cell r="C355" t="str">
            <v>REVS_PUB</v>
          </cell>
          <cell r="D355" t="str">
            <v>JPY</v>
          </cell>
          <cell r="F355">
            <v>0</v>
          </cell>
          <cell r="G355">
            <v>203286</v>
          </cell>
          <cell r="H355">
            <v>206001</v>
          </cell>
          <cell r="I355">
            <v>214338</v>
          </cell>
          <cell r="J355">
            <v>229475</v>
          </cell>
          <cell r="K355">
            <v>221724</v>
          </cell>
          <cell r="L355">
            <v>326708</v>
          </cell>
          <cell r="M355">
            <v>356706</v>
          </cell>
          <cell r="N355">
            <v>336887</v>
          </cell>
          <cell r="O355">
            <v>342508</v>
          </cell>
          <cell r="P355">
            <v>334656</v>
          </cell>
          <cell r="S355">
            <v>344625</v>
          </cell>
          <cell r="X355">
            <v>359906</v>
          </cell>
          <cell r="AC355">
            <v>392611</v>
          </cell>
          <cell r="AH355">
            <v>413938</v>
          </cell>
          <cell r="AM355">
            <v>412649</v>
          </cell>
          <cell r="AR355">
            <v>285690</v>
          </cell>
          <cell r="AW355">
            <v>283463</v>
          </cell>
          <cell r="AX355">
            <v>70697</v>
          </cell>
          <cell r="AY355">
            <v>71137</v>
          </cell>
          <cell r="AZ355">
            <v>73560</v>
          </cell>
          <cell r="BA355">
            <v>67845</v>
          </cell>
          <cell r="BB355">
            <v>283239</v>
          </cell>
          <cell r="BC355">
            <v>73426</v>
          </cell>
          <cell r="BD355">
            <v>73732</v>
          </cell>
          <cell r="BE355">
            <v>78180</v>
          </cell>
          <cell r="BF355">
            <v>74907</v>
          </cell>
          <cell r="BG355">
            <v>300245</v>
          </cell>
          <cell r="BH355">
            <v>83979</v>
          </cell>
          <cell r="BI355">
            <v>84424</v>
          </cell>
          <cell r="BJ355">
            <v>90010</v>
          </cell>
          <cell r="BK355">
            <v>89697</v>
          </cell>
          <cell r="BL355">
            <v>343168</v>
          </cell>
          <cell r="BM355">
            <v>87792</v>
          </cell>
          <cell r="BN355">
            <v>91007</v>
          </cell>
          <cell r="BO355">
            <v>99296</v>
          </cell>
          <cell r="BP355">
            <v>371339</v>
          </cell>
          <cell r="BQ355">
            <v>371339</v>
          </cell>
          <cell r="BR355">
            <v>101027</v>
          </cell>
          <cell r="BS355">
            <v>101747</v>
          </cell>
          <cell r="BT355">
            <v>107869</v>
          </cell>
          <cell r="BU355">
            <v>97729</v>
          </cell>
          <cell r="BV355">
            <v>408372</v>
          </cell>
          <cell r="BW355">
            <v>98863</v>
          </cell>
          <cell r="BX355">
            <v>97920</v>
          </cell>
          <cell r="BY355">
            <v>104994</v>
          </cell>
          <cell r="BZ355">
            <v>100397</v>
          </cell>
          <cell r="CA355">
            <v>402174</v>
          </cell>
          <cell r="CB355">
            <v>106834</v>
          </cell>
          <cell r="CC355">
            <v>107639</v>
          </cell>
          <cell r="CD355">
            <v>110901.348999932</v>
          </cell>
          <cell r="CE355">
            <v>105227.651000068</v>
          </cell>
          <cell r="CF355">
            <v>430602</v>
          </cell>
          <cell r="CG355">
            <v>111774</v>
          </cell>
          <cell r="CH355">
            <v>114325</v>
          </cell>
          <cell r="CI355">
            <v>117291</v>
          </cell>
          <cell r="CJ355">
            <v>110175</v>
          </cell>
          <cell r="CK355">
            <v>453565</v>
          </cell>
          <cell r="CL355">
            <v>115642</v>
          </cell>
          <cell r="CM355">
            <v>115982</v>
          </cell>
          <cell r="CN355">
            <v>123872</v>
          </cell>
          <cell r="CO355">
            <v>113120</v>
          </cell>
          <cell r="CP355">
            <v>468616</v>
          </cell>
          <cell r="CQ355">
            <v>108090</v>
          </cell>
          <cell r="CR355">
            <v>119432</v>
          </cell>
          <cell r="CS355">
            <v>120741</v>
          </cell>
          <cell r="CT355">
            <v>119856</v>
          </cell>
          <cell r="CU355">
            <v>468119</v>
          </cell>
          <cell r="CV355">
            <v>123739</v>
          </cell>
          <cell r="CW355">
            <v>124942</v>
          </cell>
          <cell r="CX355">
            <v>136179</v>
          </cell>
          <cell r="CY355">
            <v>131580</v>
          </cell>
          <cell r="CZ355">
            <v>516440</v>
          </cell>
          <cell r="DA355">
            <v>147748</v>
          </cell>
          <cell r="DB355">
            <v>157630</v>
          </cell>
          <cell r="DC355">
            <v>160985</v>
          </cell>
          <cell r="DD355">
            <v>152536</v>
          </cell>
          <cell r="DE355">
            <v>618899</v>
          </cell>
          <cell r="DF355">
            <v>158506</v>
          </cell>
          <cell r="DG355">
            <v>164227</v>
          </cell>
          <cell r="DH355">
            <v>171100</v>
          </cell>
          <cell r="DI355">
            <v>165867</v>
          </cell>
        </row>
        <row r="356">
          <cell r="B356" t="str">
            <v>Total shareholders' equity (Pub)</v>
          </cell>
          <cell r="C356" t="str">
            <v>EQ_PUB</v>
          </cell>
          <cell r="D356" t="str">
            <v>JPY</v>
          </cell>
          <cell r="F356">
            <v>0</v>
          </cell>
          <cell r="G356">
            <v>93199</v>
          </cell>
          <cell r="H356">
            <v>101145</v>
          </cell>
          <cell r="I356">
            <v>105405</v>
          </cell>
          <cell r="J356">
            <v>109134</v>
          </cell>
          <cell r="K356">
            <v>113002</v>
          </cell>
          <cell r="L356">
            <v>139726</v>
          </cell>
          <cell r="M356">
            <v>139726</v>
          </cell>
          <cell r="N356">
            <v>150836</v>
          </cell>
          <cell r="O356">
            <v>151079</v>
          </cell>
          <cell r="P356">
            <v>162045</v>
          </cell>
          <cell r="S356">
            <v>169997</v>
          </cell>
          <cell r="X356">
            <v>192007</v>
          </cell>
          <cell r="AC356">
            <v>206919</v>
          </cell>
          <cell r="AH356">
            <v>199415</v>
          </cell>
          <cell r="AM356">
            <v>161817</v>
          </cell>
          <cell r="AR356">
            <v>167086</v>
          </cell>
          <cell r="AW356">
            <v>162600</v>
          </cell>
          <cell r="BB356">
            <v>167352</v>
          </cell>
          <cell r="BG356">
            <v>187856</v>
          </cell>
          <cell r="BL356">
            <v>210407</v>
          </cell>
          <cell r="BQ356">
            <v>238431</v>
          </cell>
          <cell r="BV356">
            <v>225676</v>
          </cell>
          <cell r="CA356">
            <v>244437</v>
          </cell>
          <cell r="CF356">
            <v>253289</v>
          </cell>
          <cell r="CK356">
            <v>270452</v>
          </cell>
          <cell r="CP356">
            <v>277757</v>
          </cell>
          <cell r="CU356">
            <v>311402</v>
          </cell>
          <cell r="CZ356">
            <v>363908</v>
          </cell>
          <cell r="DE356">
            <v>416970</v>
          </cell>
        </row>
        <row r="357">
          <cell r="B357" t="str">
            <v>Recurring profit (Pub)</v>
          </cell>
          <cell r="C357" t="str">
            <v>REC_PFT_PUB</v>
          </cell>
          <cell r="D357" t="str">
            <v>JPY</v>
          </cell>
          <cell r="F357">
            <v>0</v>
          </cell>
          <cell r="G357">
            <v>8487</v>
          </cell>
          <cell r="H357">
            <v>7870</v>
          </cell>
          <cell r="I357">
            <v>7474</v>
          </cell>
          <cell r="J357">
            <v>8200</v>
          </cell>
          <cell r="K357">
            <v>10322</v>
          </cell>
          <cell r="L357">
            <v>12911</v>
          </cell>
          <cell r="M357">
            <v>13356</v>
          </cell>
          <cell r="N357">
            <v>13183</v>
          </cell>
          <cell r="O357">
            <v>15640</v>
          </cell>
          <cell r="P357">
            <v>15428</v>
          </cell>
          <cell r="S357">
            <v>16649</v>
          </cell>
          <cell r="X357">
            <v>17350</v>
          </cell>
          <cell r="AC357">
            <v>20983</v>
          </cell>
          <cell r="AH357">
            <v>22388</v>
          </cell>
          <cell r="AM357">
            <v>17966</v>
          </cell>
          <cell r="AR357">
            <v>19136</v>
          </cell>
          <cell r="AW357">
            <v>16751</v>
          </cell>
          <cell r="BB357">
            <v>15242</v>
          </cell>
          <cell r="BG357">
            <v>18700</v>
          </cell>
          <cell r="BL357">
            <v>22682</v>
          </cell>
          <cell r="BQ357">
            <v>24364</v>
          </cell>
          <cell r="BV357">
            <v>31029</v>
          </cell>
          <cell r="CA357">
            <v>32037</v>
          </cell>
          <cell r="CF357">
            <v>35985</v>
          </cell>
          <cell r="CK357">
            <v>37925</v>
          </cell>
          <cell r="CP357">
            <v>39078</v>
          </cell>
          <cell r="CU357">
            <v>41464</v>
          </cell>
          <cell r="CZ357">
            <v>0</v>
          </cell>
          <cell r="DE357">
            <v>0</v>
          </cell>
        </row>
        <row r="358">
          <cell r="B358" t="str">
            <v>Operating profits</v>
          </cell>
          <cell r="C358" t="str">
            <v>OPS_PFT</v>
          </cell>
          <cell r="D358" t="str">
            <v>JPY</v>
          </cell>
          <cell r="F358">
            <v>0</v>
          </cell>
          <cell r="G358">
            <v>10794</v>
          </cell>
          <cell r="H358">
            <v>9614</v>
          </cell>
          <cell r="I358">
            <v>8729</v>
          </cell>
          <cell r="J358">
            <v>10050</v>
          </cell>
          <cell r="K358">
            <v>11046</v>
          </cell>
          <cell r="L358">
            <v>14686</v>
          </cell>
          <cell r="M358">
            <v>14890</v>
          </cell>
          <cell r="N358">
            <v>14942</v>
          </cell>
          <cell r="O358">
            <v>17904</v>
          </cell>
          <cell r="P358">
            <v>17059</v>
          </cell>
          <cell r="S358">
            <v>17847</v>
          </cell>
          <cell r="X358">
            <v>18557</v>
          </cell>
          <cell r="AC358">
            <v>21646</v>
          </cell>
          <cell r="AH358">
            <v>23854</v>
          </cell>
          <cell r="AM358">
            <v>20368</v>
          </cell>
          <cell r="AR358">
            <v>21085</v>
          </cell>
          <cell r="AW358">
            <v>19208</v>
          </cell>
          <cell r="BB358">
            <v>17764</v>
          </cell>
          <cell r="BG358">
            <v>19807</v>
          </cell>
          <cell r="BL358">
            <v>23846</v>
          </cell>
          <cell r="BQ358">
            <v>25371</v>
          </cell>
          <cell r="BV358">
            <v>32599</v>
          </cell>
          <cell r="CA358">
            <v>32843</v>
          </cell>
          <cell r="CF358">
            <v>36503</v>
          </cell>
          <cell r="CK358">
            <v>38419</v>
          </cell>
          <cell r="CP358">
            <v>39826</v>
          </cell>
          <cell r="CU358">
            <v>42614</v>
          </cell>
          <cell r="CZ358">
            <v>52274</v>
          </cell>
          <cell r="DE358">
            <v>58777</v>
          </cell>
        </row>
        <row r="359">
          <cell r="B359" t="str">
            <v>Pre-tax profit (reported)</v>
          </cell>
          <cell r="C359" t="str">
            <v>PTP_REP</v>
          </cell>
          <cell r="D359" t="str">
            <v>JPY</v>
          </cell>
          <cell r="F359">
            <v>0</v>
          </cell>
          <cell r="G359">
            <v>7310</v>
          </cell>
          <cell r="H359">
            <v>8787</v>
          </cell>
          <cell r="I359">
            <v>9321</v>
          </cell>
          <cell r="J359">
            <v>8438</v>
          </cell>
          <cell r="K359">
            <v>10560</v>
          </cell>
          <cell r="L359">
            <v>11225</v>
          </cell>
          <cell r="M359">
            <v>9057</v>
          </cell>
          <cell r="N359">
            <v>8976</v>
          </cell>
          <cell r="O359">
            <v>17211</v>
          </cell>
          <cell r="P359">
            <v>15999</v>
          </cell>
          <cell r="S359">
            <v>16336</v>
          </cell>
          <cell r="X359">
            <v>17362</v>
          </cell>
          <cell r="AC359">
            <v>20980</v>
          </cell>
          <cell r="AH359">
            <v>23366</v>
          </cell>
          <cell r="AM359">
            <v>16742</v>
          </cell>
          <cell r="AR359">
            <v>14830</v>
          </cell>
          <cell r="AW359">
            <v>13447</v>
          </cell>
          <cell r="BB359">
            <v>15431</v>
          </cell>
          <cell r="BG359">
            <v>17711</v>
          </cell>
          <cell r="BL359">
            <v>22276</v>
          </cell>
          <cell r="BQ359">
            <v>23822</v>
          </cell>
          <cell r="BV359">
            <v>30253</v>
          </cell>
          <cell r="CA359">
            <v>27079</v>
          </cell>
          <cell r="CF359">
            <v>35999</v>
          </cell>
          <cell r="CK359">
            <v>37595</v>
          </cell>
          <cell r="CP359">
            <v>37930</v>
          </cell>
          <cell r="CU359">
            <v>40519</v>
          </cell>
          <cell r="CZ359">
            <v>54231</v>
          </cell>
          <cell r="DE359">
            <v>60797</v>
          </cell>
        </row>
        <row r="360">
          <cell r="B360" t="str">
            <v>Revenue (Company Estimate) (Pub)</v>
          </cell>
          <cell r="C360" t="str">
            <v>REVS_COEST_PUB</v>
          </cell>
          <cell r="D360" t="str">
            <v>JPY</v>
          </cell>
          <cell r="CA360">
            <v>393000</v>
          </cell>
          <cell r="CK360">
            <v>450800</v>
          </cell>
          <cell r="CP360">
            <v>473500</v>
          </cell>
          <cell r="CU360">
            <v>553200</v>
          </cell>
          <cell r="CZ360">
            <v>493800</v>
          </cell>
          <cell r="DE360">
            <v>596700</v>
          </cell>
        </row>
        <row r="361">
          <cell r="B361" t="str">
            <v>EBITDA (Co Est)</v>
          </cell>
          <cell r="C361" t="str">
            <v>EBITDA_COEST_PUB</v>
          </cell>
          <cell r="D361" t="str">
            <v>JPY</v>
          </cell>
        </row>
        <row r="362">
          <cell r="B362" t="str">
            <v>Operating profit (Co Est)</v>
          </cell>
          <cell r="C362" t="str">
            <v>EBIT_COEST_PUB</v>
          </cell>
          <cell r="D362" t="str">
            <v>JPY</v>
          </cell>
          <cell r="BQ362">
            <v>24700</v>
          </cell>
          <cell r="BV362">
            <v>31200</v>
          </cell>
          <cell r="CA362">
            <v>31500</v>
          </cell>
          <cell r="CK362">
            <v>37600</v>
          </cell>
          <cell r="CU362">
            <v>58950</v>
          </cell>
          <cell r="CZ362">
            <v>49700</v>
          </cell>
          <cell r="DE362">
            <v>55100</v>
          </cell>
        </row>
        <row r="363">
          <cell r="B363" t="str">
            <v>Pre-tax profit (Co Est)</v>
          </cell>
          <cell r="C363" t="str">
            <v>PTP_COEST_PUB</v>
          </cell>
          <cell r="D363" t="str">
            <v>JPY</v>
          </cell>
        </row>
        <row r="364">
          <cell r="B364" t="str">
            <v>Recurring profit (Company Estimate)</v>
          </cell>
          <cell r="C364" t="str">
            <v>REC_PFT_COEST_PUB</v>
          </cell>
          <cell r="D364" t="str">
            <v>JPY</v>
          </cell>
          <cell r="CA364">
            <v>30000</v>
          </cell>
          <cell r="CK364">
            <v>0</v>
          </cell>
          <cell r="CP364">
            <v>65350</v>
          </cell>
        </row>
        <row r="365">
          <cell r="B365" t="str">
            <v>Net income (Company Estimate) (Pub)</v>
          </cell>
          <cell r="C365" t="str">
            <v>NI_COEST_PUB</v>
          </cell>
          <cell r="D365" t="str">
            <v>JPY</v>
          </cell>
          <cell r="CA365">
            <v>24000</v>
          </cell>
          <cell r="CK365">
            <v>25500</v>
          </cell>
          <cell r="CU365">
            <v>42400</v>
          </cell>
          <cell r="CZ365">
            <v>36400</v>
          </cell>
          <cell r="DE365">
            <v>40700</v>
          </cell>
        </row>
        <row r="366">
          <cell r="B366" t="str">
            <v>EPS (Co Est)</v>
          </cell>
          <cell r="C366" t="str">
            <v>EPS_COEST_PUB</v>
          </cell>
          <cell r="D366" t="str">
            <v>JPY</v>
          </cell>
          <cell r="CA366">
            <v>124.26</v>
          </cell>
          <cell r="CF366">
            <v>107.460401102641</v>
          </cell>
          <cell r="CK366">
            <v>276.12079967531298</v>
          </cell>
          <cell r="CP366">
            <v>239.62207328145001</v>
          </cell>
          <cell r="CU366">
            <v>223.41813389145199</v>
          </cell>
          <cell r="CZ366">
            <v>189.87</v>
          </cell>
          <cell r="DE366">
            <v>212.49</v>
          </cell>
        </row>
        <row r="367">
          <cell r="B367" t="str">
            <v>Sales, revenue (consensus) (Pub)</v>
          </cell>
          <cell r="C367" t="str">
            <v>REVS_CONS_PUB</v>
          </cell>
          <cell r="D367" t="str">
            <v>JPY</v>
          </cell>
        </row>
        <row r="368">
          <cell r="B368" t="str">
            <v>Recurring profit (consensus) (Pub)</v>
          </cell>
          <cell r="C368" t="str">
            <v>REC_PFT_CONS_PUB</v>
          </cell>
          <cell r="D368" t="str">
            <v>JPY</v>
          </cell>
        </row>
        <row r="369">
          <cell r="B369" t="str">
            <v>EPS (consensus)</v>
          </cell>
          <cell r="C369" t="str">
            <v>EPS_CONS_PUB</v>
          </cell>
          <cell r="D369" t="str">
            <v>JPY</v>
          </cell>
        </row>
        <row r="370">
          <cell r="B370" t="str">
            <v>Dividend per share (Consensus)</v>
          </cell>
          <cell r="C370" t="str">
            <v>DPS_CONS_PUB</v>
          </cell>
          <cell r="D370" t="str">
            <v>JPY</v>
          </cell>
        </row>
        <row r="371">
          <cell r="B371" t="str">
            <v>OP Impact of Yen 10 appr vs USD</v>
          </cell>
          <cell r="C371" t="str">
            <v>OP_IMPACT_YEN_APPR_USD_PUB</v>
          </cell>
          <cell r="D371" t="str">
            <v>JPY</v>
          </cell>
          <cell r="BL371">
            <v>-1200</v>
          </cell>
          <cell r="BQ371">
            <v>-1200</v>
          </cell>
        </row>
        <row r="372">
          <cell r="B372" t="str">
            <v>OP Impact of Yen 10 appr vs EUR</v>
          </cell>
          <cell r="C372" t="str">
            <v>OP_IMPACT_YEN_APPR_EUR_PUB</v>
          </cell>
          <cell r="D372" t="str">
            <v>JPY</v>
          </cell>
          <cell r="BL372">
            <v>-150</v>
          </cell>
          <cell r="BQ372">
            <v>-150</v>
          </cell>
        </row>
        <row r="373">
          <cell r="B373" t="str">
            <v>NI Impact of Yen 10 appr vs USD</v>
          </cell>
          <cell r="C373" t="str">
            <v>NI_IMPACT_YEN_APPR_USD_PUB</v>
          </cell>
          <cell r="D373" t="str">
            <v>JPY</v>
          </cell>
        </row>
        <row r="374">
          <cell r="B374" t="str">
            <v>NI Impact of Yen 10 appr vs EUR</v>
          </cell>
          <cell r="C374" t="str">
            <v>NI_IMPACT_YEN_APPR_EUR_PUB</v>
          </cell>
          <cell r="D374" t="str">
            <v>JPY</v>
          </cell>
        </row>
        <row r="375">
          <cell r="A375" t="str">
            <v>Income Statement</v>
          </cell>
        </row>
        <row r="376">
          <cell r="B376" t="str">
            <v>Provision for income tax</v>
          </cell>
          <cell r="C376" t="str">
            <v>PROV_INC_TAX</v>
          </cell>
          <cell r="D376" t="str">
            <v>JPY</v>
          </cell>
          <cell r="F376">
            <v>0</v>
          </cell>
          <cell r="G376">
            <v>-2817</v>
          </cell>
          <cell r="H376">
            <v>-1460</v>
          </cell>
          <cell r="I376">
            <v>-3627</v>
          </cell>
          <cell r="J376">
            <v>-3223</v>
          </cell>
          <cell r="K376">
            <v>-5295</v>
          </cell>
          <cell r="L376">
            <v>-5536</v>
          </cell>
          <cell r="M376">
            <v>-2878</v>
          </cell>
          <cell r="N376">
            <v>-3172</v>
          </cell>
          <cell r="O376">
            <v>-10314</v>
          </cell>
          <cell r="P376">
            <v>-7953</v>
          </cell>
          <cell r="S376">
            <v>-7955</v>
          </cell>
          <cell r="X376">
            <v>-6235</v>
          </cell>
          <cell r="AC376">
            <v>-8448</v>
          </cell>
          <cell r="AH376">
            <v>-10467</v>
          </cell>
          <cell r="AM376">
            <v>-13272</v>
          </cell>
          <cell r="AR376">
            <v>-6143</v>
          </cell>
          <cell r="AW376">
            <v>-5594</v>
          </cell>
          <cell r="BB376">
            <v>-6397</v>
          </cell>
          <cell r="BG376">
            <v>-6603</v>
          </cell>
          <cell r="BL376">
            <v>-9712</v>
          </cell>
          <cell r="BQ376">
            <v>-8330</v>
          </cell>
          <cell r="BV376">
            <v>-10087</v>
          </cell>
          <cell r="CA376">
            <v>-3216</v>
          </cell>
          <cell r="CF376">
            <v>-11841</v>
          </cell>
          <cell r="CK376">
            <v>-11191</v>
          </cell>
          <cell r="CP376">
            <v>-10925</v>
          </cell>
          <cell r="CU376">
            <v>-11230</v>
          </cell>
          <cell r="CZ376">
            <v>-14885</v>
          </cell>
          <cell r="DE376">
            <v>-16597</v>
          </cell>
        </row>
        <row r="377">
          <cell r="B377" t="str">
            <v>Minority interest</v>
          </cell>
          <cell r="C377" t="str">
            <v>INC_MINORITY</v>
          </cell>
          <cell r="D377" t="str">
            <v>JPY</v>
          </cell>
          <cell r="G377">
            <v>-46</v>
          </cell>
          <cell r="H377">
            <v>-41</v>
          </cell>
          <cell r="I377">
            <v>16</v>
          </cell>
          <cell r="J377">
            <v>3</v>
          </cell>
          <cell r="K377">
            <v>21</v>
          </cell>
          <cell r="L377">
            <v>461</v>
          </cell>
          <cell r="M377">
            <v>-435</v>
          </cell>
          <cell r="N377">
            <v>-441</v>
          </cell>
          <cell r="O377">
            <v>1414</v>
          </cell>
          <cell r="P377">
            <v>1241</v>
          </cell>
          <cell r="S377">
            <v>1106</v>
          </cell>
          <cell r="X377">
            <v>-1002</v>
          </cell>
          <cell r="AC377">
            <v>-1793</v>
          </cell>
          <cell r="AH377">
            <v>-1452</v>
          </cell>
          <cell r="AM377">
            <v>-724</v>
          </cell>
          <cell r="AR377">
            <v>-85</v>
          </cell>
          <cell r="AW377">
            <v>-83</v>
          </cell>
          <cell r="BB377">
            <v>-51</v>
          </cell>
          <cell r="BG377">
            <v>-102</v>
          </cell>
          <cell r="BL377">
            <v>-5</v>
          </cell>
          <cell r="BQ377">
            <v>-110</v>
          </cell>
          <cell r="BV377">
            <v>-201</v>
          </cell>
          <cell r="CA377">
            <v>-53</v>
          </cell>
          <cell r="CF377">
            <v>-311</v>
          </cell>
          <cell r="CK377">
            <v>-411</v>
          </cell>
          <cell r="CP377">
            <v>-409</v>
          </cell>
          <cell r="CU377">
            <v>-460</v>
          </cell>
          <cell r="CZ377">
            <v>-441</v>
          </cell>
          <cell r="DE377">
            <v>-466</v>
          </cell>
        </row>
        <row r="378">
          <cell r="B378" t="str">
            <v>Net income (pre-preferred dividends)</v>
          </cell>
          <cell r="C378" t="str">
            <v>NI_PRE_PREF</v>
          </cell>
          <cell r="D378" t="str">
            <v>JPY</v>
          </cell>
          <cell r="F378">
            <v>0</v>
          </cell>
          <cell r="G378">
            <v>4447</v>
          </cell>
          <cell r="H378">
            <v>7286</v>
          </cell>
          <cell r="I378">
            <v>5710</v>
          </cell>
          <cell r="J378">
            <v>5218</v>
          </cell>
          <cell r="K378">
            <v>5286</v>
          </cell>
          <cell r="L378">
            <v>6150</v>
          </cell>
          <cell r="M378">
            <v>5744</v>
          </cell>
          <cell r="N378">
            <v>5363</v>
          </cell>
          <cell r="O378">
            <v>8311</v>
          </cell>
          <cell r="P378">
            <v>9287</v>
          </cell>
          <cell r="S378">
            <v>9487</v>
          </cell>
          <cell r="X378">
            <v>10125</v>
          </cell>
          <cell r="AC378">
            <v>10739</v>
          </cell>
          <cell r="AH378">
            <v>11447</v>
          </cell>
          <cell r="AM378">
            <v>2746</v>
          </cell>
          <cell r="AR378">
            <v>8602</v>
          </cell>
          <cell r="AW378">
            <v>7770</v>
          </cell>
          <cell r="BB378">
            <v>8983</v>
          </cell>
          <cell r="BG378">
            <v>11006</v>
          </cell>
          <cell r="BL378">
            <v>12559</v>
          </cell>
          <cell r="BQ378">
            <v>15382</v>
          </cell>
          <cell r="BV378">
            <v>19965</v>
          </cell>
          <cell r="CA378">
            <v>23810</v>
          </cell>
          <cell r="CF378">
            <v>23847</v>
          </cell>
          <cell r="CK378">
            <v>25993</v>
          </cell>
          <cell r="CP378">
            <v>26596</v>
          </cell>
          <cell r="CU378">
            <v>28829</v>
          </cell>
          <cell r="CZ378">
            <v>38905</v>
          </cell>
          <cell r="DE378">
            <v>43734</v>
          </cell>
        </row>
        <row r="379">
          <cell r="B379" t="str">
            <v>Preferred dividends</v>
          </cell>
          <cell r="C379" t="str">
            <v>PREF_DIV</v>
          </cell>
          <cell r="D379" t="str">
            <v>JPY</v>
          </cell>
        </row>
        <row r="380">
          <cell r="B380" t="str">
            <v>Net income (pre-exceptionals)</v>
          </cell>
          <cell r="C380" t="str">
            <v>NET_EARNING</v>
          </cell>
          <cell r="D380" t="str">
            <v>JPY</v>
          </cell>
          <cell r="F380">
            <v>0</v>
          </cell>
          <cell r="G380">
            <v>4447</v>
          </cell>
          <cell r="H380">
            <v>7286</v>
          </cell>
          <cell r="I380">
            <v>5710</v>
          </cell>
          <cell r="J380">
            <v>5218</v>
          </cell>
          <cell r="K380">
            <v>5286</v>
          </cell>
          <cell r="L380">
            <v>6150</v>
          </cell>
          <cell r="M380">
            <v>5744</v>
          </cell>
          <cell r="N380">
            <v>5363</v>
          </cell>
          <cell r="O380">
            <v>8311</v>
          </cell>
          <cell r="P380">
            <v>9287</v>
          </cell>
          <cell r="S380">
            <v>9487</v>
          </cell>
          <cell r="X380">
            <v>10125</v>
          </cell>
          <cell r="AC380">
            <v>10739</v>
          </cell>
          <cell r="AH380">
            <v>11447</v>
          </cell>
          <cell r="AM380">
            <v>2746</v>
          </cell>
          <cell r="AR380">
            <v>8602</v>
          </cell>
          <cell r="AW380">
            <v>7770</v>
          </cell>
          <cell r="BB380">
            <v>8983</v>
          </cell>
          <cell r="BG380">
            <v>11006</v>
          </cell>
          <cell r="BL380">
            <v>12559</v>
          </cell>
          <cell r="BQ380">
            <v>15382</v>
          </cell>
          <cell r="BV380">
            <v>19964</v>
          </cell>
          <cell r="BW380">
            <v>11073</v>
          </cell>
          <cell r="BX380">
            <v>4940</v>
          </cell>
          <cell r="BY380">
            <v>6377</v>
          </cell>
          <cell r="BZ380">
            <v>1420</v>
          </cell>
          <cell r="CA380">
            <v>23810</v>
          </cell>
          <cell r="CB380">
            <v>6102</v>
          </cell>
          <cell r="CC380">
            <v>5940</v>
          </cell>
          <cell r="CD380">
            <v>6309</v>
          </cell>
          <cell r="CE380">
            <v>5495</v>
          </cell>
          <cell r="CF380">
            <v>23846</v>
          </cell>
          <cell r="CG380">
            <v>7102</v>
          </cell>
          <cell r="CH380">
            <v>7231</v>
          </cell>
          <cell r="CI380">
            <v>15411.48</v>
          </cell>
          <cell r="CJ380">
            <v>-3752.48</v>
          </cell>
          <cell r="CK380">
            <v>25992</v>
          </cell>
          <cell r="CL380">
            <v>7975</v>
          </cell>
          <cell r="CM380">
            <v>7314</v>
          </cell>
          <cell r="CN380">
            <v>8118</v>
          </cell>
          <cell r="CO380">
            <v>3188</v>
          </cell>
          <cell r="CP380">
            <v>26595</v>
          </cell>
          <cell r="CQ380">
            <v>6954</v>
          </cell>
          <cell r="CR380">
            <v>7666</v>
          </cell>
          <cell r="CS380">
            <v>8983</v>
          </cell>
          <cell r="CT380">
            <v>5225</v>
          </cell>
          <cell r="CU380">
            <v>28828</v>
          </cell>
          <cell r="CV380">
            <v>9725.75</v>
          </cell>
          <cell r="CW380">
            <v>9725.75</v>
          </cell>
          <cell r="CX380">
            <v>11987</v>
          </cell>
          <cell r="CY380">
            <v>7464.5</v>
          </cell>
          <cell r="CZ380">
            <v>38903</v>
          </cell>
          <cell r="DE380">
            <v>43733</v>
          </cell>
        </row>
        <row r="381">
          <cell r="B381" t="str">
            <v>Post-tax exceptionals</v>
          </cell>
          <cell r="C381" t="str">
            <v>TAX_EXC</v>
          </cell>
          <cell r="D381" t="str">
            <v>JPY</v>
          </cell>
        </row>
        <row r="382">
          <cell r="B382" t="str">
            <v>Net income (post-exceptionals)</v>
          </cell>
          <cell r="C382" t="str">
            <v>NET_INC</v>
          </cell>
          <cell r="D382" t="str">
            <v>JPY</v>
          </cell>
          <cell r="F382">
            <v>0</v>
          </cell>
          <cell r="G382">
            <v>4447</v>
          </cell>
          <cell r="H382">
            <v>7286</v>
          </cell>
          <cell r="I382">
            <v>5710</v>
          </cell>
          <cell r="J382">
            <v>5218</v>
          </cell>
          <cell r="K382">
            <v>5286</v>
          </cell>
          <cell r="L382">
            <v>6150</v>
          </cell>
          <cell r="M382">
            <v>5744</v>
          </cell>
          <cell r="N382">
            <v>5363</v>
          </cell>
          <cell r="O382">
            <v>8311</v>
          </cell>
          <cell r="P382">
            <v>9287</v>
          </cell>
          <cell r="S382">
            <v>9487</v>
          </cell>
          <cell r="X382">
            <v>10125</v>
          </cell>
          <cell r="AC382">
            <v>10739</v>
          </cell>
          <cell r="AH382">
            <v>11447</v>
          </cell>
          <cell r="AM382">
            <v>2746</v>
          </cell>
          <cell r="AR382">
            <v>8602</v>
          </cell>
          <cell r="AW382">
            <v>7770</v>
          </cell>
          <cell r="BB382">
            <v>8983</v>
          </cell>
          <cell r="BG382">
            <v>11006</v>
          </cell>
          <cell r="BL382">
            <v>12559</v>
          </cell>
          <cell r="BQ382">
            <v>15382</v>
          </cell>
          <cell r="BV382">
            <v>19964</v>
          </cell>
          <cell r="CA382">
            <v>23810</v>
          </cell>
          <cell r="CF382">
            <v>23846</v>
          </cell>
          <cell r="CK382">
            <v>25992</v>
          </cell>
          <cell r="CP382">
            <v>26595</v>
          </cell>
          <cell r="CU382">
            <v>28828</v>
          </cell>
          <cell r="CZ382">
            <v>38903</v>
          </cell>
          <cell r="DE382">
            <v>43733</v>
          </cell>
        </row>
        <row r="383">
          <cell r="B383" t="str">
            <v>EPS (pre-exceptionals, basic)</v>
          </cell>
          <cell r="C383" t="str">
            <v>EPS</v>
          </cell>
          <cell r="D383" t="str">
            <v>JPY</v>
          </cell>
          <cell r="G383">
            <v>23.678274031343999</v>
          </cell>
          <cell r="H383">
            <v>36.947254918351</v>
          </cell>
          <cell r="I383">
            <v>28.955713412819001</v>
          </cell>
          <cell r="J383">
            <v>26.460342794500999</v>
          </cell>
          <cell r="K383">
            <v>26.805194179291</v>
          </cell>
          <cell r="L383">
            <v>31.186432131242</v>
          </cell>
          <cell r="M383">
            <v>29.374464688863</v>
          </cell>
          <cell r="N383">
            <v>27.202812820554001</v>
          </cell>
          <cell r="O383">
            <v>42.310973549282998</v>
          </cell>
          <cell r="P383">
            <v>47.388373998497997</v>
          </cell>
          <cell r="S383">
            <v>48.759063836869998</v>
          </cell>
          <cell r="X383">
            <v>52.301378695852001</v>
          </cell>
          <cell r="AC383">
            <v>55.483497216742002</v>
          </cell>
          <cell r="AH383">
            <v>59.156964827967002</v>
          </cell>
          <cell r="AM383">
            <v>13.288656155127001</v>
          </cell>
          <cell r="AR383">
            <v>41.677617821710001</v>
          </cell>
          <cell r="AW383">
            <v>37.736133307800998</v>
          </cell>
          <cell r="BB383">
            <v>43.798527999880001</v>
          </cell>
          <cell r="BG383">
            <v>54.835331283822001</v>
          </cell>
          <cell r="BL383">
            <v>62.817503114140997</v>
          </cell>
          <cell r="BQ383">
            <v>78.197522203074001</v>
          </cell>
          <cell r="BV383">
            <v>102.662486590021</v>
          </cell>
          <cell r="CA383">
            <v>123.27594500693699</v>
          </cell>
          <cell r="CF383">
            <v>123.70504869219801</v>
          </cell>
          <cell r="CK383">
            <v>135.38976171495699</v>
          </cell>
          <cell r="CP383">
            <v>138.53296037971899</v>
          </cell>
          <cell r="CU383">
            <v>150.166784728278</v>
          </cell>
          <cell r="CZ383">
            <v>202.93337128781499</v>
          </cell>
          <cell r="DE383">
            <v>228.36970894530501</v>
          </cell>
        </row>
        <row r="384">
          <cell r="B384" t="str">
            <v>EPS (pre-exceptionals, diluted)</v>
          </cell>
          <cell r="C384" t="str">
            <v>EPS_FUL_DIL</v>
          </cell>
          <cell r="D384" t="str">
            <v>JPY</v>
          </cell>
          <cell r="G384">
            <v>23.677933252401001</v>
          </cell>
          <cell r="H384">
            <v>36.946886948408</v>
          </cell>
          <cell r="I384">
            <v>28.955081591464999</v>
          </cell>
          <cell r="J384">
            <v>26.460177888661999</v>
          </cell>
          <cell r="K384">
            <v>26.805001977667999</v>
          </cell>
          <cell r="L384">
            <v>31.186296285027002</v>
          </cell>
          <cell r="M384">
            <v>29.374177772964</v>
          </cell>
          <cell r="N384">
            <v>27.195464549040999</v>
          </cell>
          <cell r="O384">
            <v>42.144602995912997</v>
          </cell>
          <cell r="P384">
            <v>47.093842861634002</v>
          </cell>
          <cell r="S384">
            <v>48.108031358707997</v>
          </cell>
          <cell r="X384">
            <v>51.343292664374999</v>
          </cell>
          <cell r="AC384">
            <v>54.456851350392</v>
          </cell>
          <cell r="AH384">
            <v>58.046990324149</v>
          </cell>
          <cell r="AM384">
            <v>13.052372879086001</v>
          </cell>
          <cell r="AR384">
            <v>40.887294794572</v>
          </cell>
          <cell r="AW384">
            <v>36.932606434995002</v>
          </cell>
          <cell r="BB384">
            <v>42.698275882311002</v>
          </cell>
          <cell r="BG384">
            <v>54.835331283822001</v>
          </cell>
          <cell r="BL384">
            <v>62.817503114140997</v>
          </cell>
          <cell r="BQ384">
            <v>78.197522203074001</v>
          </cell>
          <cell r="BV384">
            <v>102.662486590021</v>
          </cell>
          <cell r="BW384">
            <v>57.330304034515997</v>
          </cell>
          <cell r="BX384">
            <v>25.576781534409001</v>
          </cell>
          <cell r="BY384">
            <v>33.016829118406001</v>
          </cell>
          <cell r="BZ384">
            <v>7.3520303196069996</v>
          </cell>
          <cell r="CA384">
            <v>123.27594500693699</v>
          </cell>
          <cell r="CB384">
            <v>31.65512904134</v>
          </cell>
          <cell r="CC384">
            <v>30.814727385375001</v>
          </cell>
          <cell r="CD384">
            <v>32.728975601739002</v>
          </cell>
          <cell r="CE384">
            <v>28.506216663743</v>
          </cell>
          <cell r="CF384">
            <v>123.70504869219801</v>
          </cell>
          <cell r="CG384">
            <v>37</v>
          </cell>
          <cell r="CH384">
            <v>37.659999999999997</v>
          </cell>
          <cell r="CI384">
            <v>80.276877688319999</v>
          </cell>
          <cell r="CJ384">
            <v>-19.547115973362999</v>
          </cell>
          <cell r="CK384">
            <v>135.38976171495699</v>
          </cell>
          <cell r="CL384">
            <v>41.541656665848997</v>
          </cell>
          <cell r="CM384">
            <v>38.098517473858998</v>
          </cell>
          <cell r="CN384">
            <v>42.286541543995</v>
          </cell>
          <cell r="CO384">
            <v>16.606244696015999</v>
          </cell>
          <cell r="CP384">
            <v>138.53296037971899</v>
          </cell>
          <cell r="CQ384">
            <v>36.22</v>
          </cell>
          <cell r="CR384">
            <v>39.94</v>
          </cell>
          <cell r="CS384">
            <v>46.79</v>
          </cell>
          <cell r="CT384">
            <v>27.217339052492001</v>
          </cell>
          <cell r="CU384">
            <v>150.166784728278</v>
          </cell>
          <cell r="CV384">
            <v>60.45</v>
          </cell>
          <cell r="CW384">
            <v>50.96</v>
          </cell>
          <cell r="CX384">
            <v>62.55</v>
          </cell>
          <cell r="CY384">
            <v>28.973371287814999</v>
          </cell>
          <cell r="CZ384">
            <v>202.93337128781499</v>
          </cell>
          <cell r="DE384">
            <v>228.36970894530501</v>
          </cell>
        </row>
        <row r="385">
          <cell r="B385" t="str">
            <v>EPS (post-exceptionals, basic)</v>
          </cell>
          <cell r="C385" t="str">
            <v>EPS_POST_BASIC</v>
          </cell>
          <cell r="D385" t="str">
            <v>JPY</v>
          </cell>
          <cell r="G385">
            <v>23.678274031343999</v>
          </cell>
          <cell r="H385">
            <v>36.947254918351</v>
          </cell>
          <cell r="I385">
            <v>28.955713412819001</v>
          </cell>
          <cell r="J385">
            <v>26.460342794500999</v>
          </cell>
          <cell r="K385">
            <v>26.805194179291</v>
          </cell>
          <cell r="L385">
            <v>31.186432131242</v>
          </cell>
          <cell r="M385">
            <v>29.374464688863</v>
          </cell>
          <cell r="N385">
            <v>27.202812820554001</v>
          </cell>
          <cell r="O385">
            <v>42.310973549282998</v>
          </cell>
          <cell r="P385">
            <v>47.388373998497997</v>
          </cell>
          <cell r="S385">
            <v>48.759063836869998</v>
          </cell>
          <cell r="X385">
            <v>52.301378695852001</v>
          </cell>
          <cell r="AC385">
            <v>55.483497216742002</v>
          </cell>
          <cell r="AH385">
            <v>59.156964827967002</v>
          </cell>
          <cell r="AM385">
            <v>13.288656155127001</v>
          </cell>
          <cell r="AR385">
            <v>41.677617821710001</v>
          </cell>
          <cell r="AW385">
            <v>37.736133307800998</v>
          </cell>
          <cell r="BB385">
            <v>43.798527999880001</v>
          </cell>
          <cell r="BG385">
            <v>54.835331283822001</v>
          </cell>
          <cell r="BL385">
            <v>62.817503114140997</v>
          </cell>
          <cell r="BQ385">
            <v>78.197522203074001</v>
          </cell>
          <cell r="BV385">
            <v>102.662486590021</v>
          </cell>
          <cell r="CA385">
            <v>123.27594500693699</v>
          </cell>
          <cell r="CF385">
            <v>123.70504869219801</v>
          </cell>
          <cell r="CK385">
            <v>135.38976171495699</v>
          </cell>
          <cell r="CP385">
            <v>138.53296037971899</v>
          </cell>
          <cell r="CU385">
            <v>150.166784728278</v>
          </cell>
          <cell r="CZ385">
            <v>202.93337128781499</v>
          </cell>
          <cell r="DE385">
            <v>228.36970894530501</v>
          </cell>
        </row>
        <row r="386">
          <cell r="B386" t="str">
            <v>EPS (post-exceptionals, diluted)</v>
          </cell>
          <cell r="C386" t="str">
            <v>FULLY_DIL_EPS</v>
          </cell>
          <cell r="D386" t="str">
            <v>JPY</v>
          </cell>
          <cell r="G386">
            <v>23.677933252401001</v>
          </cell>
          <cell r="H386">
            <v>36.946886948408</v>
          </cell>
          <cell r="I386">
            <v>28.955081591464999</v>
          </cell>
          <cell r="J386">
            <v>26.460177888661999</v>
          </cell>
          <cell r="K386">
            <v>26.805001977667999</v>
          </cell>
          <cell r="L386">
            <v>31.186296285027002</v>
          </cell>
          <cell r="M386">
            <v>29.374177772964</v>
          </cell>
          <cell r="N386">
            <v>27.195464549040999</v>
          </cell>
          <cell r="O386">
            <v>42.144602995912997</v>
          </cell>
          <cell r="P386">
            <v>47.093842861634002</v>
          </cell>
          <cell r="S386">
            <v>48.108031358707997</v>
          </cell>
          <cell r="X386">
            <v>51.343292664374999</v>
          </cell>
          <cell r="AC386">
            <v>54.456851350392</v>
          </cell>
          <cell r="AH386">
            <v>58.046990324149</v>
          </cell>
          <cell r="AM386">
            <v>13.052372879086001</v>
          </cell>
          <cell r="AR386">
            <v>40.887294794572</v>
          </cell>
          <cell r="AW386">
            <v>36.932606434995002</v>
          </cell>
          <cell r="BB386">
            <v>42.698275882311002</v>
          </cell>
          <cell r="BG386">
            <v>54.835331283822001</v>
          </cell>
          <cell r="BL386">
            <v>62.817503114140997</v>
          </cell>
          <cell r="BQ386">
            <v>78.197522203074001</v>
          </cell>
          <cell r="BV386">
            <v>102.662486590021</v>
          </cell>
          <cell r="CA386">
            <v>123.27594500693699</v>
          </cell>
          <cell r="CF386">
            <v>123.70504869219801</v>
          </cell>
          <cell r="CK386">
            <v>135.38976171495699</v>
          </cell>
          <cell r="CP386">
            <v>138.53296037971899</v>
          </cell>
          <cell r="CU386">
            <v>150.166784728278</v>
          </cell>
          <cell r="CZ386">
            <v>202.93337128781499</v>
          </cell>
          <cell r="DE386">
            <v>228.36970894530501</v>
          </cell>
        </row>
        <row r="387">
          <cell r="B387" t="str">
            <v>Common dividends paid</v>
          </cell>
          <cell r="C387" t="str">
            <v>COMMON_DIV_PAID</v>
          </cell>
          <cell r="D387" t="str">
            <v>JPY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-1569</v>
          </cell>
          <cell r="M387">
            <v>-1580</v>
          </cell>
          <cell r="N387">
            <v>-545</v>
          </cell>
          <cell r="O387">
            <v>-1581</v>
          </cell>
          <cell r="P387">
            <v>-1892</v>
          </cell>
          <cell r="S387">
            <v>-2200</v>
          </cell>
          <cell r="X387">
            <v>-2193</v>
          </cell>
          <cell r="AC387">
            <v>-3007</v>
          </cell>
          <cell r="AH387">
            <v>-3505</v>
          </cell>
          <cell r="AM387">
            <v>-3510</v>
          </cell>
          <cell r="AR387">
            <v>-3114</v>
          </cell>
          <cell r="AW387">
            <v>-3110</v>
          </cell>
          <cell r="BB387">
            <v>-3094</v>
          </cell>
          <cell r="BG387">
            <v>-3088</v>
          </cell>
          <cell r="BL387">
            <v>-4002</v>
          </cell>
          <cell r="BQ387">
            <v>-4697</v>
          </cell>
          <cell r="BV387">
            <v>-6182</v>
          </cell>
          <cell r="CA387">
            <v>-6568</v>
          </cell>
          <cell r="CF387">
            <v>-7514</v>
          </cell>
          <cell r="CK387">
            <v>-7873</v>
          </cell>
          <cell r="CP387">
            <v>-8065</v>
          </cell>
          <cell r="CU387">
            <v>-8641</v>
          </cell>
          <cell r="CZ387">
            <v>-8825</v>
          </cell>
          <cell r="DE387">
            <v>-13220</v>
          </cell>
        </row>
        <row r="388">
          <cell r="B388" t="str">
            <v>DPS, dividend per share</v>
          </cell>
          <cell r="C388" t="str">
            <v>DPS</v>
          </cell>
          <cell r="D388" t="str">
            <v>JPY</v>
          </cell>
          <cell r="G388">
            <v>7</v>
          </cell>
          <cell r="H388">
            <v>7</v>
          </cell>
          <cell r="I388">
            <v>7</v>
          </cell>
          <cell r="J388">
            <v>7</v>
          </cell>
          <cell r="K388">
            <v>7</v>
          </cell>
          <cell r="L388">
            <v>7</v>
          </cell>
          <cell r="M388">
            <v>7</v>
          </cell>
          <cell r="N388">
            <v>7</v>
          </cell>
          <cell r="O388">
            <v>8</v>
          </cell>
          <cell r="P388">
            <v>10</v>
          </cell>
          <cell r="S388">
            <v>10</v>
          </cell>
          <cell r="X388">
            <v>12</v>
          </cell>
          <cell r="AC388">
            <v>15</v>
          </cell>
          <cell r="AH388">
            <v>15</v>
          </cell>
          <cell r="AM388">
            <v>15</v>
          </cell>
          <cell r="AR388">
            <v>15</v>
          </cell>
          <cell r="AW388">
            <v>15</v>
          </cell>
          <cell r="BB388">
            <v>15</v>
          </cell>
          <cell r="BG388">
            <v>20</v>
          </cell>
          <cell r="BL388">
            <v>20</v>
          </cell>
          <cell r="BQ388">
            <v>24</v>
          </cell>
          <cell r="BV388">
            <v>32</v>
          </cell>
          <cell r="CA388">
            <v>34</v>
          </cell>
          <cell r="CF388">
            <v>39</v>
          </cell>
          <cell r="CK388">
            <v>41</v>
          </cell>
          <cell r="CP388">
            <v>42</v>
          </cell>
          <cell r="CU388">
            <v>45</v>
          </cell>
          <cell r="CZ388">
            <v>61</v>
          </cell>
          <cell r="DE388">
            <v>78</v>
          </cell>
        </row>
        <row r="389">
          <cell r="B389" t="str">
            <v>Weighted average shares outstanding, basic</v>
          </cell>
          <cell r="C389" t="str">
            <v>SH</v>
          </cell>
          <cell r="F389">
            <v>0</v>
          </cell>
          <cell r="G389">
            <v>187.80929699999999</v>
          </cell>
          <cell r="H389">
            <v>197.20003600000001</v>
          </cell>
          <cell r="I389">
            <v>197.19769700000001</v>
          </cell>
          <cell r="J389">
            <v>197.200771</v>
          </cell>
          <cell r="K389">
            <v>197.20058599999999</v>
          </cell>
          <cell r="L389">
            <v>197.20114100000001</v>
          </cell>
          <cell r="M389">
            <v>195.54398900000001</v>
          </cell>
          <cell r="N389">
            <v>197.14873</v>
          </cell>
          <cell r="O389">
            <v>196.42658399999999</v>
          </cell>
          <cell r="P389">
            <v>195.976338</v>
          </cell>
          <cell r="S389">
            <v>194.56895299999999</v>
          </cell>
          <cell r="X389">
            <v>193.58954299999999</v>
          </cell>
          <cell r="AC389">
            <v>193.55304799999999</v>
          </cell>
          <cell r="AH389">
            <v>193.502152</v>
          </cell>
          <cell r="AM389">
            <v>206.642415</v>
          </cell>
          <cell r="AR389">
            <v>206.393754</v>
          </cell>
          <cell r="AW389">
            <v>205.90344899999999</v>
          </cell>
          <cell r="BB389">
            <v>205.09821700000001</v>
          </cell>
          <cell r="BG389">
            <v>200.71001200000001</v>
          </cell>
          <cell r="BL389">
            <v>199.92835400000001</v>
          </cell>
          <cell r="BQ389">
            <v>196.70699999999999</v>
          </cell>
          <cell r="BV389">
            <v>194.46246300000001</v>
          </cell>
          <cell r="CA389">
            <v>193.14392599999999</v>
          </cell>
          <cell r="CF389">
            <v>192.76497000000001</v>
          </cell>
          <cell r="CK389">
            <v>191.97906599999999</v>
          </cell>
          <cell r="CP389">
            <v>191.97597400000001</v>
          </cell>
          <cell r="CU389">
            <v>191.97321199999999</v>
          </cell>
          <cell r="CZ389">
            <v>191.703315</v>
          </cell>
          <cell r="DE389">
            <v>191.500879</v>
          </cell>
        </row>
        <row r="390">
          <cell r="B390" t="str">
            <v>Diluted average shares outstanding (mn)</v>
          </cell>
          <cell r="C390" t="str">
            <v>DILUTE_SHARES</v>
          </cell>
          <cell r="F390">
            <v>0</v>
          </cell>
          <cell r="G390">
            <v>187.81200000000001</v>
          </cell>
          <cell r="H390">
            <v>197.202</v>
          </cell>
          <cell r="I390">
            <v>197.202</v>
          </cell>
          <cell r="J390">
            <v>197.202</v>
          </cell>
          <cell r="K390">
            <v>197.202</v>
          </cell>
          <cell r="L390">
            <v>197.202</v>
          </cell>
          <cell r="M390">
            <v>195.54589899999999</v>
          </cell>
          <cell r="N390">
            <v>197.202</v>
          </cell>
          <cell r="O390">
            <v>197.202</v>
          </cell>
          <cell r="P390">
            <v>197.202</v>
          </cell>
          <cell r="S390">
            <v>197.202</v>
          </cell>
          <cell r="X390">
            <v>197.202</v>
          </cell>
          <cell r="AC390">
            <v>197.202</v>
          </cell>
          <cell r="AH390">
            <v>197.20230000000001</v>
          </cell>
          <cell r="AM390">
            <v>210.38320200000001</v>
          </cell>
          <cell r="AR390">
            <v>210.38320200000001</v>
          </cell>
          <cell r="AW390">
            <v>210.38320200000001</v>
          </cell>
          <cell r="BB390">
            <v>210.38320200000001</v>
          </cell>
          <cell r="BG390">
            <v>200.71001200000001</v>
          </cell>
          <cell r="BL390">
            <v>199.92835400000001</v>
          </cell>
          <cell r="BQ390">
            <v>196.70699999999999</v>
          </cell>
          <cell r="BV390">
            <v>194.46246300000001</v>
          </cell>
          <cell r="BW390">
            <v>193.14392599999999</v>
          </cell>
          <cell r="BX390">
            <v>193.14392599999999</v>
          </cell>
          <cell r="BY390">
            <v>193.14392599999999</v>
          </cell>
          <cell r="BZ390">
            <v>193.14392599999999</v>
          </cell>
          <cell r="CA390">
            <v>193.14392599999999</v>
          </cell>
          <cell r="CB390">
            <v>192.76497000000001</v>
          </cell>
          <cell r="CC390">
            <v>192.76497000000001</v>
          </cell>
          <cell r="CD390">
            <v>192.76497000000001</v>
          </cell>
          <cell r="CE390">
            <v>192.76497000000001</v>
          </cell>
          <cell r="CF390">
            <v>192.76497000000001</v>
          </cell>
          <cell r="CG390">
            <v>191.97906599999999</v>
          </cell>
          <cell r="CH390">
            <v>191.97906599999999</v>
          </cell>
          <cell r="CI390">
            <v>191.97906599999999</v>
          </cell>
          <cell r="CJ390">
            <v>191.97906599999999</v>
          </cell>
          <cell r="CK390">
            <v>191.97906599999999</v>
          </cell>
          <cell r="CL390">
            <v>191.97597400000001</v>
          </cell>
          <cell r="CM390">
            <v>191.97597400000001</v>
          </cell>
          <cell r="CN390">
            <v>191.97597400000001</v>
          </cell>
          <cell r="CO390">
            <v>191.97597400000001</v>
          </cell>
          <cell r="CP390">
            <v>191.97597400000001</v>
          </cell>
          <cell r="CQ390">
            <v>191.97321199999999</v>
          </cell>
          <cell r="CR390">
            <v>191.97321199999999</v>
          </cell>
          <cell r="CS390">
            <v>191.97321199999999</v>
          </cell>
          <cell r="CT390">
            <v>191.97321199999999</v>
          </cell>
          <cell r="CU390">
            <v>191.97321199999999</v>
          </cell>
          <cell r="CV390">
            <v>191.703315</v>
          </cell>
          <cell r="CW390">
            <v>191.703315</v>
          </cell>
          <cell r="CX390">
            <v>191.703315</v>
          </cell>
          <cell r="CY390">
            <v>191.703315</v>
          </cell>
          <cell r="CZ390">
            <v>191.703315</v>
          </cell>
          <cell r="DE390">
            <v>191.500879</v>
          </cell>
        </row>
        <row r="391">
          <cell r="B391" t="str">
            <v>Period-end shares outstanding</v>
          </cell>
          <cell r="C391" t="str">
            <v>NON_OP_ADD</v>
          </cell>
          <cell r="F391">
            <v>0</v>
          </cell>
          <cell r="G391">
            <v>187.80929699999999</v>
          </cell>
          <cell r="H391">
            <v>197.20003600000001</v>
          </cell>
          <cell r="I391">
            <v>197.19769700000001</v>
          </cell>
          <cell r="J391">
            <v>197.200771</v>
          </cell>
          <cell r="K391">
            <v>197.20058599999999</v>
          </cell>
          <cell r="L391">
            <v>197.20114100000001</v>
          </cell>
          <cell r="M391">
            <v>195.54504</v>
          </cell>
          <cell r="N391">
            <v>197.14873</v>
          </cell>
          <cell r="O391">
            <v>196.42658399999999</v>
          </cell>
          <cell r="P391">
            <v>195.976338</v>
          </cell>
          <cell r="S391">
            <v>194.56895299999999</v>
          </cell>
          <cell r="X391">
            <v>193.58954299999999</v>
          </cell>
          <cell r="AC391">
            <v>193.55304799999999</v>
          </cell>
          <cell r="AH391">
            <v>193.502152</v>
          </cell>
          <cell r="AM391">
            <v>206.642415</v>
          </cell>
          <cell r="AR391">
            <v>206.393754</v>
          </cell>
          <cell r="AW391">
            <v>205.12358900000001</v>
          </cell>
          <cell r="BB391">
            <v>205.05151499999999</v>
          </cell>
          <cell r="BG391">
            <v>199.73209900000001</v>
          </cell>
          <cell r="BL391">
            <v>200.03125499999999</v>
          </cell>
          <cell r="BQ391">
            <v>195.33720199999999</v>
          </cell>
          <cell r="BV391">
            <v>192.82251500000001</v>
          </cell>
          <cell r="CA391">
            <v>193.13343699999999</v>
          </cell>
          <cell r="CF391">
            <v>191.98011700000001</v>
          </cell>
          <cell r="CK391">
            <v>191.97769400000001</v>
          </cell>
          <cell r="CP391">
            <v>191.97447099999999</v>
          </cell>
          <cell r="CU391">
            <v>191.97166899999999</v>
          </cell>
          <cell r="CZ391">
            <v>191.537496</v>
          </cell>
          <cell r="DE391">
            <v>191.47736</v>
          </cell>
        </row>
        <row r="392">
          <cell r="A392" t="str">
            <v>Additional Income Statement Items</v>
          </cell>
        </row>
        <row r="393">
          <cell r="B393" t="str">
            <v>Marginal tax rate</v>
          </cell>
          <cell r="C393" t="str">
            <v>MARGIN_TAX_RATE</v>
          </cell>
          <cell r="G393">
            <v>0.38536251710000002</v>
          </cell>
          <cell r="H393">
            <v>0.16615454648899999</v>
          </cell>
          <cell r="I393">
            <v>0.38912133891200001</v>
          </cell>
          <cell r="J393">
            <v>0.381962550367</v>
          </cell>
          <cell r="K393">
            <v>0.50142045454499995</v>
          </cell>
          <cell r="L393">
            <v>0.49318485523400002</v>
          </cell>
          <cell r="M393">
            <v>0.31776526443600001</v>
          </cell>
          <cell r="N393">
            <v>0.35338680926900001</v>
          </cell>
          <cell r="O393">
            <v>0.59926791005799995</v>
          </cell>
          <cell r="P393">
            <v>0.497093568348</v>
          </cell>
          <cell r="S393">
            <v>0.48696131243899998</v>
          </cell>
          <cell r="X393">
            <v>0.35911761317800001</v>
          </cell>
          <cell r="AC393">
            <v>0.40266920877000001</v>
          </cell>
          <cell r="AH393">
            <v>0.44795857228500002</v>
          </cell>
          <cell r="AM393">
            <v>0.792736829531</v>
          </cell>
          <cell r="AR393">
            <v>0.41422791638599998</v>
          </cell>
          <cell r="AW393">
            <v>0.41600356956899998</v>
          </cell>
          <cell r="BB393">
            <v>0.41455511632399999</v>
          </cell>
          <cell r="BG393">
            <v>0.372819151939</v>
          </cell>
          <cell r="BL393">
            <v>0.435984916502</v>
          </cell>
          <cell r="BQ393">
            <v>0.34967676937300002</v>
          </cell>
          <cell r="BV393">
            <v>0.33342147886200002</v>
          </cell>
          <cell r="CA393">
            <v>0.118763617563</v>
          </cell>
          <cell r="CF393">
            <v>0.328925803495</v>
          </cell>
          <cell r="CK393">
            <v>0.29767256284100002</v>
          </cell>
          <cell r="CP393">
            <v>0.28803058265199999</v>
          </cell>
          <cell r="CU393">
            <v>0.27715392778699999</v>
          </cell>
          <cell r="CZ393">
            <v>0.27447400932999999</v>
          </cell>
          <cell r="DE393">
            <v>0.27299044360699998</v>
          </cell>
        </row>
        <row r="394">
          <cell r="B394" t="str">
            <v>EPS (basic)</v>
          </cell>
          <cell r="C394" t="str">
            <v>EPS_BASIC_JPN</v>
          </cell>
          <cell r="D394" t="str">
            <v>JPY</v>
          </cell>
          <cell r="G394">
            <v>23.678274031343999</v>
          </cell>
          <cell r="H394">
            <v>36.947254918351</v>
          </cell>
          <cell r="I394">
            <v>28.955713412819001</v>
          </cell>
          <cell r="J394">
            <v>26.460342794500999</v>
          </cell>
          <cell r="K394">
            <v>26.805194179291</v>
          </cell>
          <cell r="L394">
            <v>31.186432131242</v>
          </cell>
          <cell r="M394">
            <v>29.374464688863</v>
          </cell>
          <cell r="N394">
            <v>27.202812820554001</v>
          </cell>
          <cell r="O394">
            <v>42.310973549282998</v>
          </cell>
          <cell r="P394">
            <v>47.388373998497997</v>
          </cell>
          <cell r="S394">
            <v>48.759063836869998</v>
          </cell>
          <cell r="X394">
            <v>52.301378695852001</v>
          </cell>
          <cell r="AC394">
            <v>55.483497216742002</v>
          </cell>
          <cell r="AH394">
            <v>59.156964827967002</v>
          </cell>
          <cell r="AM394">
            <v>13.288656155127001</v>
          </cell>
          <cell r="AR394">
            <v>41.677617821710001</v>
          </cell>
          <cell r="AW394">
            <v>37.736133307800998</v>
          </cell>
          <cell r="BB394">
            <v>43.798527999880001</v>
          </cell>
          <cell r="BG394">
            <v>54.835331283822001</v>
          </cell>
          <cell r="BL394">
            <v>62.817503114140997</v>
          </cell>
          <cell r="BQ394">
            <v>78.197522203074001</v>
          </cell>
          <cell r="BV394">
            <v>102.662486590021</v>
          </cell>
          <cell r="CA394">
            <v>123.27594500693699</v>
          </cell>
          <cell r="CF394">
            <v>123.70504869219801</v>
          </cell>
          <cell r="CK394">
            <v>135.38976171495699</v>
          </cell>
          <cell r="CP394">
            <v>138.53296037971899</v>
          </cell>
          <cell r="CU394">
            <v>150.166784728278</v>
          </cell>
          <cell r="CZ394">
            <v>202.93337128781499</v>
          </cell>
          <cell r="DE394">
            <v>228.36970894530501</v>
          </cell>
        </row>
        <row r="395">
          <cell r="B395" t="str">
            <v>EPS (diluted)</v>
          </cell>
          <cell r="C395" t="str">
            <v>EPS_FUL_DIL_JPN</v>
          </cell>
          <cell r="D395" t="str">
            <v>JPY</v>
          </cell>
          <cell r="G395">
            <v>23.677933252401001</v>
          </cell>
          <cell r="H395">
            <v>36.946886948408</v>
          </cell>
          <cell r="I395">
            <v>28.955081591464999</v>
          </cell>
          <cell r="J395">
            <v>26.460177888661999</v>
          </cell>
          <cell r="K395">
            <v>26.805001977667999</v>
          </cell>
          <cell r="L395">
            <v>31.186296285027002</v>
          </cell>
          <cell r="M395">
            <v>29.374177772964</v>
          </cell>
          <cell r="N395">
            <v>27.195464549040999</v>
          </cell>
          <cell r="O395">
            <v>42.144602995912997</v>
          </cell>
          <cell r="P395">
            <v>47.093842861634002</v>
          </cell>
          <cell r="S395">
            <v>48.108031358707997</v>
          </cell>
          <cell r="X395">
            <v>51.343292664374999</v>
          </cell>
          <cell r="AC395">
            <v>54.456851350392</v>
          </cell>
          <cell r="AH395">
            <v>58.046990324149</v>
          </cell>
          <cell r="AM395">
            <v>13.052372879086001</v>
          </cell>
          <cell r="AR395">
            <v>40.887294794572</v>
          </cell>
          <cell r="AW395">
            <v>36.932606434995002</v>
          </cell>
          <cell r="BB395">
            <v>42.698275882311002</v>
          </cell>
          <cell r="BG395">
            <v>54.835331283822001</v>
          </cell>
          <cell r="BL395">
            <v>62.817503114140997</v>
          </cell>
          <cell r="BQ395">
            <v>78.197522203074001</v>
          </cell>
          <cell r="BV395">
            <v>102.662486590021</v>
          </cell>
          <cell r="CA395">
            <v>123.27594500693699</v>
          </cell>
          <cell r="CF395">
            <v>123.70504869219801</v>
          </cell>
          <cell r="CK395">
            <v>135.38976171495699</v>
          </cell>
          <cell r="CP395">
            <v>138.53296037971899</v>
          </cell>
          <cell r="CU395">
            <v>150.166784728278</v>
          </cell>
          <cell r="CZ395">
            <v>202.93337128781499</v>
          </cell>
          <cell r="DE395">
            <v>228.36970894530501</v>
          </cell>
        </row>
        <row r="396">
          <cell r="A396" t="str">
            <v>Balance Sheet</v>
          </cell>
        </row>
        <row r="397">
          <cell r="B397" t="str">
            <v>BVPS, book value per share</v>
          </cell>
          <cell r="C397" t="str">
            <v>BVPS</v>
          </cell>
          <cell r="D397" t="str">
            <v>JPY</v>
          </cell>
          <cell r="G397">
            <v>493.96915638313698</v>
          </cell>
          <cell r="H397">
            <v>510.94311159253499</v>
          </cell>
          <cell r="I397">
            <v>532.48593466078898</v>
          </cell>
          <cell r="J397">
            <v>551.67127110268802</v>
          </cell>
          <cell r="K397">
            <v>571.18998622042602</v>
          </cell>
          <cell r="L397">
            <v>605.99547950891395</v>
          </cell>
          <cell r="M397">
            <v>616.71213956641395</v>
          </cell>
          <cell r="N397">
            <v>671.13290559873201</v>
          </cell>
          <cell r="O397">
            <v>671.01915288614896</v>
          </cell>
          <cell r="P397">
            <v>723.80676895799502</v>
          </cell>
          <cell r="S397">
            <v>757.41785998098101</v>
          </cell>
          <cell r="X397">
            <v>871.30739287917004</v>
          </cell>
          <cell r="AC397">
            <v>906.84699524855796</v>
          </cell>
          <cell r="AH397">
            <v>864.36248006172002</v>
          </cell>
          <cell r="AM397">
            <v>775.12160318103099</v>
          </cell>
          <cell r="AR397">
            <v>801.68608203133897</v>
          </cell>
          <cell r="AW397">
            <v>784.45390305646401</v>
          </cell>
          <cell r="BB397">
            <v>809.26980715065702</v>
          </cell>
          <cell r="BG397">
            <v>934.66198440141602</v>
          </cell>
          <cell r="BL397">
            <v>1045.8565587662799</v>
          </cell>
          <cell r="BQ397">
            <v>1210.77294841154</v>
          </cell>
          <cell r="BV397">
            <v>1160.05643842992</v>
          </cell>
          <cell r="CA397">
            <v>1242.7159363399101</v>
          </cell>
          <cell r="CF397">
            <v>1292.18068973257</v>
          </cell>
          <cell r="CK397">
            <v>1382.6033351562201</v>
          </cell>
          <cell r="CP397">
            <v>1419.1209830186201</v>
          </cell>
          <cell r="CU397">
            <v>1593.8966494061201</v>
          </cell>
          <cell r="CZ397">
            <v>1868.13030071146</v>
          </cell>
          <cell r="DE397">
            <v>2143.9297053186901</v>
          </cell>
        </row>
      </sheetData>
      <sheetData sheetId="32">
        <row r="1">
          <cell r="A1" t="str">
            <v>0b6ef8df-b2c6-4ed1-a823-64c701a0663c</v>
          </cell>
        </row>
        <row r="2">
          <cell r="A2" t="str">
            <v>\\firmwide.corp.gs.com\irroot\Projects\tk\consumer\Miyazaki\1. Models WIP\[2801 Model.xlsx]2801.T_Validation_Sheet</v>
          </cell>
        </row>
        <row r="7">
          <cell r="A7" t="str">
            <v>Scalar|||208007714|||ISSR|||CURRENCY_ISO|||False|||</v>
          </cell>
          <cell r="C7" t="str">
            <v>V_KEYWORD_ISSR_208007714_CURRENCY_ISO</v>
          </cell>
        </row>
        <row r="9">
          <cell r="A9" t="str">
            <v>Scalar|||208007714|||ISSR|||ASS_YEN_PER_USD_FX|||False|||</v>
          </cell>
          <cell r="C9" t="str">
            <v>V_KEYWORD_ISSR_208007714_ASS_YEN_PER_USD_FX</v>
          </cell>
        </row>
        <row r="10">
          <cell r="A10" t="str">
            <v>Scalar|||208007714|||ISSR|||ASS_YEN_PER_EUR_FX|||False|||</v>
          </cell>
          <cell r="C10" t="str">
            <v>V_KEYWORD_ISSR_208007714_ASS_YEN_PER_EUR_FX</v>
          </cell>
        </row>
        <row r="11">
          <cell r="A11" t="str">
            <v>Scalar|||208007714|||ISSR|||MA_PROB|||False|||</v>
          </cell>
          <cell r="C11" t="str">
            <v>V_KEYWORD_ISSR_208007714_MA_PROB</v>
          </cell>
        </row>
        <row r="12">
          <cell r="A12" t="str">
            <v>Scalar|||208007714|||ISSR|||FX_USD_ASSUMPTION|||False|||</v>
          </cell>
          <cell r="C12" t="str">
            <v>V_KEYWORD_ISSR_208007714_FX_USD_ASSUMPTION</v>
          </cell>
        </row>
        <row r="13">
          <cell r="A13" t="str">
            <v>Scalar|||208007714|||ISSR|||FX_EUR_ASSUMPTION|||False|||</v>
          </cell>
          <cell r="C13" t="str">
            <v>V_KEYWORD_ISSR_208007714_FX_EUR_ASSUMPTION</v>
          </cell>
        </row>
        <row r="15">
          <cell r="A15" t="str">
            <v>Vector|||208007714|||ISSR|||COE_YEN_PER_US_AVG_FX_PUB|||False|||</v>
          </cell>
          <cell r="C15" t="str">
            <v>V_KEYWORD_ISSR_208007714_COE_YEN_PER_US_AVG_FX_PUB</v>
          </cell>
        </row>
        <row r="16">
          <cell r="A16" t="str">
            <v>Vector|||208007714|||ISSR|||COE_YEN_PER_EUR_AVG_FX_PUB|||False|||</v>
          </cell>
          <cell r="C16" t="str">
            <v>V_KEYWORD_ISSR_208007714_COE_YEN_PER_EUR_AVG_FX_PUB</v>
          </cell>
        </row>
        <row r="18">
          <cell r="A18" t="str">
            <v>Vector|||208007714|||ISSR|||SALES|||False|||</v>
          </cell>
          <cell r="C18" t="str">
            <v>V_KEYWORD_ISSR_208007714_SALES</v>
          </cell>
        </row>
        <row r="19">
          <cell r="A19" t="str">
            <v>Vector|||208007714|||ISSR|||COST_GD_SD|||False|||</v>
          </cell>
          <cell r="C19" t="str">
            <v>V_KEYWORD_ISSR_208007714_COST_GD_SD</v>
          </cell>
        </row>
        <row r="20">
          <cell r="A20" t="str">
            <v>Vector|||208007714|||ISSR|||SEL_GL_AD|||False|||</v>
          </cell>
          <cell r="C20" t="str">
            <v>V_KEYWORD_ISSR_208007714_SEL_GL_AD</v>
          </cell>
        </row>
        <row r="21">
          <cell r="A21" t="str">
            <v>Vector|||208007714|||ISSR|||OP_COST|||False|||</v>
          </cell>
          <cell r="C21" t="str">
            <v>V_KEYWORD_ISSR_208007714_OP_COST</v>
          </cell>
        </row>
        <row r="22">
          <cell r="A22" t="str">
            <v>Vector|||208007714|||ISSR|||RD_EXP|||False|||</v>
          </cell>
          <cell r="C22" t="str">
            <v>V_KEYWORD_ISSR_208007714_RD_EXP</v>
          </cell>
        </row>
        <row r="23">
          <cell r="A23" t="str">
            <v>Vector|||208007714|||ISSR|||OTH_OP_INC_EXP|||False|||</v>
          </cell>
          <cell r="C23" t="str">
            <v>V_KEYWORD_ISSR_208007714_OTH_OP_INC_EXP</v>
          </cell>
        </row>
        <row r="24">
          <cell r="A24" t="str">
            <v>Vector|||208007714|||ISSR|||TOT_OPS_EXP_DDA|||False|||</v>
          </cell>
          <cell r="C24" t="str">
            <v>V_KEYWORD_ISSR_208007714_TOT_OPS_EXP_DDA</v>
          </cell>
        </row>
        <row r="25">
          <cell r="A25" t="str">
            <v>Vector|||208007714|||ISSR|||TOT_OPS_EXP|||False|||</v>
          </cell>
          <cell r="C25" t="str">
            <v>V_KEYWORD_ISSR_208007714_TOT_OPS_EXP</v>
          </cell>
        </row>
        <row r="26">
          <cell r="A26" t="str">
            <v>Vector|||208007714|||ISSR|||EBITDA_CALC|||False|||</v>
          </cell>
          <cell r="C26" t="str">
            <v>V_KEYWORD_ISSR_208007714_EBITDA_CALC</v>
          </cell>
        </row>
        <row r="27">
          <cell r="A27" t="str">
            <v>Vector|||208007714|||ISSR|||DEPREC|||False|||</v>
          </cell>
          <cell r="C27" t="str">
            <v>V_KEYWORD_ISSR_208007714_DEPREC</v>
          </cell>
        </row>
        <row r="28">
          <cell r="A28" t="str">
            <v>Vector|||208007714|||ISSR|||GOODWILL_AMORT|||False|||</v>
          </cell>
          <cell r="C28" t="str">
            <v>V_KEYWORD_ISSR_208007714_GOODWILL_AMORT</v>
          </cell>
        </row>
        <row r="29">
          <cell r="A29" t="str">
            <v>Vector|||208007714|||ISSR|||EBIT|||False|||</v>
          </cell>
          <cell r="C29" t="str">
            <v>V_KEYWORD_ISSR_208007714_EBIT</v>
          </cell>
        </row>
        <row r="30">
          <cell r="A30" t="str">
            <v>Vector|||208007714|||ISSR|||INT_INC_IND|||False|||</v>
          </cell>
          <cell r="C30" t="str">
            <v>V_KEYWORD_ISSR_208007714_INT_INC_IND</v>
          </cell>
        </row>
        <row r="31">
          <cell r="A31" t="str">
            <v>Vector|||208007714|||ISSR|||INT_EXP_IND|||False|||</v>
          </cell>
          <cell r="C31" t="str">
            <v>V_KEYWORD_ISSR_208007714_INT_EXP_IND</v>
          </cell>
        </row>
        <row r="32">
          <cell r="A32" t="str">
            <v>Vector|||208007714|||ISSR|||NET_INT_EXP|||False|||</v>
          </cell>
          <cell r="C32" t="str">
            <v>V_KEYWORD_ISSR_208007714_NET_INT_EXP</v>
          </cell>
        </row>
        <row r="33">
          <cell r="A33" t="str">
            <v>Vector|||208007714|||ISSR|||ASSOCIATE|||False|||</v>
          </cell>
          <cell r="C33" t="str">
            <v>V_KEYWORD_ISSR_208007714_ASSOCIATE</v>
          </cell>
        </row>
        <row r="34">
          <cell r="A34" t="str">
            <v>Vector|||208007714|||ISSR|||PROFIT_ON_DISP|||False|||</v>
          </cell>
          <cell r="C34" t="str">
            <v>V_KEYWORD_ISSR_208007714_PROFIT_ON_DISP</v>
          </cell>
        </row>
        <row r="35">
          <cell r="A35" t="str">
            <v>Vector|||208007714|||ISSR|||OTH_COST_INC|||False|||</v>
          </cell>
          <cell r="C35" t="str">
            <v>V_KEYWORD_ISSR_208007714_OTH_COST_INC</v>
          </cell>
        </row>
        <row r="36">
          <cell r="A36" t="str">
            <v>Vector|||208007714|||ISSR|||PT_PROF|||False|||</v>
          </cell>
          <cell r="C36" t="str">
            <v>V_KEYWORD_ISSR_208007714_PT_PROF</v>
          </cell>
        </row>
        <row r="38">
          <cell r="A38" t="str">
            <v>Vector|||208007714|||ISSR|||CONTRIB_MARGIN_RATIO|||False|||</v>
          </cell>
          <cell r="C38" t="str">
            <v>V_KEYWORD_ISSR_208007714_CONTRIB_MARGIN_RATIO</v>
          </cell>
        </row>
        <row r="39">
          <cell r="A39" t="str">
            <v>Vector|||208007714|||ISSR|||ORG_REV_GRTH|||False|||</v>
          </cell>
          <cell r="C39" t="str">
            <v>V_KEYWORD_ISSR_208007714_ORG_REV_GRTH</v>
          </cell>
        </row>
        <row r="40">
          <cell r="A40" t="str">
            <v>Vector|||208007714|||ISSR|||LEASE_PAY|||False|||</v>
          </cell>
          <cell r="C40" t="str">
            <v>V_KEYWORD_ISSR_208007714_LEASE_PAY</v>
          </cell>
        </row>
        <row r="41">
          <cell r="A41" t="str">
            <v>Vector|||208007714|||ISSR|||LEASE_DEEM_INT|||False|||</v>
          </cell>
          <cell r="C41" t="str">
            <v>V_KEYWORD_ISSR_208007714_LEASE_DEEM_INT</v>
          </cell>
        </row>
        <row r="42">
          <cell r="A42" t="str">
            <v>Vector|||208007714|||ISSR|||LEASE_DEEM_DEPR|||False|||</v>
          </cell>
          <cell r="C42" t="str">
            <v>V_KEYWORD_ISSR_208007714_LEASE_DEEM_DEPR</v>
          </cell>
        </row>
        <row r="43">
          <cell r="A43" t="str">
            <v>Vector|||208007714|||ISSR|||NET_INT_CH|||False|||</v>
          </cell>
          <cell r="C43" t="str">
            <v>V_KEYWORD_ISSR_208007714_NET_INT_CH</v>
          </cell>
        </row>
        <row r="44">
          <cell r="A44" t="str">
            <v>Vector|||208007714|||ISSR|||ASSOCIATE_OP|||False|||</v>
          </cell>
          <cell r="C44" t="str">
            <v>V_KEYWORD_ISSR_208007714_ASSOCIATE_OP</v>
          </cell>
        </row>
        <row r="45">
          <cell r="A45" t="str">
            <v>Vector|||208007714|||ISSR|||SGA_JPN|||False|||</v>
          </cell>
          <cell r="C45" t="str">
            <v>V_KEYWORD_ISSR_208007714_SGA_JPN</v>
          </cell>
        </row>
        <row r="46">
          <cell r="A46" t="str">
            <v>Vector|||208007714|||ISSR|||GP_JPN|||False|||</v>
          </cell>
          <cell r="C46" t="str">
            <v>V_KEYWORD_ISSR_208007714_GP_JPN</v>
          </cell>
        </row>
        <row r="47">
          <cell r="A47" t="str">
            <v>Vector|||208007714|||ISSR|||EBITDA_ADJ|||False|||</v>
          </cell>
          <cell r="C47" t="str">
            <v>V_KEYWORD_ISSR_208007714_EBITDA_ADJ</v>
          </cell>
        </row>
        <row r="48">
          <cell r="A48" t="str">
            <v>Vector|||208007714|||ISSR|||EBITDA_JPN|||False|||</v>
          </cell>
          <cell r="C48" t="str">
            <v>V_KEYWORD_ISSR_208007714_EBITDA_JPN</v>
          </cell>
        </row>
        <row r="49">
          <cell r="A49" t="str">
            <v>Vector|||208007714|||ISSR|||ASSOCIATE_JPN|||False|||</v>
          </cell>
          <cell r="C49" t="str">
            <v>V_KEYWORD_ISSR_208007714_ASSOCIATE_JPN</v>
          </cell>
        </row>
        <row r="50">
          <cell r="A50" t="str">
            <v>Vector|||208007714|||ISSR|||ASSOCIATE_SEC_JPN|||False|||</v>
          </cell>
          <cell r="C50" t="str">
            <v>V_KEYWORD_ISSR_208007714_ASSOCIATE_SEC_JPN</v>
          </cell>
        </row>
        <row r="51">
          <cell r="A51" t="str">
            <v>Vector|||208007714|||ISSR|||OTH_NOP_INC_EXP_JPN|||False|||</v>
          </cell>
          <cell r="C51" t="str">
            <v>V_KEYWORD_ISSR_208007714_OTH_NOP_INC_EXP_JPN</v>
          </cell>
        </row>
        <row r="52">
          <cell r="A52" t="str">
            <v>Vector|||208007714|||ISSR|||EXTRA_INC_JPN|||False|||</v>
          </cell>
          <cell r="C52" t="str">
            <v>V_KEYWORD_ISSR_208007714_EXTRA_INC_JPN</v>
          </cell>
        </row>
        <row r="53">
          <cell r="A53" t="str">
            <v>Vector|||208007714|||ISSR|||EXTRA_EXP_JPN|||False|||</v>
          </cell>
          <cell r="C53" t="str">
            <v>V_KEYWORD_ISSR_208007714_EXTRA_EXP_JPN</v>
          </cell>
        </row>
        <row r="54">
          <cell r="A54" t="str">
            <v>Vector|||208007714|||ISSR|||PTP_JPN|||False|||</v>
          </cell>
          <cell r="C54" t="str">
            <v>V_KEYWORD_ISSR_208007714_PTP_JPN</v>
          </cell>
        </row>
        <row r="55">
          <cell r="A55" t="str">
            <v>Vector|||208007714|||ISSR|||FX_USD_NI_SENSITIVITY|||False|||</v>
          </cell>
          <cell r="C55" t="str">
            <v>V_KEYWORD_ISSR_208007714_FX_USD_NI_SENSITIVITY</v>
          </cell>
        </row>
        <row r="56">
          <cell r="A56" t="str">
            <v>Vector|||208007714|||ISSR|||FX_EUR_NI_SENSITIVITY|||False|||</v>
          </cell>
          <cell r="C56" t="str">
            <v>V_KEYWORD_ISSR_208007714_FX_EUR_NI_SENSITIVITY</v>
          </cell>
        </row>
        <row r="57">
          <cell r="A57" t="str">
            <v>Vector|||208007714|||ISSR|||DEPR_ROU_ASSETS|||False|||</v>
          </cell>
          <cell r="C57" t="str">
            <v>V_KEYWORD_ISSR_208007714_DEPR_ROU_ASSETS</v>
          </cell>
        </row>
        <row r="58">
          <cell r="A58" t="str">
            <v>Vector|||208007714|||ISSR|||LEASE_INT_CHG|||False|||</v>
          </cell>
          <cell r="C58" t="str">
            <v>V_KEYWORD_ISSR_208007714_LEASE_INT_CHG</v>
          </cell>
        </row>
        <row r="59">
          <cell r="A59" t="str">
            <v>Scalar|||208007714|||ISSR|||LEASE_ADOPT|||False|||</v>
          </cell>
          <cell r="C59" t="str">
            <v>V_KEYWORD_ISSR_208007714_LEASE_ADOPT</v>
          </cell>
        </row>
        <row r="61">
          <cell r="A61" t="str">
            <v>Vector|||208007714|||ISSR|||CASH_EQ|||False|||</v>
          </cell>
          <cell r="C61" t="str">
            <v>V_KEYWORD_ISSR_208007714_CASH_EQ</v>
          </cell>
        </row>
        <row r="62">
          <cell r="A62" t="str">
            <v>Vector|||208007714|||ISSR|||DEBTORS|||False|||</v>
          </cell>
          <cell r="C62" t="str">
            <v>V_KEYWORD_ISSR_208007714_DEBTORS</v>
          </cell>
        </row>
        <row r="63">
          <cell r="A63" t="str">
            <v>Vector|||208007714|||ISSR|||STOCKS|||False|||</v>
          </cell>
          <cell r="C63" t="str">
            <v>V_KEYWORD_ISSR_208007714_STOCKS</v>
          </cell>
        </row>
        <row r="64">
          <cell r="A64" t="str">
            <v>Vector|||208007714|||ISSR|||OTH_CUR_ASS|||False|||</v>
          </cell>
          <cell r="C64" t="str">
            <v>V_KEYWORD_ISSR_208007714_OTH_CUR_ASS</v>
          </cell>
        </row>
        <row r="65">
          <cell r="A65" t="str">
            <v>Vector|||208007714|||ISSR|||CUR_ASS|||False|||</v>
          </cell>
          <cell r="C65" t="str">
            <v>V_KEYWORD_ISSR_208007714_CUR_ASS</v>
          </cell>
        </row>
        <row r="66">
          <cell r="A66" t="str">
            <v>Vector|||208007714|||ISSR|||GR_FIX_ASS|||False|||</v>
          </cell>
          <cell r="C66" t="str">
            <v>V_KEYWORD_ISSR_208007714_GR_FIX_ASS</v>
          </cell>
        </row>
        <row r="67">
          <cell r="A67" t="str">
            <v>Vector|||208007714|||ISSR|||ACC_DDA|||False|||</v>
          </cell>
          <cell r="C67" t="str">
            <v>V_KEYWORD_ISSR_208007714_ACC_DDA</v>
          </cell>
        </row>
        <row r="68">
          <cell r="A68" t="str">
            <v>Vector|||208007714|||ISSR|||NET_FIX_ASS|||False|||</v>
          </cell>
          <cell r="C68" t="str">
            <v>V_KEYWORD_ISSR_208007714_NET_FIX_ASS</v>
          </cell>
        </row>
        <row r="69">
          <cell r="A69" t="str">
            <v>Vector|||208007714|||ISSR|||GR_INTANG|||False|||</v>
          </cell>
          <cell r="C69" t="str">
            <v>V_KEYWORD_ISSR_208007714_GR_INTANG</v>
          </cell>
        </row>
        <row r="70">
          <cell r="A70" t="str">
            <v>Vector|||208007714|||ISSR|||ACC_AMORT|||False|||</v>
          </cell>
          <cell r="C70" t="str">
            <v>V_KEYWORD_ISSR_208007714_ACC_AMORT</v>
          </cell>
        </row>
        <row r="71">
          <cell r="A71" t="str">
            <v>Vector|||208007714|||ISSR|||NET_INTANG|||False|||</v>
          </cell>
          <cell r="C71" t="str">
            <v>V_KEYWORD_ISSR_208007714_NET_INTANG</v>
          </cell>
        </row>
        <row r="72">
          <cell r="A72" t="str">
            <v>Vector|||208007714|||ISSR|||FIX_ASS_INV|||False|||</v>
          </cell>
          <cell r="C72" t="str">
            <v>V_KEYWORD_ISSR_208007714_FIX_ASS_INV</v>
          </cell>
        </row>
        <row r="73">
          <cell r="A73" t="str">
            <v>Vector|||208007714|||ISSR|||INV_SECUR|||False|||</v>
          </cell>
          <cell r="C73" t="str">
            <v>V_KEYWORD_ISSR_208007714_INV_SECUR</v>
          </cell>
        </row>
        <row r="74">
          <cell r="A74" t="str">
            <v>Vector|||208007714|||ISSR|||OTH_LT_ASS|||False|||</v>
          </cell>
          <cell r="C74" t="str">
            <v>V_KEYWORD_ISSR_208007714_OTH_LT_ASS</v>
          </cell>
        </row>
        <row r="75">
          <cell r="A75" t="str">
            <v>Vector|||208007714|||ISSR|||TOT_ASSET|||False|||</v>
          </cell>
          <cell r="C75" t="str">
            <v>V_KEYWORD_ISSR_208007714_TOT_ASSET</v>
          </cell>
        </row>
        <row r="76">
          <cell r="A76" t="str">
            <v>Vector|||208007714|||ISSR|||ACC_PAY_GQ|||False|||</v>
          </cell>
          <cell r="C76" t="str">
            <v>V_KEYWORD_ISSR_208007714_ACC_PAY_GQ</v>
          </cell>
        </row>
        <row r="77">
          <cell r="A77" t="str">
            <v>Vector|||208007714|||ISSR|||SHORT_T_DEBT|||False|||</v>
          </cell>
          <cell r="C77" t="str">
            <v>V_KEYWORD_ISSR_208007714_SHORT_T_DEBT</v>
          </cell>
        </row>
        <row r="78">
          <cell r="A78" t="str">
            <v>Vector|||208007714|||ISSR|||ST_LEASE_LIAB|||False|||</v>
          </cell>
          <cell r="C78" t="str">
            <v>V_KEYWORD_ISSR_208007714_ST_LEASE_LIAB</v>
          </cell>
        </row>
        <row r="79">
          <cell r="A79" t="str">
            <v>Vector|||208007714|||ISSR|||OTH_CUR_LIABS|||False|||</v>
          </cell>
          <cell r="C79" t="str">
            <v>V_KEYWORD_ISSR_208007714_OTH_CUR_LIABS</v>
          </cell>
        </row>
        <row r="80">
          <cell r="A80" t="str">
            <v>Vector|||208007714|||ISSR|||SHORT_TERM_LIABS|||False|||</v>
          </cell>
          <cell r="C80" t="str">
            <v>V_KEYWORD_ISSR_208007714_SHORT_TERM_LIABS</v>
          </cell>
        </row>
        <row r="81">
          <cell r="A81" t="str">
            <v>Vector|||208007714|||ISSR|||LT_DEBT|||False|||</v>
          </cell>
          <cell r="C81" t="str">
            <v>V_KEYWORD_ISSR_208007714_LT_DEBT</v>
          </cell>
        </row>
        <row r="82">
          <cell r="A82" t="str">
            <v>Vector|||208007714|||ISSR|||LT_LEASE_LIAB|||False|||</v>
          </cell>
          <cell r="C82" t="str">
            <v>V_KEYWORD_ISSR_208007714_LT_LEASE_LIAB</v>
          </cell>
        </row>
        <row r="83">
          <cell r="A83" t="str">
            <v>Vector|||208007714|||ISSR|||OTH_LT_CRED_GQ|||False|||</v>
          </cell>
          <cell r="C83" t="str">
            <v>V_KEYWORD_ISSR_208007714_OTH_LT_CRED_GQ</v>
          </cell>
        </row>
        <row r="84">
          <cell r="A84" t="str">
            <v>Vector|||208007714|||ISSR|||TOT_LT_LIAB|||False|||</v>
          </cell>
          <cell r="C84" t="str">
            <v>V_KEYWORD_ISSR_208007714_TOT_LT_LIAB</v>
          </cell>
        </row>
        <row r="85">
          <cell r="A85" t="str">
            <v>Vector|||208007714|||ISSR|||TOT_LIAB|||False|||</v>
          </cell>
          <cell r="C85" t="str">
            <v>V_KEYWORD_ISSR_208007714_TOT_LIAB</v>
          </cell>
        </row>
        <row r="86">
          <cell r="A86" t="str">
            <v>Vector|||208007714|||ISSR|||PREF_SH|||False|||</v>
          </cell>
          <cell r="C86" t="str">
            <v>V_KEYWORD_ISSR_208007714_PREF_SH</v>
          </cell>
        </row>
        <row r="87">
          <cell r="A87" t="str">
            <v>Vector|||208007714|||ISSR|||ORD_SH_FUND|||False|||</v>
          </cell>
          <cell r="C87" t="str">
            <v>V_KEYWORD_ISSR_208007714_ORD_SH_FUND</v>
          </cell>
        </row>
        <row r="88">
          <cell r="A88" t="str">
            <v>Vector|||208007714|||ISSR|||MINORITIES|||False|||</v>
          </cell>
          <cell r="C88" t="str">
            <v>V_KEYWORD_ISSR_208007714_MINORITIES</v>
          </cell>
        </row>
        <row r="89">
          <cell r="A89" t="str">
            <v>Vector|||208007714|||ISSR|||EQ|||False|||</v>
          </cell>
          <cell r="C89" t="str">
            <v>V_KEYWORD_ISSR_208007714_EQ</v>
          </cell>
        </row>
        <row r="90">
          <cell r="A90" t="str">
            <v>Vector|||208007714|||ISSR|||TOT_LIAB_EQ|||False|||</v>
          </cell>
          <cell r="C90" t="str">
            <v>V_KEYWORD_ISSR_208007714_TOT_LIAB_EQ</v>
          </cell>
        </row>
        <row r="92">
          <cell r="A92" t="str">
            <v>Vector|||208007714|||ISSR|||TOT_USD_DEBT|||False|||</v>
          </cell>
          <cell r="C92" t="str">
            <v>V_KEYWORD_ISSR_208007714_TOT_USD_DEBT</v>
          </cell>
        </row>
        <row r="93">
          <cell r="A93" t="str">
            <v>Vector|||208007714|||ISSR|||TOT_PCT_USD_DEBT_HEDGED|||False|||</v>
          </cell>
          <cell r="C93" t="str">
            <v>V_KEYWORD_ISSR_208007714_TOT_PCT_USD_DEBT_HEDGED</v>
          </cell>
        </row>
        <row r="94">
          <cell r="A94" t="str">
            <v>Vector|||208007714|||ISSR|||FLOATING_PCT_LOCAL_DEBT|||False|||</v>
          </cell>
          <cell r="C94" t="str">
            <v>V_KEYWORD_ISSR_208007714_FLOATING_PCT_LOCAL_DEBT</v>
          </cell>
        </row>
        <row r="95">
          <cell r="A95" t="str">
            <v>Vector|||208007714|||ISSR|||FLOATING_PCT_LOCAL_DEBT_HEDGED|||False|||</v>
          </cell>
          <cell r="C95" t="str">
            <v>V_KEYWORD_ISSR_208007714_FLOATING_PCT_LOCAL_DEBT_HEDGED</v>
          </cell>
        </row>
        <row r="96">
          <cell r="A96" t="str">
            <v>Vector|||208007714|||ISSR|||NET_DEBT|||False|||</v>
          </cell>
          <cell r="C96" t="str">
            <v>V_KEYWORD_ISSR_208007714_NET_DEBT</v>
          </cell>
        </row>
        <row r="97">
          <cell r="A97" t="str">
            <v>Vector|||208007714|||ISSR|||CAP_LEASES|||False|||</v>
          </cell>
          <cell r="C97" t="str">
            <v>V_KEYWORD_ISSR_208007714_CAP_LEASES</v>
          </cell>
        </row>
        <row r="98">
          <cell r="A98" t="str">
            <v>Vector|||208007714|||ISSR|||DEF_INC_TAX|||False|||</v>
          </cell>
          <cell r="C98" t="str">
            <v>V_KEYWORD_ISSR_208007714_DEF_INC_TAX</v>
          </cell>
        </row>
        <row r="99">
          <cell r="A99" t="str">
            <v>Vector|||208007714|||ISSR|||MV_ASSOCIATES|||False|||</v>
          </cell>
          <cell r="C99" t="str">
            <v>V_KEYWORD_ISSR_208007714_MV_ASSOCIATES</v>
          </cell>
        </row>
        <row r="100">
          <cell r="A100" t="str">
            <v>Vector|||208007714|||ISSR|||NET_DEBT_ADJ|||False|||</v>
          </cell>
          <cell r="C100" t="str">
            <v>V_KEYWORD_ISSR_208007714_NET_DEBT_ADJ</v>
          </cell>
        </row>
        <row r="101">
          <cell r="A101" t="str">
            <v>Vector|||208007714|||ISSR|||CO_BOR_MARGIN|||False|||</v>
          </cell>
          <cell r="C101" t="str">
            <v>V_KEYWORD_ISSR_208007714_CO_BOR_MARGIN</v>
          </cell>
        </row>
        <row r="102">
          <cell r="A102" t="str">
            <v>Vector|||208007714|||ISSR|||UNF_PENS|||False|||</v>
          </cell>
          <cell r="C102" t="str">
            <v>V_KEYWORD_ISSR_208007714_UNF_PENS</v>
          </cell>
        </row>
        <row r="103">
          <cell r="A103" t="str">
            <v>Vector|||208007714|||ISSR|||UNF_PENS_OFF|||False|||</v>
          </cell>
          <cell r="C103" t="str">
            <v>V_KEYWORD_ISSR_208007714_UNF_PENS_OFF</v>
          </cell>
        </row>
        <row r="104">
          <cell r="A104" t="str">
            <v>Vector|||208007714|||ISSR|||UNF_PENS_LIAB_OTH|||False|||</v>
          </cell>
          <cell r="C104" t="str">
            <v>V_KEYWORD_ISSR_208007714_UNF_PENS_LIAB_OTH</v>
          </cell>
        </row>
        <row r="105">
          <cell r="A105" t="str">
            <v>Vector|||208007714|||ISSR|||ADJ_UNF_PENS_GOOD|||False|||</v>
          </cell>
          <cell r="C105" t="str">
            <v>V_KEYWORD_ISSR_208007714_ADJ_UNF_PENS_GOOD</v>
          </cell>
        </row>
        <row r="106">
          <cell r="A106" t="str">
            <v>Vector|||208007714|||ISSR|||OTH_GCI_ADJ|||False|||</v>
          </cell>
          <cell r="C106" t="str">
            <v>V_KEYWORD_ISSR_208007714_OTH_GCI_ADJ</v>
          </cell>
        </row>
        <row r="107">
          <cell r="A107" t="str">
            <v>Vector|||208007714|||ISSR|||GCI_INFL|||False|||</v>
          </cell>
          <cell r="C107" t="str">
            <v>V_KEYWORD_ISSR_208007714_GCI_INFL</v>
          </cell>
        </row>
        <row r="108">
          <cell r="A108" t="str">
            <v>Vector|||208007714|||ISSR|||BAL_MINO_INT|||False|||</v>
          </cell>
          <cell r="C108" t="str">
            <v>V_KEYWORD_ISSR_208007714_BAL_MINO_INT</v>
          </cell>
        </row>
        <row r="109">
          <cell r="A109" t="str">
            <v>Vector|||208007714|||ISSR|||CASH_EQ_JPN|||False|||</v>
          </cell>
          <cell r="C109" t="str">
            <v>V_KEYWORD_ISSR_208007714_CASH_EQ_JPN</v>
          </cell>
        </row>
        <row r="110">
          <cell r="A110" t="str">
            <v>Vector|||208007714|||ISSR|||OTH_CUR_ASS_JPN|||False|||</v>
          </cell>
          <cell r="C110" t="str">
            <v>V_KEYWORD_ISSR_208007714_OTH_CUR_ASS_JPN</v>
          </cell>
        </row>
        <row r="111">
          <cell r="A111" t="str">
            <v>Vector|||208007714|||ISSR|||ROU_ASSET|||False|||</v>
          </cell>
          <cell r="C111" t="str">
            <v>V_KEYWORD_ISSR_208007714_ROU_ASSET</v>
          </cell>
        </row>
        <row r="113">
          <cell r="A113" t="str">
            <v>Vector|||208007714|||ISSR|||CF_INC_MINORITY|||False|||</v>
          </cell>
          <cell r="C113" t="str">
            <v>V_KEYWORD_ISSR_208007714_CF_INC_MINORITY</v>
          </cell>
        </row>
        <row r="114">
          <cell r="A114" t="str">
            <v>Vector|||208007714|||ISSR|||DEPR_AMORT|||False|||</v>
          </cell>
          <cell r="C114" t="str">
            <v>V_KEYWORD_ISSR_208007714_DEPR_AMORT</v>
          </cell>
        </row>
        <row r="115">
          <cell r="A115" t="str">
            <v>Vector|||208007714|||ISSR|||WORK_CAP|||False|||</v>
          </cell>
          <cell r="C115" t="str">
            <v>V_KEYWORD_ISSR_208007714_WORK_CAP</v>
          </cell>
        </row>
        <row r="116">
          <cell r="A116" t="str">
            <v>Vector|||208007714|||ISSR|||OTH_OP_CF|||False|||</v>
          </cell>
          <cell r="C116" t="str">
            <v>V_KEYWORD_ISSR_208007714_OTH_OP_CF</v>
          </cell>
        </row>
        <row r="117">
          <cell r="A117" t="str">
            <v>Vector|||208007714|||ISSR|||CF_OPS|||False|||</v>
          </cell>
          <cell r="C117" t="str">
            <v>V_KEYWORD_ISSR_208007714_CF_OPS</v>
          </cell>
        </row>
        <row r="118">
          <cell r="A118" t="str">
            <v>Vector|||208007714|||ISSR|||CAPEX|||False|||</v>
          </cell>
          <cell r="C118" t="str">
            <v>V_KEYWORD_ISSR_208007714_CAPEX</v>
          </cell>
        </row>
        <row r="119">
          <cell r="A119" t="str">
            <v>Vector|||208007714|||ISSR|||ACQ|||False|||</v>
          </cell>
          <cell r="C119" t="str">
            <v>V_KEYWORD_ISSR_208007714_ACQ</v>
          </cell>
        </row>
        <row r="120">
          <cell r="A120" t="str">
            <v>Vector|||208007714|||ISSR|||DIVEST|||False|||</v>
          </cell>
          <cell r="C120" t="str">
            <v>V_KEYWORD_ISSR_208007714_DIVEST</v>
          </cell>
        </row>
        <row r="121">
          <cell r="A121" t="str">
            <v>Vector|||208007714|||ISSR|||OTH_INV_CF|||False|||</v>
          </cell>
          <cell r="C121" t="str">
            <v>V_KEYWORD_ISSR_208007714_OTH_INV_CF</v>
          </cell>
        </row>
        <row r="122">
          <cell r="A122" t="str">
            <v>Vector|||208007714|||ISSR|||CF_INV|||False|||</v>
          </cell>
          <cell r="C122" t="str">
            <v>V_KEYWORD_ISSR_208007714_CF_INV</v>
          </cell>
        </row>
        <row r="123">
          <cell r="A123" t="str">
            <v>Vector|||208007714|||ISSR|||DIV_PAID|||False|||</v>
          </cell>
          <cell r="C123" t="str">
            <v>V_KEYWORD_ISSR_208007714_DIV_PAID</v>
          </cell>
        </row>
        <row r="124">
          <cell r="A124" t="str">
            <v>Vector|||208007714|||ISSR|||SH_REPUR|||False|||</v>
          </cell>
          <cell r="C124" t="str">
            <v>V_KEYWORD_ISSR_208007714_SH_REPUR</v>
          </cell>
        </row>
        <row r="125">
          <cell r="A125" t="str">
            <v>Vector|||208007714|||ISSR|||CHG_LT_DEBT|||False|||</v>
          </cell>
          <cell r="C125" t="str">
            <v>V_KEYWORD_ISSR_208007714_CHG_LT_DEBT</v>
          </cell>
        </row>
        <row r="126">
          <cell r="A126" t="str">
            <v>Vector|||208007714|||ISSR|||LEASE_PRINCIPAL_CASH|||False|||</v>
          </cell>
          <cell r="C126" t="str">
            <v>V_KEYWORD_ISSR_208007714_LEASE_PRINCIPAL_CASH</v>
          </cell>
        </row>
        <row r="127">
          <cell r="A127" t="str">
            <v>Vector|||208007714|||ISSR|||OTH_FIN_CF|||False|||</v>
          </cell>
          <cell r="C127" t="str">
            <v>V_KEYWORD_ISSR_208007714_OTH_FIN_CF</v>
          </cell>
        </row>
        <row r="128">
          <cell r="A128" t="str">
            <v>Vector|||208007714|||ISSR|||CF_FIN|||False|||</v>
          </cell>
          <cell r="C128" t="str">
            <v>V_KEYWORD_ISSR_208007714_CF_FIN</v>
          </cell>
        </row>
        <row r="129">
          <cell r="A129" t="str">
            <v>Vector|||208007714|||ISSR|||TOT_CF|||False|||</v>
          </cell>
          <cell r="C129" t="str">
            <v>V_KEYWORD_ISSR_208007714_TOT_CF</v>
          </cell>
        </row>
        <row r="131">
          <cell r="A131" t="str">
            <v>Vector|||208007714|||ISSR|||ASSOC_JV_ADDBK|||False|||</v>
          </cell>
          <cell r="C131" t="str">
            <v>V_KEYWORD_ISSR_208007714_ASSOC_JV_ADDBK</v>
          </cell>
        </row>
        <row r="132">
          <cell r="A132" t="str">
            <v>Vector|||208007714|||ISSR|||PL_SALE_ASSETS|||False|||</v>
          </cell>
          <cell r="C132" t="str">
            <v>V_KEYWORD_ISSR_208007714_PL_SALE_ASSETS</v>
          </cell>
        </row>
        <row r="133">
          <cell r="A133" t="str">
            <v>Vector|||208007714|||ISSR|||OTH_NONCASH_ADJ|||False|||</v>
          </cell>
          <cell r="C133" t="str">
            <v>V_KEYWORD_ISSR_208007714_OTH_NONCASH_ADJ</v>
          </cell>
        </row>
        <row r="134">
          <cell r="A134" t="str">
            <v>Vector|||208007714|||ISSR|||OTH_DACF_ADJ|||False|||</v>
          </cell>
          <cell r="C134" t="str">
            <v>V_KEYWORD_ISSR_208007714_OTH_DACF_ADJ</v>
          </cell>
        </row>
        <row r="135">
          <cell r="A135" t="str">
            <v>Vector|||208007714|||ISSR|||CASH_INT_EXP|||False|||</v>
          </cell>
          <cell r="C135" t="str">
            <v>V_KEYWORD_ISSR_208007714_CASH_INT_EXP</v>
          </cell>
        </row>
        <row r="136">
          <cell r="A136" t="str">
            <v>Vector|||208007714|||ISSR|||CASH_TAX_EXP|||False|||</v>
          </cell>
          <cell r="C136" t="str">
            <v>V_KEYWORD_ISSR_208007714_CASH_TAX_EXP</v>
          </cell>
        </row>
        <row r="137">
          <cell r="A137" t="str">
            <v>Vector|||208007714|||ISSR|||DIVDS_ASSOC_JV|||False|||</v>
          </cell>
          <cell r="C137" t="str">
            <v>V_KEYWORD_ISSR_208007714_DIVDS_ASSOC_JV</v>
          </cell>
        </row>
        <row r="138">
          <cell r="A138" t="str">
            <v>Vector|||208007714|||ISSR|||CAPEX_MAINTENANCE|||False|||</v>
          </cell>
          <cell r="C138" t="str">
            <v>V_KEYWORD_ISSR_208007714_CAPEX_MAINTENANCE</v>
          </cell>
        </row>
        <row r="139">
          <cell r="A139" t="str">
            <v>Vector|||208007714|||ISSR|||CAPEX_EXPANSION|||False|||</v>
          </cell>
          <cell r="C139" t="str">
            <v>V_KEYWORD_ISSR_208007714_CAPEX_EXPANSION</v>
          </cell>
        </row>
        <row r="140">
          <cell r="A140" t="str">
            <v>Vector|||208007714|||ISSR|||NONPPE_CAPEX|||False|||</v>
          </cell>
          <cell r="C140" t="str">
            <v>V_KEYWORD_ISSR_208007714_NONPPE_CAPEX</v>
          </cell>
        </row>
        <row r="141">
          <cell r="A141" t="str">
            <v>Vector|||208007714|||ISSR|||DIVDS_PD_MINORITIES|||False|||</v>
          </cell>
          <cell r="C141" t="str">
            <v>V_KEYWORD_ISSR_208007714_DIVDS_PD_MINORITIES</v>
          </cell>
        </row>
        <row r="142">
          <cell r="A142" t="str">
            <v>Vector|||208007714|||ISSR|||CAPEX_EX_LEASES|||False|||</v>
          </cell>
          <cell r="C142" t="str">
            <v>V_KEYWORD_ISSR_208007714_CAPEX_EX_LEASES</v>
          </cell>
        </row>
        <row r="144">
          <cell r="A144" t="str">
            <v>Vector|||208007714|||ISSR|||EMPLOYEES|||False|||</v>
          </cell>
          <cell r="C144" t="str">
            <v>V_KEYWORD_ISSR_208007714_EMPLOYEES</v>
          </cell>
        </row>
        <row r="145">
          <cell r="A145" t="str">
            <v>Vector|||208007714|||ISSR|||MEDIA_ADVERTISING|||False|||</v>
          </cell>
          <cell r="C145" t="str">
            <v>V_KEYWORD_ISSR_208007714_MEDIA_ADVERTISING</v>
          </cell>
        </row>
        <row r="147">
          <cell r="A147" t="str">
            <v>Vector|||208007714|||ISSR|||COGS_CORN|||False|||</v>
          </cell>
          <cell r="C147" t="str">
            <v>V_KEYWORD_ISSR_208007714_COGS_CORN</v>
          </cell>
        </row>
        <row r="148">
          <cell r="A148" t="str">
            <v>Vector|||208007714|||ISSR|||COGS_WHEAT|||False|||</v>
          </cell>
          <cell r="C148" t="str">
            <v>V_KEYWORD_ISSR_208007714_COGS_WHEAT</v>
          </cell>
        </row>
        <row r="149">
          <cell r="A149" t="str">
            <v>Vector|||208007714|||ISSR|||COGS_OTH_AGRI|||False|||</v>
          </cell>
          <cell r="C149" t="str">
            <v>V_KEYWORD_ISSR_208007714_COGS_OTH_AGRI</v>
          </cell>
        </row>
        <row r="150">
          <cell r="A150" t="str">
            <v>Vector|||208007714|||ISSR|||COGS_BEEF|||False|||</v>
          </cell>
          <cell r="C150" t="str">
            <v>V_KEYWORD_ISSR_208007714_COGS_BEEF</v>
          </cell>
        </row>
        <row r="151">
          <cell r="A151" t="str">
            <v>Vector|||208007714|||ISSR|||COGS_CHICKEN|||False|||</v>
          </cell>
          <cell r="C151" t="str">
            <v>V_KEYWORD_ISSR_208007714_COGS_CHICKEN</v>
          </cell>
        </row>
        <row r="152">
          <cell r="A152" t="str">
            <v>Vector|||208007714|||ISSR|||COGS_PORK|||False|||</v>
          </cell>
          <cell r="C152" t="str">
            <v>V_KEYWORD_ISSR_208007714_COGS_PORK</v>
          </cell>
        </row>
        <row r="153">
          <cell r="A153" t="str">
            <v>Vector|||208007714|||ISSR|||COGS_SUGAR|||False|||</v>
          </cell>
          <cell r="C153" t="str">
            <v>V_KEYWORD_ISSR_208007714_COGS_SUGAR</v>
          </cell>
        </row>
        <row r="154">
          <cell r="A154" t="str">
            <v>Vector|||208007714|||ISSR|||COGS_COFFEE|||False|||</v>
          </cell>
          <cell r="C154" t="str">
            <v>V_KEYWORD_ISSR_208007714_COGS_COFFEE</v>
          </cell>
        </row>
        <row r="155">
          <cell r="A155" t="str">
            <v>Vector|||208007714|||ISSR|||COGS_DAIRY|||False|||</v>
          </cell>
          <cell r="C155" t="str">
            <v>V_KEYWORD_ISSR_208007714_COGS_DAIRY</v>
          </cell>
        </row>
        <row r="156">
          <cell r="A156" t="str">
            <v>Vector|||208007714|||ISSR|||COGS_NUTS|||False|||</v>
          </cell>
          <cell r="C156" t="str">
            <v>V_KEYWORD_ISSR_208007714_COGS_NUTS</v>
          </cell>
        </row>
        <row r="157">
          <cell r="A157" t="str">
            <v>Vector|||208007714|||ISSR|||COGS_PALM_OIL|||False|||</v>
          </cell>
          <cell r="C157" t="str">
            <v>V_KEYWORD_ISSR_208007714_COGS_PALM_OIL</v>
          </cell>
        </row>
        <row r="158">
          <cell r="A158" t="str">
            <v>Vector|||208007714|||ISSR|||COGS_OTH_EDIBLE_OIL|||False|||</v>
          </cell>
          <cell r="C158" t="str">
            <v>V_KEYWORD_ISSR_208007714_COGS_OTH_EDIBLE_OIL</v>
          </cell>
        </row>
        <row r="159">
          <cell r="A159" t="str">
            <v>Vector|||208007714|||ISSR|||COGS_SOYBEAN|||False|||</v>
          </cell>
          <cell r="C159" t="str">
            <v>V_KEYWORD_ISSR_208007714_COGS_SOYBEAN</v>
          </cell>
        </row>
        <row r="160">
          <cell r="A160" t="str">
            <v>Vector|||208007714|||ISSR|||COGS_TOBACCO|||False|||</v>
          </cell>
          <cell r="C160" t="str">
            <v>V_KEYWORD_ISSR_208007714_COGS_TOBACCO</v>
          </cell>
        </row>
        <row r="161">
          <cell r="A161" t="str">
            <v>Vector|||208007714|||ISSR|||COGS_ENERGY|||False|||</v>
          </cell>
          <cell r="C161" t="str">
            <v>V_KEYWORD_ISSR_208007714_COGS_ENERGY</v>
          </cell>
        </row>
        <row r="162">
          <cell r="A162" t="str">
            <v>Vector|||208007714|||ISSR|||COGS_RAW_PULP|||False|||</v>
          </cell>
          <cell r="C162" t="str">
            <v>V_KEYWORD_ISSR_208007714_COGS_RAW_PULP</v>
          </cell>
        </row>
        <row r="163">
          <cell r="A163" t="str">
            <v>Vector|||208007714|||ISSR|||COGS_RAW_OIL_DERIV|||False|||</v>
          </cell>
          <cell r="C163" t="str">
            <v>V_KEYWORD_ISSR_208007714_COGS_RAW_OIL_DERIV</v>
          </cell>
        </row>
        <row r="164">
          <cell r="A164" t="str">
            <v>Vector|||208007714|||ISSR|||COGS_RAW_OTH|||False|||</v>
          </cell>
          <cell r="C164" t="str">
            <v>V_KEYWORD_ISSR_208007714_COGS_RAW_OTH</v>
          </cell>
        </row>
        <row r="165">
          <cell r="A165" t="str">
            <v>Vector|||208007714|||ISSR|||COGS_PACK_PAPER|||False|||</v>
          </cell>
          <cell r="C165" t="str">
            <v>V_KEYWORD_ISSR_208007714_COGS_PACK_PAPER</v>
          </cell>
        </row>
        <row r="166">
          <cell r="A166" t="str">
            <v>Vector|||208007714|||ISSR|||COGS_PACK_GLASS|||False|||</v>
          </cell>
          <cell r="C166" t="str">
            <v>V_KEYWORD_ISSR_208007714_COGS_PACK_GLASS</v>
          </cell>
        </row>
        <row r="167">
          <cell r="A167" t="str">
            <v>Vector|||208007714|||ISSR|||COGS_PACK_OIL_DERIV|||False|||</v>
          </cell>
          <cell r="C167" t="str">
            <v>V_KEYWORD_ISSR_208007714_COGS_PACK_OIL_DERIV</v>
          </cell>
        </row>
        <row r="168">
          <cell r="A168" t="str">
            <v>Vector|||208007714|||ISSR|||COGS_PACK_TIN|||False|||</v>
          </cell>
          <cell r="C168" t="str">
            <v>V_KEYWORD_ISSR_208007714_COGS_PACK_TIN</v>
          </cell>
        </row>
        <row r="169">
          <cell r="A169" t="str">
            <v>Vector|||208007714|||ISSR|||COGS_PACK_ALUM|||False|||</v>
          </cell>
          <cell r="C169" t="str">
            <v>V_KEYWORD_ISSR_208007714_COGS_PACK_ALUM</v>
          </cell>
        </row>
        <row r="170">
          <cell r="A170" t="str">
            <v>Vector|||208007714|||ISSR|||COGS_OH_WAGES|||False|||</v>
          </cell>
          <cell r="C170" t="str">
            <v>V_KEYWORD_ISSR_208007714_COGS_OH_WAGES</v>
          </cell>
        </row>
        <row r="172">
          <cell r="A172" t="str">
            <v>Vector|||208007714|||ISSR|||NAMERICA_SALES_GROWTH|||False|||</v>
          </cell>
          <cell r="C172" t="str">
            <v>V_KEYWORD_ISSR_208007714_NAMERICA_SALES_GROWTH</v>
          </cell>
        </row>
        <row r="173">
          <cell r="A173" t="str">
            <v>Vector|||208007714|||ISSR|||LATAM_SALES_GROWTH|||False|||</v>
          </cell>
          <cell r="C173" t="str">
            <v>V_KEYWORD_ISSR_208007714_LATAM_SALES_GROWTH</v>
          </cell>
        </row>
        <row r="174">
          <cell r="A174" t="str">
            <v>Vector|||208007714|||ISSR|||EUROPE_SALES_GROWTH|||False|||</v>
          </cell>
          <cell r="C174" t="str">
            <v>V_KEYWORD_ISSR_208007714_EUROPE_SALES_GROWTH</v>
          </cell>
        </row>
        <row r="175">
          <cell r="A175" t="str">
            <v>Vector|||208007714|||ISSR|||EEMEA_SALES_GROWTH|||False|||</v>
          </cell>
          <cell r="C175" t="str">
            <v>V_KEYWORD_ISSR_208007714_EEMEA_SALES_GROWTH</v>
          </cell>
        </row>
        <row r="176">
          <cell r="A176" t="str">
            <v>Vector|||208007714|||ISSR|||ASIA_SALES_GROWTH|||False|||</v>
          </cell>
          <cell r="C176" t="str">
            <v>V_KEYWORD_ISSR_208007714_ASIA_SALES_GROWTH</v>
          </cell>
        </row>
        <row r="178">
          <cell r="A178" t="str">
            <v>Vector|||208007714|||ISSR|||SALES_CANADA|||False|||</v>
          </cell>
          <cell r="C178" t="str">
            <v>V_KEYWORD_ISSR_208007714_SALES_CANADA</v>
          </cell>
        </row>
        <row r="179">
          <cell r="A179" t="str">
            <v>Vector|||208007714|||ISSR|||SALES_US|||False|||</v>
          </cell>
          <cell r="C179" t="str">
            <v>V_KEYWORD_ISSR_208007714_SALES_US</v>
          </cell>
        </row>
        <row r="180">
          <cell r="A180" t="str">
            <v>Vector|||208007714|||ISSR|||SALES_OTH_NO_AMER|||False|||</v>
          </cell>
          <cell r="C180" t="str">
            <v>V_KEYWORD_ISSR_208007714_SALES_OTH_NO_AMER</v>
          </cell>
        </row>
        <row r="181">
          <cell r="A181" t="str">
            <v>Vector|||208007714|||ISSR|||SALES_ARGENTINA|||False|||</v>
          </cell>
          <cell r="C181" t="str">
            <v>V_KEYWORD_ISSR_208007714_SALES_ARGENTINA</v>
          </cell>
        </row>
        <row r="182">
          <cell r="A182" t="str">
            <v>Vector|||208007714|||ISSR|||SALES_BRAZIL|||False|||</v>
          </cell>
          <cell r="C182" t="str">
            <v>V_KEYWORD_ISSR_208007714_SALES_BRAZIL</v>
          </cell>
        </row>
        <row r="183">
          <cell r="A183" t="str">
            <v>Vector|||208007714|||ISSR|||SALES_CHILE|||False|||</v>
          </cell>
          <cell r="C183" t="str">
            <v>V_KEYWORD_ISSR_208007714_SALES_CHILE</v>
          </cell>
        </row>
        <row r="184">
          <cell r="A184" t="str">
            <v>Vector|||208007714|||ISSR|||SALES_COLOMBIA|||False|||</v>
          </cell>
          <cell r="C184" t="str">
            <v>V_KEYWORD_ISSR_208007714_SALES_COLOMBIA</v>
          </cell>
        </row>
        <row r="185">
          <cell r="A185" t="str">
            <v>Vector|||208007714|||ISSR|||SALES_MEXICO|||False|||</v>
          </cell>
          <cell r="C185" t="str">
            <v>V_KEYWORD_ISSR_208007714_SALES_MEXICO</v>
          </cell>
        </row>
        <row r="186">
          <cell r="A186" t="str">
            <v>Vector|||208007714|||ISSR|||SALES_VENEZUELA|||False|||</v>
          </cell>
          <cell r="C186" t="str">
            <v>V_KEYWORD_ISSR_208007714_SALES_VENEZUELA</v>
          </cell>
        </row>
        <row r="187">
          <cell r="A187" t="str">
            <v>Vector|||208007714|||ISSR|||SALES_OTH_LATAM|||False|||</v>
          </cell>
          <cell r="C187" t="str">
            <v>V_KEYWORD_ISSR_208007714_SALES_OTH_LATAM</v>
          </cell>
        </row>
        <row r="188">
          <cell r="A188" t="str">
            <v>Vector|||208007714|||ISSR|||SALES_AUSTRIA|||False|||</v>
          </cell>
          <cell r="C188" t="str">
            <v>V_KEYWORD_ISSR_208007714_SALES_AUSTRIA</v>
          </cell>
        </row>
        <row r="189">
          <cell r="A189" t="str">
            <v>Vector|||208007714|||ISSR|||SALES_BEL|||False|||</v>
          </cell>
          <cell r="C189" t="str">
            <v>V_KEYWORD_ISSR_208007714_SALES_BEL</v>
          </cell>
        </row>
        <row r="190">
          <cell r="A190" t="str">
            <v>Vector|||208007714|||ISSR|||SALES_FRA|||False|||</v>
          </cell>
          <cell r="C190" t="str">
            <v>V_KEYWORD_ISSR_208007714_SALES_FRA</v>
          </cell>
        </row>
        <row r="191">
          <cell r="A191" t="str">
            <v>Vector|||208007714|||ISSR|||SALES_GER|||False|||</v>
          </cell>
          <cell r="C191" t="str">
            <v>V_KEYWORD_ISSR_208007714_SALES_GER</v>
          </cell>
        </row>
        <row r="192">
          <cell r="A192" t="str">
            <v>Vector|||208007714|||ISSR|||SALES_GRE|||False|||</v>
          </cell>
          <cell r="C192" t="str">
            <v>V_KEYWORD_ISSR_208007714_SALES_GRE</v>
          </cell>
        </row>
        <row r="193">
          <cell r="A193" t="str">
            <v>Vector|||208007714|||ISSR|||SALES_IRE|||False|||</v>
          </cell>
          <cell r="C193" t="str">
            <v>V_KEYWORD_ISSR_208007714_SALES_IRE</v>
          </cell>
        </row>
        <row r="194">
          <cell r="A194" t="str">
            <v>Vector|||208007714|||ISSR|||SALES_ITA|||False|||</v>
          </cell>
          <cell r="C194" t="str">
            <v>V_KEYWORD_ISSR_208007714_SALES_ITA</v>
          </cell>
        </row>
        <row r="195">
          <cell r="A195" t="str">
            <v>Vector|||208007714|||ISSR|||SALES_NETH|||False|||</v>
          </cell>
          <cell r="C195" t="str">
            <v>V_KEYWORD_ISSR_208007714_SALES_NETH</v>
          </cell>
        </row>
        <row r="196">
          <cell r="A196" t="str">
            <v>Vector|||208007714|||ISSR|||SALES_NOR|||False|||</v>
          </cell>
          <cell r="C196" t="str">
            <v>V_KEYWORD_ISSR_208007714_SALES_NOR</v>
          </cell>
        </row>
        <row r="197">
          <cell r="A197" t="str">
            <v>Vector|||208007714|||ISSR|||SALES_POR|||False|||</v>
          </cell>
          <cell r="C197" t="str">
            <v>V_KEYWORD_ISSR_208007714_SALES_POR</v>
          </cell>
        </row>
        <row r="198">
          <cell r="A198" t="str">
            <v>Vector|||208007714|||ISSR|||SALES_SPA|||False|||</v>
          </cell>
          <cell r="C198" t="str">
            <v>V_KEYWORD_ISSR_208007714_SALES_SPA</v>
          </cell>
        </row>
        <row r="199">
          <cell r="A199" t="str">
            <v>Vector|||208007714|||ISSR|||SALES_SWE|||False|||</v>
          </cell>
          <cell r="C199" t="str">
            <v>V_KEYWORD_ISSR_208007714_SALES_SWE</v>
          </cell>
        </row>
        <row r="200">
          <cell r="A200" t="str">
            <v>Vector|||208007714|||ISSR|||SALES_SWIT|||False|||</v>
          </cell>
          <cell r="C200" t="str">
            <v>V_KEYWORD_ISSR_208007714_SALES_SWIT</v>
          </cell>
        </row>
        <row r="201">
          <cell r="A201" t="str">
            <v>Vector|||208007714|||ISSR|||SALES_UK|||False|||</v>
          </cell>
          <cell r="C201" t="str">
            <v>V_KEYWORD_ISSR_208007714_SALES_UK</v>
          </cell>
        </row>
        <row r="202">
          <cell r="A202" t="str">
            <v>Vector|||208007714|||ISSR|||SALES_OTH_WEST_EURO|||False|||</v>
          </cell>
          <cell r="C202" t="str">
            <v>V_KEYWORD_ISSR_208007714_SALES_OTH_WEST_EURO</v>
          </cell>
        </row>
        <row r="203">
          <cell r="A203" t="str">
            <v>Vector|||208007714|||ISSR|||SALES_POLAND|||False|||</v>
          </cell>
          <cell r="C203" t="str">
            <v>V_KEYWORD_ISSR_208007714_SALES_POLAND</v>
          </cell>
        </row>
        <row r="204">
          <cell r="A204" t="str">
            <v>Vector|||208007714|||ISSR|||SALES_RUSSIA|||False|||</v>
          </cell>
          <cell r="C204" t="str">
            <v>V_KEYWORD_ISSR_208007714_SALES_RUSSIA</v>
          </cell>
        </row>
        <row r="205">
          <cell r="A205" t="str">
            <v>Vector|||208007714|||ISSR|||SALES_TURKEY|||False|||</v>
          </cell>
          <cell r="C205" t="str">
            <v>V_KEYWORD_ISSR_208007714_SALES_TURKEY</v>
          </cell>
        </row>
        <row r="206">
          <cell r="A206" t="str">
            <v>Vector|||208007714|||ISSR|||SALES_OTH_CEE|||False|||</v>
          </cell>
          <cell r="C206" t="str">
            <v>V_KEYWORD_ISSR_208007714_SALES_OTH_CEE</v>
          </cell>
        </row>
        <row r="207">
          <cell r="A207" t="str">
            <v>Vector|||208007714|||ISSR|||SALES_SAUDI_ARABIA|||False|||</v>
          </cell>
          <cell r="C207" t="str">
            <v>V_KEYWORD_ISSR_208007714_SALES_SAUDI_ARABIA</v>
          </cell>
        </row>
        <row r="208">
          <cell r="A208" t="str">
            <v>Vector|||208007714|||ISSR|||SALES_UAE|||False|||</v>
          </cell>
          <cell r="C208" t="str">
            <v>V_KEYWORD_ISSR_208007714_SALES_UAE</v>
          </cell>
        </row>
        <row r="209">
          <cell r="A209" t="str">
            <v>Vector|||208007714|||ISSR|||SALES_OTH_ME|||False|||</v>
          </cell>
          <cell r="C209" t="str">
            <v>V_KEYWORD_ISSR_208007714_SALES_OTH_ME</v>
          </cell>
        </row>
        <row r="210">
          <cell r="A210" t="str">
            <v>Vector|||208007714|||ISSR|||SALES_NIGERIA|||False|||</v>
          </cell>
          <cell r="C210" t="str">
            <v>V_KEYWORD_ISSR_208007714_SALES_NIGERIA</v>
          </cell>
        </row>
        <row r="211">
          <cell r="A211" t="str">
            <v>Vector|||208007714|||ISSR|||SALES_SO_AFRICA|||False|||</v>
          </cell>
          <cell r="C211" t="str">
            <v>V_KEYWORD_ISSR_208007714_SALES_SO_AFRICA</v>
          </cell>
        </row>
        <row r="212">
          <cell r="A212" t="str">
            <v>Vector|||208007714|||ISSR|||SALES_OTH_AFRICA|||False|||</v>
          </cell>
          <cell r="C212" t="str">
            <v>V_KEYWORD_ISSR_208007714_SALES_OTH_AFRICA</v>
          </cell>
        </row>
        <row r="213">
          <cell r="A213" t="str">
            <v>Vector|||208007714|||ISSR|||SALES_HONG_KONG|||False|||</v>
          </cell>
          <cell r="C213" t="str">
            <v>V_KEYWORD_ISSR_208007714_SALES_HONG_KONG</v>
          </cell>
        </row>
        <row r="214">
          <cell r="A214" t="str">
            <v>Vector|||208007714|||ISSR|||SALES_JAPAN|||False|||</v>
          </cell>
          <cell r="C214" t="str">
            <v>V_KEYWORD_ISSR_208007714_SALES_JAPAN</v>
          </cell>
        </row>
        <row r="215">
          <cell r="A215" t="str">
            <v>Vector|||208007714|||ISSR|||SALES_SINGAPORE|||False|||</v>
          </cell>
          <cell r="C215" t="str">
            <v>V_KEYWORD_ISSR_208007714_SALES_SINGAPORE</v>
          </cell>
        </row>
        <row r="216">
          <cell r="A216" t="str">
            <v>Vector|||208007714|||ISSR|||SALES_SK|||False|||</v>
          </cell>
          <cell r="C216" t="str">
            <v>V_KEYWORD_ISSR_208007714_SALES_SK</v>
          </cell>
        </row>
        <row r="217">
          <cell r="A217" t="str">
            <v>Vector|||208007714|||ISSR|||SALES_TAIWAN|||False|||</v>
          </cell>
          <cell r="C217" t="str">
            <v>V_KEYWORD_ISSR_208007714_SALES_TAIWAN</v>
          </cell>
        </row>
        <row r="218">
          <cell r="A218" t="str">
            <v>Vector|||208007714|||ISSR|||SALES_OTH_DEV_ASIA|||False|||</v>
          </cell>
          <cell r="C218" t="str">
            <v>V_KEYWORD_ISSR_208007714_SALES_OTH_DEV_ASIA</v>
          </cell>
        </row>
        <row r="219">
          <cell r="A219" t="str">
            <v>Vector|||208007714|||ISSR|||SALES_CHINA|||False|||</v>
          </cell>
          <cell r="C219" t="str">
            <v>V_KEYWORD_ISSR_208007714_SALES_CHINA</v>
          </cell>
        </row>
        <row r="220">
          <cell r="A220" t="str">
            <v>Vector|||208007714|||ISSR|||SALES_INDIA|||False|||</v>
          </cell>
          <cell r="C220" t="str">
            <v>V_KEYWORD_ISSR_208007714_SALES_INDIA</v>
          </cell>
        </row>
        <row r="221">
          <cell r="A221" t="str">
            <v>Vector|||208007714|||ISSR|||SALES_INDONESIA|||False|||</v>
          </cell>
          <cell r="C221" t="str">
            <v>V_KEYWORD_ISSR_208007714_SALES_INDONESIA</v>
          </cell>
        </row>
        <row r="222">
          <cell r="A222" t="str">
            <v>Vector|||208007714|||ISSR|||SALES_THAILAND|||False|||</v>
          </cell>
          <cell r="C222" t="str">
            <v>V_KEYWORD_ISSR_208007714_SALES_THAILAND</v>
          </cell>
        </row>
        <row r="223">
          <cell r="A223" t="str">
            <v>Vector|||208007714|||ISSR|||SALES_OTH_EMERG_ASIA|||False|||</v>
          </cell>
          <cell r="C223" t="str">
            <v>V_KEYWORD_ISSR_208007714_SALES_OTH_EMERG_ASIA</v>
          </cell>
        </row>
        <row r="224">
          <cell r="A224" t="str">
            <v>Vector|||208007714|||ISSR|||SALES_AUSTRA|||False|||</v>
          </cell>
          <cell r="C224" t="str">
            <v>V_KEYWORD_ISSR_208007714_SALES_AUSTRA</v>
          </cell>
        </row>
        <row r="225">
          <cell r="A225" t="str">
            <v>Vector|||208007714|||ISSR|||SALES_NZ|||False|||</v>
          </cell>
          <cell r="C225" t="str">
            <v>V_KEYWORD_ISSR_208007714_SALES_NZ</v>
          </cell>
        </row>
        <row r="226">
          <cell r="A226" t="str">
            <v>Vector|||208007714|||ISSR|||SALES_OTHER|||False|||</v>
          </cell>
          <cell r="C226" t="str">
            <v>V_KEYWORD_ISSR_208007714_SALES_OTHER</v>
          </cell>
        </row>
        <row r="227">
          <cell r="A227" t="str">
            <v>Vector|||208007714|||ISSR|||COGS_PCT_US|||False|||</v>
          </cell>
          <cell r="C227" t="str">
            <v>V_KEYWORD_ISSR_208007714_COGS_PCT_US</v>
          </cell>
        </row>
        <row r="228">
          <cell r="A228" t="str">
            <v>Vector|||208007714|||ISSR|||COGS_PCT_ROW|||False|||</v>
          </cell>
          <cell r="C228" t="str">
            <v>V_KEYWORD_ISSR_208007714_COGS_PCT_ROW</v>
          </cell>
        </row>
        <row r="229">
          <cell r="A229" t="str">
            <v>Vector|||208007714|||ISSR|||SGA_PCT_US|||False|||</v>
          </cell>
          <cell r="C229" t="str">
            <v>V_KEYWORD_ISSR_208007714_SGA_PCT_US</v>
          </cell>
        </row>
        <row r="230">
          <cell r="A230" t="str">
            <v>Vector|||208007714|||ISSR|||SGA_PCT_ROW|||False|||</v>
          </cell>
          <cell r="C230" t="str">
            <v>V_KEYWORD_ISSR_208007714_SGA_PCT_ROW</v>
          </cell>
        </row>
        <row r="231">
          <cell r="A231" t="str">
            <v>Vector|||208007714|||ISSR|||SALES_CONS|||False|||</v>
          </cell>
          <cell r="C231" t="str">
            <v>V_KEYWORD_ISSR_208007714_SALES_CONS</v>
          </cell>
        </row>
        <row r="232">
          <cell r="A232" t="str">
            <v>Vector|||208007714|||ISSR|||SALES_IND|||False|||</v>
          </cell>
          <cell r="C232" t="str">
            <v>V_KEYWORD_ISSR_208007714_SALES_IND</v>
          </cell>
        </row>
        <row r="233">
          <cell r="A233" t="str">
            <v>Vector|||208007714|||ISSR|||SALES_GOV|||False|||</v>
          </cell>
          <cell r="C233" t="str">
            <v>V_KEYWORD_ISSR_208007714_SALES_GOV</v>
          </cell>
        </row>
        <row r="234">
          <cell r="A234" t="str">
            <v>Vector|||208007714|||ISSR|||SALES_FINAN|||False|||</v>
          </cell>
          <cell r="C234" t="str">
            <v>V_KEYWORD_ISSR_208007714_SALES_FINAN</v>
          </cell>
        </row>
        <row r="235">
          <cell r="A235" t="str">
            <v>Vector|||208007714|||ISSR|||SALES_OIL_GAS|||False|||</v>
          </cell>
          <cell r="C235" t="str">
            <v>V_KEYWORD_ISSR_208007714_SALES_OIL_GAS</v>
          </cell>
        </row>
        <row r="236">
          <cell r="A236" t="str">
            <v>Vector|||208007714|||ISSR|||REV_FIN_SEGMENT|||False|||</v>
          </cell>
          <cell r="C236" t="str">
            <v>V_KEYWORD_ISSR_208007714_REV_FIN_SEGMENT</v>
          </cell>
        </row>
        <row r="238">
          <cell r="A238" t="str">
            <v>Vector|||208007714|||ISSR|||SALES_WHEAT|||False|||</v>
          </cell>
          <cell r="C238" t="str">
            <v>V_KEYWORD_ISSR_208007714_SALES_WHEAT</v>
          </cell>
        </row>
        <row r="239">
          <cell r="A239" t="str">
            <v>Vector|||208007714|||ISSR|||SALES_SUGAR|||False|||</v>
          </cell>
          <cell r="C239" t="str">
            <v>V_KEYWORD_ISSR_208007714_SALES_SUGAR</v>
          </cell>
        </row>
        <row r="240">
          <cell r="A240" t="str">
            <v>Vector|||208007714|||ISSR|||SALES_SOYBEAN|||False|||</v>
          </cell>
          <cell r="C240" t="str">
            <v>V_KEYWORD_ISSR_208007714_SALES_SOYBEAN</v>
          </cell>
        </row>
        <row r="241">
          <cell r="A241" t="str">
            <v>Vector|||208007714|||ISSR|||SALES_CORN|||False|||</v>
          </cell>
          <cell r="C241" t="str">
            <v>V_KEYWORD_ISSR_208007714_SALES_CORN</v>
          </cell>
        </row>
        <row r="242">
          <cell r="A242" t="str">
            <v>Vector|||208007714|||ISSR|||SALES_COFFEE|||False|||</v>
          </cell>
          <cell r="C242" t="str">
            <v>V_KEYWORD_ISSR_208007714_SALES_COFFEE</v>
          </cell>
        </row>
        <row r="243">
          <cell r="A243" t="str">
            <v>Vector|||208007714|||ISSR|||SALES_COCOA|||False|||</v>
          </cell>
          <cell r="C243" t="str">
            <v>V_KEYWORD_ISSR_208007714_SALES_COCOA</v>
          </cell>
        </row>
        <row r="244">
          <cell r="A244" t="str">
            <v>Vector|||208007714|||ISSR|||SALES_BEEF|||False|||</v>
          </cell>
          <cell r="C244" t="str">
            <v>V_KEYWORD_ISSR_208007714_SALES_BEEF</v>
          </cell>
        </row>
        <row r="245">
          <cell r="A245" t="str">
            <v>Vector|||208007714|||ISSR|||SALES_PORK|||False|||</v>
          </cell>
          <cell r="C245" t="str">
            <v>V_KEYWORD_ISSR_208007714_SALES_PORK</v>
          </cell>
        </row>
        <row r="246">
          <cell r="A246" t="str">
            <v>Vector|||208007714|||ISSR|||SALES_CHICKEN|||False|||</v>
          </cell>
          <cell r="C246" t="str">
            <v>V_KEYWORD_ISSR_208007714_SALES_CHICKEN</v>
          </cell>
        </row>
        <row r="247">
          <cell r="A247" t="str">
            <v>Vector|||208007714|||ISSR|||SALES_DAIRY|||False|||</v>
          </cell>
          <cell r="C247" t="str">
            <v>V_KEYWORD_ISSR_208007714_SALES_DAIRY</v>
          </cell>
        </row>
        <row r="248">
          <cell r="A248" t="str">
            <v>Vector|||208007714|||ISSR|||SALES_NUTS|||False|||</v>
          </cell>
          <cell r="C248" t="str">
            <v>V_KEYWORD_ISSR_208007714_SALES_NUTS</v>
          </cell>
        </row>
        <row r="249">
          <cell r="A249" t="str">
            <v>Vector|||208007714|||ISSR|||SALES_WATER|||False|||</v>
          </cell>
          <cell r="C249" t="str">
            <v>V_KEYWORD_ISSR_208007714_SALES_WATER</v>
          </cell>
        </row>
        <row r="250">
          <cell r="A250" t="str">
            <v>Vector|||208007714|||ISSR|||SALES_OTH_COMMODITY|||False|||</v>
          </cell>
          <cell r="C250" t="str">
            <v>V_KEYWORD_ISSR_208007714_SALES_OTH_COMMODITY</v>
          </cell>
        </row>
        <row r="251">
          <cell r="A251" t="str">
            <v>Vector|||208007714|||ISSR|||SALES_OTH_SALES_SOURCES|||False|||</v>
          </cell>
          <cell r="C251" t="str">
            <v>V_KEYWORD_ISSR_208007714_SALES_OTH_SALES_SOURCES</v>
          </cell>
        </row>
        <row r="253">
          <cell r="A253" t="str">
            <v>Vector|||208007714|||ISSR|||EXP_OIL_PETRO_FUEL|||False|||</v>
          </cell>
          <cell r="C253" t="str">
            <v>V_KEYWORD_ISSR_208007714_EXP_OIL_PETRO_FUEL</v>
          </cell>
        </row>
        <row r="254">
          <cell r="A254" t="str">
            <v>Vector|||208007714|||ISSR|||EXP_OIL_DERIV_NGLS_PLASTICS|||False|||</v>
          </cell>
          <cell r="C254" t="str">
            <v>V_KEYWORD_ISSR_208007714_EXP_OIL_DERIV_NGLS_PLASTICS</v>
          </cell>
        </row>
        <row r="255">
          <cell r="A255" t="str">
            <v>Vector|||208007714|||ISSR|||EXP_ALUMINIUM|||False|||</v>
          </cell>
          <cell r="C255" t="str">
            <v>V_KEYWORD_ISSR_208007714_EXP_ALUMINIUM</v>
          </cell>
        </row>
        <row r="256">
          <cell r="A256" t="str">
            <v>Vector|||208007714|||ISSR|||EXP_STEEL|||False|||</v>
          </cell>
          <cell r="C256" t="str">
            <v>V_KEYWORD_ISSR_208007714_EXP_STEEL</v>
          </cell>
        </row>
        <row r="257">
          <cell r="A257" t="str">
            <v>Vector|||208007714|||ISSR|||EXP_TIN|||False|||</v>
          </cell>
          <cell r="C257" t="str">
            <v>V_KEYWORD_ISSR_208007714_EXP_TIN</v>
          </cell>
        </row>
        <row r="258">
          <cell r="A258" t="str">
            <v>Vector|||208007714|||ISSR|||EXP_PAPER_PULP|||False|||</v>
          </cell>
          <cell r="C258" t="str">
            <v>V_KEYWORD_ISSR_208007714_EXP_PAPER_PULP</v>
          </cell>
        </row>
        <row r="259">
          <cell r="A259" t="str">
            <v>Vector|||208007714|||ISSR|||EXP_GLASS|||False|||</v>
          </cell>
          <cell r="C259" t="str">
            <v>V_KEYWORD_ISSR_208007714_EXP_GLASS</v>
          </cell>
        </row>
        <row r="260">
          <cell r="A260" t="str">
            <v>Vector|||208007714|||ISSR|||EXP_WHEAT|||False|||</v>
          </cell>
          <cell r="C260" t="str">
            <v>V_KEYWORD_ISSR_208007714_EXP_WHEAT</v>
          </cell>
        </row>
        <row r="261">
          <cell r="A261" t="str">
            <v>Vector|||208007714|||ISSR|||EXP_SUGAR|||False|||</v>
          </cell>
          <cell r="C261" t="str">
            <v>V_KEYWORD_ISSR_208007714_EXP_SUGAR</v>
          </cell>
        </row>
        <row r="262">
          <cell r="A262" t="str">
            <v>Vector|||208007714|||ISSR|||EXP_SOYBEAN|||False|||</v>
          </cell>
          <cell r="C262" t="str">
            <v>V_KEYWORD_ISSR_208007714_EXP_SOYBEAN</v>
          </cell>
        </row>
        <row r="263">
          <cell r="A263" t="str">
            <v>Vector|||208007714|||ISSR|||EXP_CORN|||False|||</v>
          </cell>
          <cell r="C263" t="str">
            <v>V_KEYWORD_ISSR_208007714_EXP_CORN</v>
          </cell>
        </row>
        <row r="264">
          <cell r="A264" t="str">
            <v>Vector|||208007714|||ISSR|||EXP_COFFEE|||False|||</v>
          </cell>
          <cell r="C264" t="str">
            <v>V_KEYWORD_ISSR_208007714_EXP_COFFEE</v>
          </cell>
        </row>
        <row r="265">
          <cell r="A265" t="str">
            <v>Vector|||208007714|||ISSR|||EXP_COCOA|||False|||</v>
          </cell>
          <cell r="C265" t="str">
            <v>V_KEYWORD_ISSR_208007714_EXP_COCOA</v>
          </cell>
        </row>
        <row r="266">
          <cell r="A266" t="str">
            <v>Vector|||208007714|||ISSR|||EXP_BEEF|||False|||</v>
          </cell>
          <cell r="C266" t="str">
            <v>V_KEYWORD_ISSR_208007714_EXP_BEEF</v>
          </cell>
        </row>
        <row r="267">
          <cell r="A267" t="str">
            <v>Vector|||208007714|||ISSR|||EXP_PORK|||False|||</v>
          </cell>
          <cell r="C267" t="str">
            <v>V_KEYWORD_ISSR_208007714_EXP_PORK</v>
          </cell>
        </row>
        <row r="268">
          <cell r="A268" t="str">
            <v>Vector|||208007714|||ISSR|||EXP_CHICKEN|||False|||</v>
          </cell>
          <cell r="C268" t="str">
            <v>V_KEYWORD_ISSR_208007714_EXP_CHICKEN</v>
          </cell>
        </row>
        <row r="269">
          <cell r="A269" t="str">
            <v>Vector|||208007714|||ISSR|||EXP_DAIRY|||False|||</v>
          </cell>
          <cell r="C269" t="str">
            <v>V_KEYWORD_ISSR_208007714_EXP_DAIRY</v>
          </cell>
        </row>
        <row r="270">
          <cell r="A270" t="str">
            <v>Vector|||208007714|||ISSR|||EXP_NUTS|||False|||</v>
          </cell>
          <cell r="C270" t="str">
            <v>V_KEYWORD_ISSR_208007714_EXP_NUTS</v>
          </cell>
        </row>
        <row r="271">
          <cell r="A271" t="str">
            <v>Vector|||208007714|||ISSR|||EXP_PALM_OIL|||False|||</v>
          </cell>
          <cell r="C271" t="str">
            <v>V_KEYWORD_ISSR_208007714_EXP_PALM_OIL</v>
          </cell>
        </row>
        <row r="272">
          <cell r="A272" t="str">
            <v>Vector|||208007714|||ISSR|||EXP_OTH_EDIBLE_OIL|||False|||</v>
          </cell>
          <cell r="C272" t="str">
            <v>V_KEYWORD_ISSR_208007714_EXP_OTH_EDIBLE_OIL</v>
          </cell>
        </row>
        <row r="273">
          <cell r="A273" t="str">
            <v>Vector|||208007714|||ISSR|||EXP_WATER|||False|||</v>
          </cell>
          <cell r="C273" t="str">
            <v>V_KEYWORD_ISSR_208007714_EXP_WATER</v>
          </cell>
        </row>
        <row r="274">
          <cell r="A274" t="str">
            <v>Vector|||208007714|||ISSR|||EXP_OTH_COMMODITY|||False|||</v>
          </cell>
          <cell r="C274" t="str">
            <v>V_KEYWORD_ISSR_208007714_EXP_OTH_COMMODITY</v>
          </cell>
        </row>
        <row r="275">
          <cell r="A275" t="str">
            <v>Vector|||208007714|||ISSR|||EXP_OTH_COST|||False|||</v>
          </cell>
          <cell r="C275" t="str">
            <v>V_KEYWORD_ISSR_208007714_EXP_OTH_COST</v>
          </cell>
        </row>
        <row r="277">
          <cell r="A277" t="str">
            <v>Vector|||208007714|||ISSR|||SALES_FX_GPB|||False|||</v>
          </cell>
          <cell r="C277" t="str">
            <v>V_KEYWORD_ISSR_208007714_SALES_FX_GPB</v>
          </cell>
        </row>
        <row r="278">
          <cell r="A278" t="str">
            <v>Vector|||208007714|||ISSR|||SALES_FX_EUR|||False|||</v>
          </cell>
          <cell r="C278" t="str">
            <v>V_KEYWORD_ISSR_208007714_SALES_FX_EUR</v>
          </cell>
        </row>
        <row r="279">
          <cell r="A279" t="str">
            <v>Vector|||208007714|||ISSR|||SALES_FX_RUB|||False|||</v>
          </cell>
          <cell r="C279" t="str">
            <v>V_KEYWORD_ISSR_208007714_SALES_FX_RUB</v>
          </cell>
        </row>
        <row r="280">
          <cell r="A280" t="str">
            <v>Vector|||208007714|||ISSR|||SALES_FX_USD|||False|||</v>
          </cell>
          <cell r="C280" t="str">
            <v>V_KEYWORD_ISSR_208007714_SALES_FX_USD</v>
          </cell>
        </row>
        <row r="281">
          <cell r="A281" t="str">
            <v>Vector|||208007714|||ISSR|||SALES_FX_BRL|||False|||</v>
          </cell>
          <cell r="C281" t="str">
            <v>V_KEYWORD_ISSR_208007714_SALES_FX_BRL</v>
          </cell>
        </row>
        <row r="282">
          <cell r="A282" t="str">
            <v>Vector|||208007714|||ISSR|||SALES_FX_YEN|||False|||</v>
          </cell>
          <cell r="C282" t="str">
            <v>V_KEYWORD_ISSR_208007714_SALES_FX_YEN</v>
          </cell>
        </row>
        <row r="283">
          <cell r="A283" t="str">
            <v>Vector|||208007714|||ISSR|||SALES_FX_CNY|||False|||</v>
          </cell>
          <cell r="C283" t="str">
            <v>V_KEYWORD_ISSR_208007714_SALES_FX_CNY</v>
          </cell>
        </row>
        <row r="284">
          <cell r="A284" t="str">
            <v>Vector|||208007714|||ISSR|||SALES_FX_INR|||False|||</v>
          </cell>
          <cell r="C284" t="str">
            <v>V_KEYWORD_ISSR_208007714_SALES_FX_INR</v>
          </cell>
        </row>
        <row r="285">
          <cell r="A285" t="str">
            <v>Vector|||208007714|||ISSR|||SALES_FX_IDR|||False|||</v>
          </cell>
          <cell r="C285" t="str">
            <v>V_KEYWORD_ISSR_208007714_SALES_FX_IDR</v>
          </cell>
        </row>
        <row r="286">
          <cell r="A286" t="str">
            <v>Vector|||208007714|||ISSR|||SALES_FX_THB|||False|||</v>
          </cell>
          <cell r="C286" t="str">
            <v>V_KEYWORD_ISSR_208007714_SALES_FX_THB</v>
          </cell>
        </row>
        <row r="287">
          <cell r="A287" t="str">
            <v>Vector|||208007714|||ISSR|||SALES_FX_AUD|||False|||</v>
          </cell>
          <cell r="C287" t="str">
            <v>V_KEYWORD_ISSR_208007714_SALES_FX_AUD</v>
          </cell>
        </row>
        <row r="288">
          <cell r="A288" t="str">
            <v>Vector|||208007714|||ISSR|||SALES_FX_OTH|||False|||</v>
          </cell>
          <cell r="C288" t="str">
            <v>V_KEYWORD_ISSR_208007714_SALES_FX_OTH</v>
          </cell>
        </row>
        <row r="290">
          <cell r="A290" t="str">
            <v>Vector|||208007714|||ISSR|||SALES_TOT_AM|||False|||</v>
          </cell>
          <cell r="C290" t="str">
            <v>V_KEYWORD_ISSR_208007714_SALES_TOT_AM</v>
          </cell>
        </row>
        <row r="291">
          <cell r="A291" t="str">
            <v>Vector|||208007714|||ISSR|||SALES_OTH_AM|||False|||</v>
          </cell>
          <cell r="C291" t="str">
            <v>V_KEYWORD_ISSR_208007714_SALES_OTH_AM</v>
          </cell>
        </row>
        <row r="292">
          <cell r="A292" t="str">
            <v>Vector|||208007714|||ISSR|||SALES_TOT_EMEA|||False|||</v>
          </cell>
          <cell r="C292" t="str">
            <v>V_KEYWORD_ISSR_208007714_SALES_TOT_EMEA</v>
          </cell>
        </row>
        <row r="293">
          <cell r="A293" t="str">
            <v>Vector|||208007714|||ISSR|||SALES_EU_EX_UK|||False|||</v>
          </cell>
          <cell r="C293" t="str">
            <v>V_KEYWORD_ISSR_208007714_SALES_EU_EX_UK</v>
          </cell>
        </row>
        <row r="294">
          <cell r="A294" t="str">
            <v>Vector|||208007714|||ISSR|||SALES_CEE|||False|||</v>
          </cell>
          <cell r="C294" t="str">
            <v>V_KEYWORD_ISSR_208007714_SALES_CEE</v>
          </cell>
        </row>
        <row r="295">
          <cell r="A295" t="str">
            <v>Vector|||208007714|||ISSR|||SALES_ME|||False|||</v>
          </cell>
          <cell r="C295" t="str">
            <v>V_KEYWORD_ISSR_208007714_SALES_ME</v>
          </cell>
        </row>
        <row r="296">
          <cell r="A296" t="str">
            <v>Vector|||208007714|||ISSR|||SALES_TOT_AFRICA|||False|||</v>
          </cell>
          <cell r="C296" t="str">
            <v>V_KEYWORD_ISSR_208007714_SALES_TOT_AFRICA</v>
          </cell>
        </row>
        <row r="297">
          <cell r="A297" t="str">
            <v>Vector|||208007714|||ISSR|||SALES_OTH_EMEA|||False|||</v>
          </cell>
          <cell r="C297" t="str">
            <v>V_KEYWORD_ISSR_208007714_SALES_OTH_EMEA</v>
          </cell>
        </row>
        <row r="298">
          <cell r="A298" t="str">
            <v>Vector|||208007714|||ISSR|||SALES_TOT_ASIA|||False|||</v>
          </cell>
          <cell r="C298" t="str">
            <v>V_KEYWORD_ISSR_208007714_SALES_TOT_ASIA</v>
          </cell>
        </row>
        <row r="299">
          <cell r="A299" t="str">
            <v>Vector|||208007714|||ISSR|||SALES_OTH_AEJ|||False|||</v>
          </cell>
          <cell r="C299" t="str">
            <v>V_KEYWORD_ISSR_208007714_SALES_OTH_AEJ</v>
          </cell>
        </row>
        <row r="303">
          <cell r="A303" t="str">
            <v>Vector|||208007714|||ISSR|||SALES_FX|||False|||</v>
          </cell>
          <cell r="C303" t="str">
            <v>V_KEYWORD_ISSR_208007714_SALES_FX</v>
          </cell>
        </row>
        <row r="305">
          <cell r="A305" t="str">
            <v>Vector|||208007714|||ISSR|||SALES_INORGANIC|||False|||</v>
          </cell>
          <cell r="C305" t="str">
            <v>V_KEYWORD_ISSR_208007714_SALES_INORGANIC</v>
          </cell>
        </row>
        <row r="307">
          <cell r="A307" t="str">
            <v>Vector|||208007714|||ISSR|||SALES_PRICE|||False|||</v>
          </cell>
          <cell r="C307" t="str">
            <v>V_KEYWORD_ISSR_208007714_SALES_PRICE</v>
          </cell>
        </row>
        <row r="309">
          <cell r="A309" t="str">
            <v>Vector|||208007714|||ISSR|||SALES_VOLUME|||False|||</v>
          </cell>
          <cell r="C309" t="str">
            <v>V_KEYWORD_ISSR_208007714_SALES_VOLUME</v>
          </cell>
        </row>
        <row r="315">
          <cell r="A315" t="str">
            <v>Scalar|||200009994|||EQTY|||PUB_CURRENCY_ISO|||False|||</v>
          </cell>
          <cell r="C315" t="str">
            <v>V_KEYWORD_EQTY_200009994_PUB_CURRENCY_ISO</v>
          </cell>
        </row>
        <row r="316">
          <cell r="A316" t="str">
            <v>Scalar|||200009994|||EQTY|||PRICE_CURRENCY_ISO|||False|||</v>
          </cell>
          <cell r="C316" t="str">
            <v>V_KEYWORD_EQTY_200009994_PRICE_CURRENCY_ISO</v>
          </cell>
        </row>
        <row r="317">
          <cell r="A317" t="str">
            <v>Scalar|||200009994|||EQTY|||CURRENCY_ISO|||False|||</v>
          </cell>
          <cell r="C317" t="str">
            <v>V_KEYWORD_EQTY_200009994_CURRENCY_ISO</v>
          </cell>
        </row>
        <row r="319">
          <cell r="A319" t="str">
            <v>Scalar|||200009994|||EQTY|||JAPAN_LIST|||False|||</v>
          </cell>
          <cell r="C319" t="str">
            <v>V_KEYWORD_EQTY_200009994_JAPAN_LIST</v>
          </cell>
        </row>
        <row r="320">
          <cell r="A320" t="str">
            <v>Scalar|||200009994|||EQTY|||NOT IN USE|||False|||</v>
          </cell>
          <cell r="C320" t="str">
            <v>V_KEYWORD_EQTY_200009994_NOT_IN_USE</v>
          </cell>
        </row>
        <row r="322">
          <cell r="A322" t="str">
            <v>Scalar|||200009994|||EQTY|||LEGAL_RATING|||False|||</v>
          </cell>
          <cell r="C322" t="str">
            <v>V_KEYWORD_EQTY_200009994_LEGAL_RATING</v>
          </cell>
        </row>
        <row r="323">
          <cell r="A323" t="str">
            <v>Scalar|||200009994|||EQTY|||TARGET_PRICE|||False|||</v>
          </cell>
          <cell r="C323" t="str">
            <v>V_KEYWORD_EQTY_200009994_TARGET_PRICE</v>
          </cell>
        </row>
        <row r="324">
          <cell r="A324" t="str">
            <v>Scalar|||200009994|||EQTY|||TP_PERIOD|||False|||</v>
          </cell>
          <cell r="C324" t="str">
            <v>V_KEYWORD_EQTY_200009994_TP_PERIOD</v>
          </cell>
        </row>
        <row r="325">
          <cell r="A325" t="str">
            <v>Scalar|||200009994|||EQTY|||TARGET_PRICE_FUNDAMENTAL|||False|||</v>
          </cell>
          <cell r="C325" t="str">
            <v>V_KEYWORD_EQTY_200009994_TARGET_PRICE_FUNDAMENTAL</v>
          </cell>
        </row>
        <row r="326">
          <cell r="A326" t="str">
            <v>Scalar|||200009994|||EQTY|||TARGET_PRICE_MA|||False|||</v>
          </cell>
          <cell r="C326" t="str">
            <v>V_KEYWORD_EQTY_200009994_TARGET_PRICE_MA</v>
          </cell>
        </row>
        <row r="327">
          <cell r="A327" t="str">
            <v>Scalar|||200009994|||EQTY|||NUM_SH|||False|||</v>
          </cell>
          <cell r="C327" t="str">
            <v>V_KEYWORD_EQTY_200009994_NUM_SH</v>
          </cell>
        </row>
        <row r="328">
          <cell r="A328" t="str">
            <v>Scalar|||200009994|||EQTY|||FREE_FLOAT|||False|||</v>
          </cell>
          <cell r="C328" t="str">
            <v>V_KEYWORD_EQTY_200009994_FREE_FLOAT</v>
          </cell>
        </row>
        <row r="329">
          <cell r="A329" t="str">
            <v>Scalar|||200009994|||EQTY|||CATALYST1_DATE|||True|||</v>
          </cell>
          <cell r="C329" t="str">
            <v>V_KEYWORD_EQTY_200009994_CATALYST1_DATE</v>
          </cell>
        </row>
        <row r="330">
          <cell r="A330" t="str">
            <v>Scalar|||200009994|||EQTY|||CATALYST1_EVENT|||False|||</v>
          </cell>
          <cell r="C330" t="str">
            <v>V_KEYWORD_EQTY_200009994_CATALYST1_EVENT</v>
          </cell>
        </row>
        <row r="331">
          <cell r="A331" t="str">
            <v>Scalar|||200009994|||EQTY|||CATALYST2_DATE|||True|||</v>
          </cell>
          <cell r="C331" t="str">
            <v>V_KEYWORD_EQTY_200009994_CATALYST2_DATE</v>
          </cell>
        </row>
        <row r="332">
          <cell r="A332" t="str">
            <v>Scalar|||200009994|||EQTY|||CATALYST2_EVENT|||False|||</v>
          </cell>
          <cell r="C332" t="str">
            <v>V_KEYWORD_EQTY_200009994_CATALYST2_EVENT</v>
          </cell>
        </row>
        <row r="333">
          <cell r="A333" t="str">
            <v>Scalar|||200009994|||EQTY|||CATALYST3_DATE|||True|||</v>
          </cell>
          <cell r="C333" t="str">
            <v>V_KEYWORD_EQTY_200009994_CATALYST3_DATE</v>
          </cell>
        </row>
        <row r="334">
          <cell r="A334" t="str">
            <v>Scalar|||200009994|||EQTY|||CATALYST3_EVENT|||False|||</v>
          </cell>
          <cell r="C334" t="str">
            <v>V_KEYWORD_EQTY_200009994_CATALYST3_EVENT</v>
          </cell>
        </row>
        <row r="335">
          <cell r="A335" t="str">
            <v>Scalar|||200009994|||EQTY|||CATALYST4_DATE|||True|||</v>
          </cell>
          <cell r="C335" t="str">
            <v>V_KEYWORD_EQTY_200009994_CATALYST4_DATE</v>
          </cell>
        </row>
        <row r="336">
          <cell r="A336" t="str">
            <v>Scalar|||200009994|||EQTY|||CATALYST4_EVENT|||False|||</v>
          </cell>
          <cell r="C336" t="str">
            <v>V_KEYWORD_EQTY_200009994_CATALYST4_EVENT</v>
          </cell>
        </row>
        <row r="337">
          <cell r="A337" t="str">
            <v>Scalar|||200009994|||EQTY|||CATALYST5_DATE|||True|||</v>
          </cell>
          <cell r="C337" t="str">
            <v>V_KEYWORD_EQTY_200009994_CATALYST5_DATE</v>
          </cell>
        </row>
        <row r="338">
          <cell r="A338" t="str">
            <v>Scalar|||200009994|||EQTY|||CATALYST5_EVENT|||False|||</v>
          </cell>
          <cell r="C338" t="str">
            <v>V_KEYWORD_EQTY_200009994_CATALYST5_EVENT</v>
          </cell>
        </row>
        <row r="339">
          <cell r="A339" t="str">
            <v>Scalar|||200009994|||EQTY|||PRI_TARG_MULT|||False|||</v>
          </cell>
          <cell r="C339" t="str">
            <v>V_KEYWORD_EQTY_200009994_PRI_TARG_MULT</v>
          </cell>
        </row>
        <row r="340">
          <cell r="A340" t="str">
            <v>Scalar|||200009994|||EQTY|||PRI_TARG_METH|||False|||</v>
          </cell>
          <cell r="C340" t="str">
            <v>V_KEYWORD_EQTY_200009994_PRI_TARG_METH</v>
          </cell>
        </row>
        <row r="341">
          <cell r="A341" t="str">
            <v>Scalar|||200009994|||EQTY|||DIV_POLICY|||False|||</v>
          </cell>
          <cell r="C341" t="str">
            <v>V_KEYWORD_EQTY_200009994_DIV_POLICY</v>
          </cell>
        </row>
        <row r="343">
          <cell r="A343" t="str">
            <v>Vector|||200009994|||EQTY|||BVPS_PUB|||False|||</v>
          </cell>
          <cell r="C343" t="str">
            <v>V_KEYWORD_EQTY_200009994_BVPS_PUB</v>
          </cell>
        </row>
        <row r="344">
          <cell r="A344" t="str">
            <v>Vector|||200009994|||EQTY|||DPS_PUB|||False|||</v>
          </cell>
          <cell r="C344" t="str">
            <v>V_KEYWORD_EQTY_200009994_DPS_PUB</v>
          </cell>
        </row>
        <row r="345">
          <cell r="A345" t="str">
            <v>Vector|||200009994|||EQTY|||DPS_SPECIAL_PUB|||False|||</v>
          </cell>
          <cell r="C345" t="str">
            <v>V_KEYWORD_EQTY_200009994_DPS_SPECIAL_PUB</v>
          </cell>
        </row>
        <row r="346">
          <cell r="A346" t="str">
            <v>Vector|||200009994|||EQTY|||EBITDA_PUB|||False|||</v>
          </cell>
          <cell r="C346" t="str">
            <v>V_KEYWORD_EQTY_200009994_EBITDA_PUB</v>
          </cell>
        </row>
        <row r="347">
          <cell r="A347" t="str">
            <v>Vector|||200009994|||EQTY|||EPS_PUB|||False|||</v>
          </cell>
          <cell r="C347" t="str">
            <v>V_KEYWORD_EQTY_200009994_EPS_PUB</v>
          </cell>
        </row>
        <row r="348">
          <cell r="A348" t="str">
            <v>Vector|||200009994|||EQTY|||EV_ADJ_PUB|||False|||</v>
          </cell>
          <cell r="C348" t="str">
            <v>V_KEYWORD_EQTY_200009994_EV_ADJ_PUB</v>
          </cell>
        </row>
        <row r="349">
          <cell r="A349" t="str">
            <v>Vector|||200009994|||EQTY|||NET_DEBT_PUB|||False|||</v>
          </cell>
          <cell r="C349" t="str">
            <v>V_KEYWORD_EQTY_200009994_NET_DEBT_PUB</v>
          </cell>
        </row>
        <row r="350">
          <cell r="A350" t="str">
            <v>Vector|||200009994|||EQTY|||NET_DEBT_EX_LEASES_PUB|||False|||</v>
          </cell>
          <cell r="C350" t="str">
            <v>V_KEYWORD_EQTY_200009994_NET_DEBT_EX_LEASES_PUB</v>
          </cell>
        </row>
        <row r="351">
          <cell r="A351" t="str">
            <v>Vector|||200009994|||EQTY|||CEEE_NDEBT|||False|||</v>
          </cell>
          <cell r="C351" t="str">
            <v>V_KEYWORD_EQTY_200009994_CEEE_NDEBT</v>
          </cell>
        </row>
        <row r="352">
          <cell r="A352" t="str">
            <v>Vector|||200009994|||EQTY|||NI_PUB|||False|||</v>
          </cell>
          <cell r="C352" t="str">
            <v>V_KEYWORD_EQTY_200009994_NI_PUB</v>
          </cell>
        </row>
        <row r="353">
          <cell r="A353" t="str">
            <v>Vector|||200009994|||EQTY|||EBIT_PUB|||False|||</v>
          </cell>
          <cell r="C353" t="str">
            <v>V_KEYWORD_EQTY_200009994_EBIT_PUB</v>
          </cell>
        </row>
        <row r="354">
          <cell r="A354" t="str">
            <v>Vector|||200009994|||EQTY|||PTP_PUB|||False|||</v>
          </cell>
          <cell r="C354" t="str">
            <v>V_KEYWORD_EQTY_200009994_PTP_PUB</v>
          </cell>
        </row>
        <row r="355">
          <cell r="A355" t="str">
            <v>Vector|||200009994|||EQTY|||REVS_PUB|||False|||</v>
          </cell>
          <cell r="C355" t="str">
            <v>V_KEYWORD_EQTY_200009994_REVS_PUB</v>
          </cell>
        </row>
        <row r="356">
          <cell r="A356" t="str">
            <v>Vector|||200009994|||EQTY|||EQ_PUB|||False|||</v>
          </cell>
          <cell r="C356" t="str">
            <v>V_KEYWORD_EQTY_200009994_EQ_PUB</v>
          </cell>
        </row>
        <row r="357">
          <cell r="A357" t="str">
            <v>Vector|||200009994|||EQTY|||REC_PFT_PUB|||False|||</v>
          </cell>
          <cell r="C357" t="str">
            <v>V_KEYWORD_EQTY_200009994_REC_PFT_PUB</v>
          </cell>
        </row>
        <row r="358">
          <cell r="A358" t="str">
            <v>Vector|||200009994|||EQTY|||OPS_PFT|||False|||</v>
          </cell>
          <cell r="C358" t="str">
            <v>V_KEYWORD_EQTY_200009994_OPS_PFT</v>
          </cell>
        </row>
        <row r="359">
          <cell r="A359" t="str">
            <v>Vector|||200009994|||EQTY|||PTP_REP|||False|||</v>
          </cell>
          <cell r="C359" t="str">
            <v>V_KEYWORD_EQTY_200009994_PTP_REP</v>
          </cell>
        </row>
        <row r="360">
          <cell r="A360" t="str">
            <v>Vector|||200009994|||EQTY|||REVS_COEST_PUB|||False|||</v>
          </cell>
          <cell r="C360" t="str">
            <v>V_KEYWORD_EQTY_200009994_REVS_COEST_PUB</v>
          </cell>
        </row>
        <row r="361">
          <cell r="A361" t="str">
            <v>Vector|||200009994|||EQTY|||EBITDA_COEST_PUB|||False|||</v>
          </cell>
          <cell r="C361" t="str">
            <v>V_KEYWORD_EQTY_200009994_EBITDA_COEST_PUB</v>
          </cell>
        </row>
        <row r="362">
          <cell r="A362" t="str">
            <v>Vector|||200009994|||EQTY|||EBIT_COEST_PUB|||False|||</v>
          </cell>
          <cell r="C362" t="str">
            <v>V_KEYWORD_EQTY_200009994_EBIT_COEST_PUB</v>
          </cell>
        </row>
        <row r="363">
          <cell r="A363" t="str">
            <v>Vector|||200009994|||EQTY|||PTP_COEST_PUB|||False|||</v>
          </cell>
          <cell r="C363" t="str">
            <v>V_KEYWORD_EQTY_200009994_PTP_COEST_PUB</v>
          </cell>
        </row>
        <row r="364">
          <cell r="A364" t="str">
            <v>Vector|||200009994|||EQTY|||REC_PFT_COEST_PUB|||False|||</v>
          </cell>
          <cell r="C364" t="str">
            <v>V_KEYWORD_EQTY_200009994_REC_PFT_COEST_PUB</v>
          </cell>
        </row>
        <row r="365">
          <cell r="A365" t="str">
            <v>Vector|||200009994|||EQTY|||NI_COEST_PUB|||False|||</v>
          </cell>
          <cell r="C365" t="str">
            <v>V_KEYWORD_EQTY_200009994_NI_COEST_PUB</v>
          </cell>
        </row>
        <row r="366">
          <cell r="A366" t="str">
            <v>Vector|||200009994|||EQTY|||EPS_COEST_PUB|||False|||</v>
          </cell>
          <cell r="C366" t="str">
            <v>V_KEYWORD_EQTY_200009994_EPS_COEST_PUB</v>
          </cell>
        </row>
        <row r="367">
          <cell r="A367" t="str">
            <v>Vector|||200009994|||EQTY|||REVS_CONS_PUB|||False|||</v>
          </cell>
          <cell r="C367" t="str">
            <v>V_KEYWORD_EQTY_200009994_REVS_CONS_PUB</v>
          </cell>
        </row>
        <row r="368">
          <cell r="A368" t="str">
            <v>Vector|||200009994|||EQTY|||REC_PFT_CONS_PUB|||False|||</v>
          </cell>
          <cell r="C368" t="str">
            <v>V_KEYWORD_EQTY_200009994_REC_PFT_CONS_PUB</v>
          </cell>
        </row>
        <row r="369">
          <cell r="A369" t="str">
            <v>Vector|||200009994|||EQTY|||EPS_CONS_PUB|||False|||</v>
          </cell>
          <cell r="C369" t="str">
            <v>V_KEYWORD_EQTY_200009994_EPS_CONS_PUB</v>
          </cell>
        </row>
        <row r="370">
          <cell r="A370" t="str">
            <v>Vector|||200009994|||EQTY|||DPS_CONS_PUB|||False|||</v>
          </cell>
          <cell r="C370" t="str">
            <v>V_KEYWORD_EQTY_200009994_DPS_CONS_PUB</v>
          </cell>
        </row>
        <row r="371">
          <cell r="A371" t="str">
            <v>Vector|||200009994|||EQTY|||OP_IMPACT_YEN_APPR_USD_PUB|||False|||</v>
          </cell>
          <cell r="C371" t="str">
            <v>V_KEYWORD_EQTY_200009994_OP_IMPACT_YEN_APPR_USD_PUB</v>
          </cell>
        </row>
        <row r="372">
          <cell r="A372" t="str">
            <v>Vector|||200009994|||EQTY|||OP_IMPACT_YEN_APPR_EUR_PUB|||False|||</v>
          </cell>
          <cell r="C372" t="str">
            <v>V_KEYWORD_EQTY_200009994_OP_IMPACT_YEN_APPR_EUR_PUB</v>
          </cell>
        </row>
        <row r="373">
          <cell r="A373" t="str">
            <v>Vector|||200009994|||EQTY|||NI_IMPACT_YEN_APPR_USD_PUB|||False|||</v>
          </cell>
          <cell r="C373" t="str">
            <v>V_KEYWORD_EQTY_200009994_NI_IMPACT_YEN_APPR_USD_PUB</v>
          </cell>
        </row>
        <row r="374">
          <cell r="A374" t="str">
            <v>Vector|||200009994|||EQTY|||NI_IMPACT_YEN_APPR_EUR_PUB|||False|||</v>
          </cell>
          <cell r="C374" t="str">
            <v>V_KEYWORD_EQTY_200009994_NI_IMPACT_YEN_APPR_EUR_PUB</v>
          </cell>
        </row>
        <row r="376">
          <cell r="A376" t="str">
            <v>Vector|||200009994|||EQTY|||PROV_INC_TAX|||False|||</v>
          </cell>
          <cell r="C376" t="str">
            <v>V_KEYWORD_EQTY_200009994_PROV_INC_TAX</v>
          </cell>
        </row>
        <row r="377">
          <cell r="A377" t="str">
            <v>Vector|||200009994|||EQTY|||INC_MINORITY|||False|||</v>
          </cell>
          <cell r="C377" t="str">
            <v>V_KEYWORD_EQTY_200009994_INC_MINORITY</v>
          </cell>
        </row>
        <row r="378">
          <cell r="A378" t="str">
            <v>Vector|||200009994|||EQTY|||NI_PRE_PREF|||False|||</v>
          </cell>
          <cell r="C378" t="str">
            <v>V_KEYWORD_EQTY_200009994_NI_PRE_PREF</v>
          </cell>
        </row>
        <row r="379">
          <cell r="A379" t="str">
            <v>Vector|||200009994|||EQTY|||PREF_DIV|||False|||</v>
          </cell>
          <cell r="C379" t="str">
            <v>V_KEYWORD_EQTY_200009994_PREF_DIV</v>
          </cell>
        </row>
        <row r="380">
          <cell r="A380" t="str">
            <v>Vector|||200009994|||EQTY|||NET_EARNING|||False|||</v>
          </cell>
          <cell r="C380" t="str">
            <v>V_KEYWORD_EQTY_200009994_NET_EARNING</v>
          </cell>
        </row>
        <row r="381">
          <cell r="A381" t="str">
            <v>Vector|||200009994|||EQTY|||TAX_EXC|||False|||</v>
          </cell>
          <cell r="C381" t="str">
            <v>V_KEYWORD_EQTY_200009994_TAX_EXC</v>
          </cell>
        </row>
        <row r="382">
          <cell r="A382" t="str">
            <v>Vector|||200009994|||EQTY|||NET_INC|||False|||</v>
          </cell>
          <cell r="C382" t="str">
            <v>V_KEYWORD_EQTY_200009994_NET_INC</v>
          </cell>
        </row>
        <row r="383">
          <cell r="A383" t="str">
            <v>Vector|||200009994|||EQTY|||EPS|||False|||</v>
          </cell>
          <cell r="C383" t="str">
            <v>V_KEYWORD_EQTY_200009994_EPS</v>
          </cell>
        </row>
        <row r="384">
          <cell r="A384" t="str">
            <v>Vector|||200009994|||EQTY|||EPS_FUL_DIL|||False|||</v>
          </cell>
          <cell r="C384" t="str">
            <v>V_KEYWORD_EQTY_200009994_EPS_FUL_DIL</v>
          </cell>
        </row>
        <row r="385">
          <cell r="A385" t="str">
            <v>Vector|||200009994|||EQTY|||EPS_POST_BASIC|||False|||</v>
          </cell>
          <cell r="C385" t="str">
            <v>V_KEYWORD_EQTY_200009994_EPS_POST_BASIC</v>
          </cell>
        </row>
        <row r="386">
          <cell r="A386" t="str">
            <v>Vector|||200009994|||EQTY|||FULLY_DIL_EPS|||False|||</v>
          </cell>
          <cell r="C386" t="str">
            <v>V_KEYWORD_EQTY_200009994_FULLY_DIL_EPS</v>
          </cell>
        </row>
        <row r="387">
          <cell r="A387" t="str">
            <v>Vector|||200009994|||EQTY|||COMMON_DIV_PAID|||False|||</v>
          </cell>
          <cell r="C387" t="str">
            <v>V_KEYWORD_EQTY_200009994_COMMON_DIV_PAID</v>
          </cell>
        </row>
        <row r="388">
          <cell r="A388" t="str">
            <v>Vector|||200009994|||EQTY|||DPS|||False|||</v>
          </cell>
          <cell r="C388" t="str">
            <v>V_KEYWORD_EQTY_200009994_DPS</v>
          </cell>
        </row>
        <row r="389">
          <cell r="A389" t="str">
            <v>Vector|||200009994|||EQTY|||SH|||False|||</v>
          </cell>
          <cell r="C389" t="str">
            <v>V_KEYWORD_EQTY_200009994_SH</v>
          </cell>
        </row>
        <row r="390">
          <cell r="A390" t="str">
            <v>Vector|||200009994|||EQTY|||DILUTE_SHARES|||False|||</v>
          </cell>
          <cell r="C390" t="str">
            <v>V_KEYWORD_EQTY_200009994_DILUTE_SHARES</v>
          </cell>
        </row>
        <row r="391">
          <cell r="A391" t="str">
            <v>Vector|||200009994|||EQTY|||NON_OP_ADD|||False|||</v>
          </cell>
          <cell r="C391" t="str">
            <v>V_KEYWORD_EQTY_200009994_NON_OP_ADD</v>
          </cell>
        </row>
        <row r="393">
          <cell r="A393" t="str">
            <v>Vector|||200009994|||EQTY|||MARGIN_TAX_RATE|||False|||</v>
          </cell>
          <cell r="C393" t="str">
            <v>V_KEYWORD_EQTY_200009994_MARGIN_TAX_RATE</v>
          </cell>
        </row>
        <row r="394">
          <cell r="A394" t="str">
            <v>Vector|||200009994|||EQTY|||EPS_BASIC_JPN|||False|||</v>
          </cell>
          <cell r="C394" t="str">
            <v>V_KEYWORD_EQTY_200009994_EPS_BASIC_JPN</v>
          </cell>
        </row>
        <row r="395">
          <cell r="A395" t="str">
            <v>Vector|||200009994|||EQTY|||EPS_FUL_DIL_JPN|||False|||</v>
          </cell>
          <cell r="C395" t="str">
            <v>V_KEYWORD_EQTY_200009994_EPS_FUL_DIL_JPN</v>
          </cell>
        </row>
        <row r="397">
          <cell r="A397" t="str">
            <v>Vector|||200009994|||EQTY|||BVPS|||False|||</v>
          </cell>
          <cell r="C397" t="str">
            <v>V_KEYWORD_EQTY_200009994_BVPS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Sheet"/>
      <sheetName val="Val-Summary"/>
      <sheetName val="Valuation"/>
      <sheetName val="Cover Page"/>
      <sheetName val="Disclaimer"/>
      <sheetName val="Cover"/>
      <sheetName val="Quarterly"/>
      <sheetName val="Driver(base)"/>
      <sheetName val="Segment"/>
      <sheetName val="Model"/>
      <sheetName val="Raw Data"/>
      <sheetName val="Summary"/>
      <sheetName val="2897.T_Exchange_Sheet"/>
      <sheetName val="TP calculation"/>
      <sheetName val="Chart"/>
      <sheetName val="US_food"/>
      <sheetName val="EV 2027"/>
      <sheetName val="EV 2026"/>
      <sheetName val="Segment (IRC)"/>
      <sheetName val="HK nissin"/>
      <sheetName val="_QP_4452.T"/>
      <sheetName val="Segment for IRC Jul 2014 domest"/>
      <sheetName val="Segment Comparison"/>
      <sheetName val="Act Vs Est"/>
      <sheetName val="Director's cut"/>
      <sheetName val="EV 2025"/>
      <sheetName val="EV 2024"/>
      <sheetName val="EV 2023"/>
      <sheetName val="EV 2022"/>
      <sheetName val="2897.T_Live_Sheet"/>
      <sheetName val="2897.T_Validation_Sheet"/>
      <sheetName val="2897.T_Annotation_Sheet"/>
      <sheetName val="EV 2021"/>
      <sheetName val="waterfall"/>
      <sheetName val="Bubble chart"/>
      <sheetName val="Ratios"/>
      <sheetName val="Sheet5"/>
      <sheetName val="Sheet4"/>
      <sheetName val="QP_2897.T_migrated"/>
      <sheetName val="OGG"/>
      <sheetName val="additional keywords"/>
      <sheetName val="Market Data"/>
      <sheetName val="Segment for IRC"/>
      <sheetName val="Segment for IRC "/>
      <sheetName val="PBO"/>
      <sheetName val="Driver (bear)"/>
      <sheetName val="Driver (bul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6">
          <cell r="FG56">
            <v>11122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 t="str">
            <v>Issuer: Nissin Foods Holdings</v>
          </cell>
          <cell r="F1">
            <v>1995</v>
          </cell>
          <cell r="G1">
            <v>1996</v>
          </cell>
          <cell r="H1">
            <v>1997</v>
          </cell>
          <cell r="I1">
            <v>1998</v>
          </cell>
          <cell r="J1">
            <v>1999</v>
          </cell>
          <cell r="K1">
            <v>2000</v>
          </cell>
          <cell r="L1">
            <v>2001</v>
          </cell>
          <cell r="M1">
            <v>2002</v>
          </cell>
          <cell r="N1">
            <v>2003</v>
          </cell>
          <cell r="O1">
            <v>2004</v>
          </cell>
          <cell r="P1">
            <v>2005</v>
          </cell>
          <cell r="Q1">
            <v>2006</v>
          </cell>
          <cell r="R1" t="str">
            <v>2007 Q1</v>
          </cell>
          <cell r="S1" t="str">
            <v>2007 Q2</v>
          </cell>
          <cell r="T1" t="str">
            <v>2007 Q3</v>
          </cell>
          <cell r="U1" t="str">
            <v>2007 Q4</v>
          </cell>
          <cell r="V1">
            <v>2007</v>
          </cell>
          <cell r="W1" t="str">
            <v>2008 Q1</v>
          </cell>
          <cell r="X1" t="str">
            <v>2008 Q2</v>
          </cell>
          <cell r="Y1" t="str">
            <v>2008 Q3</v>
          </cell>
          <cell r="Z1" t="str">
            <v>2008 Q4</v>
          </cell>
          <cell r="AA1">
            <v>2008</v>
          </cell>
          <cell r="AB1" t="str">
            <v>2009 Q1</v>
          </cell>
          <cell r="AC1" t="str">
            <v>2009 Q2</v>
          </cell>
          <cell r="AD1" t="str">
            <v>2009 Q3</v>
          </cell>
          <cell r="AE1" t="str">
            <v>2009 Q4</v>
          </cell>
          <cell r="AF1">
            <v>2009</v>
          </cell>
          <cell r="AG1" t="str">
            <v>2010 Q1</v>
          </cell>
          <cell r="AH1" t="str">
            <v>2010 Q2</v>
          </cell>
          <cell r="AI1" t="str">
            <v>2010 Q3</v>
          </cell>
          <cell r="AJ1" t="str">
            <v>2010 Q4</v>
          </cell>
          <cell r="AK1">
            <v>2010</v>
          </cell>
          <cell r="AL1" t="str">
            <v>2011 Q1</v>
          </cell>
          <cell r="AM1" t="str">
            <v>2011 Q2</v>
          </cell>
          <cell r="AN1" t="str">
            <v>2011 Q3</v>
          </cell>
          <cell r="AO1" t="str">
            <v>2011 Q4</v>
          </cell>
          <cell r="AP1">
            <v>2011</v>
          </cell>
          <cell r="AQ1" t="str">
            <v>2012 Q1</v>
          </cell>
          <cell r="AR1" t="str">
            <v>2012 Q2</v>
          </cell>
          <cell r="AS1" t="str">
            <v>2012 Q3</v>
          </cell>
          <cell r="AT1" t="str">
            <v>2012 Q4</v>
          </cell>
          <cell r="AU1">
            <v>2012</v>
          </cell>
          <cell r="AV1" t="str">
            <v>2013 Q1</v>
          </cell>
          <cell r="AW1" t="str">
            <v>2013 Q2</v>
          </cell>
          <cell r="AX1" t="str">
            <v>2013 Q3</v>
          </cell>
          <cell r="AY1" t="str">
            <v>2013 Q4</v>
          </cell>
          <cell r="AZ1">
            <v>2013</v>
          </cell>
          <cell r="BA1" t="str">
            <v>2014 Q1</v>
          </cell>
          <cell r="BB1" t="str">
            <v>2014 Q2</v>
          </cell>
          <cell r="BC1" t="str">
            <v>2014 Q3</v>
          </cell>
          <cell r="BD1" t="str">
            <v>2014 Q4</v>
          </cell>
          <cell r="BE1">
            <v>2014</v>
          </cell>
          <cell r="BF1" t="str">
            <v>2015 Q1</v>
          </cell>
          <cell r="BG1" t="str">
            <v>2015 Q2</v>
          </cell>
          <cell r="BH1" t="str">
            <v>2015 Q3</v>
          </cell>
          <cell r="BI1" t="str">
            <v>2015 Q4</v>
          </cell>
          <cell r="BJ1">
            <v>2015</v>
          </cell>
          <cell r="BK1" t="str">
            <v>2016 Q1</v>
          </cell>
          <cell r="BL1" t="str">
            <v>2016 Q2</v>
          </cell>
          <cell r="BM1" t="str">
            <v>2016 Q3</v>
          </cell>
          <cell r="BN1" t="str">
            <v>2016 Q4</v>
          </cell>
          <cell r="BO1">
            <v>2016</v>
          </cell>
          <cell r="BP1" t="str">
            <v>2017 Q1</v>
          </cell>
          <cell r="BQ1" t="str">
            <v>2017 Q2</v>
          </cell>
          <cell r="BR1" t="str">
            <v>2017 Q3</v>
          </cell>
          <cell r="BS1" t="str">
            <v>2017 Q4</v>
          </cell>
          <cell r="BT1">
            <v>2017</v>
          </cell>
          <cell r="BU1" t="str">
            <v>2018 Q1</v>
          </cell>
          <cell r="BV1" t="str">
            <v>2018 Q2</v>
          </cell>
          <cell r="BW1" t="str">
            <v>2018 Q3</v>
          </cell>
          <cell r="BX1" t="str">
            <v>2018 Q4</v>
          </cell>
          <cell r="BY1">
            <v>2018</v>
          </cell>
          <cell r="BZ1" t="str">
            <v>2019 Q1</v>
          </cell>
          <cell r="CA1" t="str">
            <v>2019 Q2</v>
          </cell>
          <cell r="CB1" t="str">
            <v>2019 Q3</v>
          </cell>
          <cell r="CC1" t="str">
            <v>2019 Q4</v>
          </cell>
          <cell r="CD1">
            <v>2019</v>
          </cell>
          <cell r="CE1" t="str">
            <v>2020 Q1</v>
          </cell>
          <cell r="CF1" t="str">
            <v>2020 Q2</v>
          </cell>
          <cell r="CG1" t="str">
            <v>2020 Q3</v>
          </cell>
          <cell r="CH1" t="str">
            <v>2020 Q4</v>
          </cell>
          <cell r="CI1">
            <v>2020</v>
          </cell>
          <cell r="CJ1" t="str">
            <v>2021 Q1</v>
          </cell>
          <cell r="CK1" t="str">
            <v>2021 Q2</v>
          </cell>
          <cell r="CL1" t="str">
            <v>2021 Q3</v>
          </cell>
          <cell r="CM1" t="str">
            <v>2021 Q4</v>
          </cell>
          <cell r="CN1">
            <v>2021</v>
          </cell>
          <cell r="CO1" t="str">
            <v>2022 Q1</v>
          </cell>
          <cell r="CP1" t="str">
            <v>2022 Q2</v>
          </cell>
          <cell r="CQ1" t="str">
            <v>2022 Q3</v>
          </cell>
          <cell r="CR1" t="str">
            <v>2022 Q4</v>
          </cell>
          <cell r="CS1">
            <v>2022</v>
          </cell>
          <cell r="CT1" t="str">
            <v>2023 Q1</v>
          </cell>
          <cell r="CU1" t="str">
            <v>2023 Q2</v>
          </cell>
          <cell r="CV1" t="str">
            <v>2023 Q3</v>
          </cell>
          <cell r="CW1" t="str">
            <v>2023 Q4</v>
          </cell>
          <cell r="CX1" t="str">
            <v>2023</v>
          </cell>
          <cell r="CY1" t="str">
            <v>2024 Q1</v>
          </cell>
          <cell r="CZ1" t="str">
            <v>2024 Q2</v>
          </cell>
          <cell r="DA1" t="str">
            <v>2024 Q3</v>
          </cell>
          <cell r="DB1" t="str">
            <v>2024 Q4</v>
          </cell>
          <cell r="DC1" t="str">
            <v>2024</v>
          </cell>
          <cell r="DD1" t="str">
            <v>2025</v>
          </cell>
          <cell r="DE1" t="str">
            <v>2026</v>
          </cell>
          <cell r="DF1" t="str">
            <v>2027</v>
          </cell>
          <cell r="DG1" t="str">
            <v>2028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Actual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Actual</v>
          </cell>
          <cell r="T2" t="str">
            <v>Actual</v>
          </cell>
          <cell r="U2" t="str">
            <v>Actual</v>
          </cell>
          <cell r="V2" t="str">
            <v>Actual</v>
          </cell>
          <cell r="W2" t="str">
            <v>Actual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  <cell r="AC2" t="str">
            <v>Actual</v>
          </cell>
          <cell r="AD2" t="str">
            <v>Actual</v>
          </cell>
          <cell r="AE2" t="str">
            <v>Actual</v>
          </cell>
          <cell r="AF2" t="str">
            <v>Actual</v>
          </cell>
          <cell r="AG2" t="str">
            <v>Actual</v>
          </cell>
          <cell r="AH2" t="str">
            <v>Actual</v>
          </cell>
          <cell r="AI2" t="str">
            <v>Actual</v>
          </cell>
          <cell r="AJ2" t="str">
            <v>Actual</v>
          </cell>
          <cell r="AK2" t="str">
            <v>Actual</v>
          </cell>
          <cell r="AL2" t="str">
            <v>Actual</v>
          </cell>
          <cell r="AM2" t="str">
            <v>Actual</v>
          </cell>
          <cell r="AN2" t="str">
            <v>Actual</v>
          </cell>
          <cell r="AO2" t="str">
            <v>Actual</v>
          </cell>
          <cell r="AP2" t="str">
            <v>Actual</v>
          </cell>
          <cell r="AQ2" t="str">
            <v>Actual</v>
          </cell>
          <cell r="AR2" t="str">
            <v>Actual</v>
          </cell>
          <cell r="AS2" t="str">
            <v>Actual</v>
          </cell>
          <cell r="AT2" t="str">
            <v>Actual</v>
          </cell>
          <cell r="AU2" t="str">
            <v>Actual</v>
          </cell>
          <cell r="AV2" t="str">
            <v>Actual</v>
          </cell>
          <cell r="AW2" t="str">
            <v>Actual</v>
          </cell>
          <cell r="AX2" t="str">
            <v>Actual</v>
          </cell>
          <cell r="AY2" t="str">
            <v>Actual</v>
          </cell>
          <cell r="AZ2" t="str">
            <v>Actual</v>
          </cell>
          <cell r="BA2" t="str">
            <v>Actual</v>
          </cell>
          <cell r="BB2" t="str">
            <v>Actual</v>
          </cell>
          <cell r="BC2" t="str">
            <v>Actual</v>
          </cell>
          <cell r="BD2" t="str">
            <v>Actual</v>
          </cell>
          <cell r="BE2" t="str">
            <v>Actual</v>
          </cell>
          <cell r="BF2" t="str">
            <v>Actual</v>
          </cell>
          <cell r="BG2" t="str">
            <v>Actual</v>
          </cell>
          <cell r="BH2" t="str">
            <v>Actual</v>
          </cell>
          <cell r="BI2" t="str">
            <v>Actual</v>
          </cell>
          <cell r="BJ2" t="str">
            <v>Actual</v>
          </cell>
          <cell r="BK2" t="str">
            <v>Actual</v>
          </cell>
          <cell r="BL2" t="str">
            <v>Actual</v>
          </cell>
          <cell r="BM2" t="str">
            <v>Actual</v>
          </cell>
          <cell r="BN2" t="str">
            <v>Actual</v>
          </cell>
          <cell r="BO2" t="str">
            <v>Actual</v>
          </cell>
          <cell r="BP2" t="str">
            <v>Actual</v>
          </cell>
          <cell r="BQ2" t="str">
            <v>Actual</v>
          </cell>
          <cell r="BR2" t="str">
            <v>Actual</v>
          </cell>
          <cell r="BS2" t="str">
            <v>Actual</v>
          </cell>
          <cell r="BT2" t="str">
            <v>Actual</v>
          </cell>
          <cell r="BU2" t="str">
            <v>Actual</v>
          </cell>
          <cell r="BV2" t="str">
            <v>Actual</v>
          </cell>
          <cell r="BW2" t="str">
            <v>Actual</v>
          </cell>
          <cell r="BX2" t="str">
            <v>Actual</v>
          </cell>
          <cell r="BY2" t="str">
            <v>Actual</v>
          </cell>
          <cell r="BZ2" t="str">
            <v>Actual</v>
          </cell>
          <cell r="CA2" t="str">
            <v>Actual</v>
          </cell>
          <cell r="CB2" t="str">
            <v>Actual</v>
          </cell>
          <cell r="CC2" t="str">
            <v>Actual</v>
          </cell>
          <cell r="CD2" t="str">
            <v>Actual</v>
          </cell>
          <cell r="CE2" t="str">
            <v>Actual</v>
          </cell>
          <cell r="CF2" t="str">
            <v>Actual</v>
          </cell>
          <cell r="CG2" t="str">
            <v>Actual</v>
          </cell>
          <cell r="CH2" t="str">
            <v>Actual</v>
          </cell>
          <cell r="CI2" t="str">
            <v>Actual</v>
          </cell>
          <cell r="CJ2" t="str">
            <v>Actual</v>
          </cell>
          <cell r="CK2" t="str">
            <v>Actual</v>
          </cell>
          <cell r="CL2" t="str">
            <v>Actual</v>
          </cell>
          <cell r="CM2" t="str">
            <v>Actual</v>
          </cell>
          <cell r="CN2" t="str">
            <v>Actual</v>
          </cell>
          <cell r="CO2" t="str">
            <v>Actual</v>
          </cell>
          <cell r="CP2" t="str">
            <v>Actual</v>
          </cell>
          <cell r="CQ2" t="str">
            <v>Actual</v>
          </cell>
          <cell r="CR2" t="str">
            <v>Actual</v>
          </cell>
          <cell r="CS2" t="str">
            <v>Actual</v>
          </cell>
          <cell r="CT2" t="str">
            <v>Actual</v>
          </cell>
          <cell r="CU2" t="str">
            <v>Actual</v>
          </cell>
          <cell r="CV2" t="str">
            <v>Actual</v>
          </cell>
          <cell r="CW2" t="str">
            <v>Actual</v>
          </cell>
          <cell r="CX2" t="str">
            <v>Actual</v>
          </cell>
          <cell r="CY2" t="str">
            <v>Actual</v>
          </cell>
          <cell r="CZ2" t="str">
            <v>Actual</v>
          </cell>
          <cell r="DA2" t="str">
            <v>Estimate</v>
          </cell>
          <cell r="DB2" t="str">
            <v>Estimate</v>
          </cell>
          <cell r="DC2" t="str">
            <v>Estimate</v>
          </cell>
          <cell r="DD2" t="str">
            <v>Estimate</v>
          </cell>
          <cell r="DE2" t="str">
            <v>Estimate</v>
          </cell>
          <cell r="DF2" t="str">
            <v>Estimate</v>
          </cell>
          <cell r="DG2" t="str">
            <v>Estimate</v>
          </cell>
        </row>
        <row r="3">
          <cell r="F3">
            <v>34789</v>
          </cell>
          <cell r="G3">
            <v>35155</v>
          </cell>
          <cell r="H3">
            <v>35520</v>
          </cell>
          <cell r="I3">
            <v>35885</v>
          </cell>
          <cell r="J3">
            <v>36250</v>
          </cell>
          <cell r="K3">
            <v>36616</v>
          </cell>
          <cell r="L3">
            <v>36981</v>
          </cell>
          <cell r="M3">
            <v>37346</v>
          </cell>
          <cell r="N3">
            <v>37711</v>
          </cell>
          <cell r="O3">
            <v>38077</v>
          </cell>
          <cell r="P3">
            <v>38442</v>
          </cell>
          <cell r="Q3">
            <v>38807</v>
          </cell>
          <cell r="R3">
            <v>38898</v>
          </cell>
          <cell r="S3">
            <v>38990</v>
          </cell>
          <cell r="T3">
            <v>39082</v>
          </cell>
          <cell r="U3">
            <v>39172</v>
          </cell>
          <cell r="V3">
            <v>39172</v>
          </cell>
          <cell r="W3">
            <v>39263</v>
          </cell>
          <cell r="X3">
            <v>39355</v>
          </cell>
          <cell r="Y3">
            <v>39447</v>
          </cell>
          <cell r="Z3">
            <v>39538</v>
          </cell>
          <cell r="AA3">
            <v>39538</v>
          </cell>
          <cell r="AB3">
            <v>39629</v>
          </cell>
          <cell r="AC3">
            <v>39721</v>
          </cell>
          <cell r="AD3">
            <v>39813</v>
          </cell>
          <cell r="AE3">
            <v>39903</v>
          </cell>
          <cell r="AF3">
            <v>39903</v>
          </cell>
          <cell r="AG3">
            <v>39994</v>
          </cell>
          <cell r="AH3">
            <v>40086</v>
          </cell>
          <cell r="AI3">
            <v>40178</v>
          </cell>
          <cell r="AJ3">
            <v>40268</v>
          </cell>
          <cell r="AK3">
            <v>40268</v>
          </cell>
          <cell r="AL3">
            <v>40359</v>
          </cell>
          <cell r="AM3">
            <v>40451</v>
          </cell>
          <cell r="AN3">
            <v>40543</v>
          </cell>
          <cell r="AO3">
            <v>40633</v>
          </cell>
          <cell r="AP3">
            <v>40633</v>
          </cell>
          <cell r="AQ3">
            <v>40724</v>
          </cell>
          <cell r="AR3">
            <v>40816</v>
          </cell>
          <cell r="AS3">
            <v>40908</v>
          </cell>
          <cell r="AT3">
            <v>40999</v>
          </cell>
          <cell r="AU3">
            <v>40999</v>
          </cell>
          <cell r="AV3">
            <v>41090</v>
          </cell>
          <cell r="AW3">
            <v>41182</v>
          </cell>
          <cell r="AX3">
            <v>41274</v>
          </cell>
          <cell r="AY3">
            <v>41364</v>
          </cell>
          <cell r="AZ3">
            <v>41364</v>
          </cell>
          <cell r="BA3">
            <v>41455</v>
          </cell>
          <cell r="BB3">
            <v>41547</v>
          </cell>
          <cell r="BC3">
            <v>41639</v>
          </cell>
          <cell r="BD3">
            <v>41729</v>
          </cell>
          <cell r="BE3">
            <v>41729</v>
          </cell>
          <cell r="BF3">
            <v>41820</v>
          </cell>
          <cell r="BG3">
            <v>41912</v>
          </cell>
          <cell r="BH3">
            <v>42004</v>
          </cell>
          <cell r="BI3">
            <v>42094</v>
          </cell>
          <cell r="BJ3">
            <v>42094</v>
          </cell>
          <cell r="BK3">
            <v>42185</v>
          </cell>
          <cell r="BL3">
            <v>42277</v>
          </cell>
          <cell r="BM3">
            <v>42369</v>
          </cell>
          <cell r="BN3">
            <v>42460</v>
          </cell>
          <cell r="BO3">
            <v>42460</v>
          </cell>
          <cell r="BP3">
            <v>42551</v>
          </cell>
          <cell r="BQ3">
            <v>42643</v>
          </cell>
          <cell r="BR3">
            <v>42735</v>
          </cell>
          <cell r="BS3">
            <v>42825</v>
          </cell>
          <cell r="BT3">
            <v>42825</v>
          </cell>
          <cell r="BU3">
            <v>42916</v>
          </cell>
          <cell r="BV3">
            <v>43008</v>
          </cell>
          <cell r="BW3">
            <v>43100</v>
          </cell>
          <cell r="BX3">
            <v>43190</v>
          </cell>
          <cell r="BY3">
            <v>43190</v>
          </cell>
          <cell r="BZ3">
            <v>43281</v>
          </cell>
          <cell r="CA3">
            <v>43373</v>
          </cell>
          <cell r="CB3">
            <v>43465</v>
          </cell>
          <cell r="CC3">
            <v>43555</v>
          </cell>
          <cell r="CD3">
            <v>43555</v>
          </cell>
          <cell r="CE3">
            <v>43646</v>
          </cell>
          <cell r="CF3">
            <v>43738</v>
          </cell>
          <cell r="CG3">
            <v>43830</v>
          </cell>
          <cell r="CH3">
            <v>43921</v>
          </cell>
          <cell r="CI3">
            <v>43921</v>
          </cell>
          <cell r="CJ3">
            <v>44012</v>
          </cell>
          <cell r="CK3">
            <v>44104</v>
          </cell>
          <cell r="CL3">
            <v>44196</v>
          </cell>
          <cell r="CM3">
            <v>44286</v>
          </cell>
          <cell r="CN3">
            <v>44286</v>
          </cell>
          <cell r="CO3">
            <v>44377</v>
          </cell>
          <cell r="CP3">
            <v>44469</v>
          </cell>
          <cell r="CQ3">
            <v>44561</v>
          </cell>
          <cell r="CR3">
            <v>44651</v>
          </cell>
          <cell r="CS3">
            <v>44651</v>
          </cell>
          <cell r="CT3">
            <v>44742</v>
          </cell>
          <cell r="CU3">
            <v>44834</v>
          </cell>
          <cell r="CV3">
            <v>44926</v>
          </cell>
          <cell r="CW3">
            <v>45016</v>
          </cell>
          <cell r="CX3">
            <v>45016</v>
          </cell>
          <cell r="CY3">
            <v>45107</v>
          </cell>
          <cell r="CZ3">
            <v>45199</v>
          </cell>
          <cell r="DA3">
            <v>45291</v>
          </cell>
          <cell r="DB3">
            <v>45382</v>
          </cell>
          <cell r="DC3">
            <v>45382</v>
          </cell>
          <cell r="DD3">
            <v>45747</v>
          </cell>
          <cell r="DE3">
            <v>46112</v>
          </cell>
          <cell r="DF3">
            <v>46477</v>
          </cell>
          <cell r="DG3">
            <v>46843</v>
          </cell>
        </row>
        <row r="4">
          <cell r="A4" t="str">
            <v>Issuer: Nissin Foods Holdings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Nissin Foods Holdings</v>
          </cell>
        </row>
        <row r="7">
          <cell r="B7" t="str">
            <v>Reporting Currency</v>
          </cell>
          <cell r="C7" t="str">
            <v>CURRENCY_ISO</v>
          </cell>
          <cell r="E7" t="str">
            <v>JPY</v>
          </cell>
        </row>
        <row r="8">
          <cell r="A8" t="str">
            <v>General Information</v>
          </cell>
        </row>
        <row r="9">
          <cell r="B9" t="str">
            <v>Analyst Yen/USD assumption</v>
          </cell>
          <cell r="C9" t="str">
            <v>ASS_YEN_PER_USD_FX</v>
          </cell>
          <cell r="E9">
            <v>145</v>
          </cell>
        </row>
        <row r="10">
          <cell r="B10" t="str">
            <v>Analyst Yen/Euro assumption</v>
          </cell>
          <cell r="C10" t="str">
            <v>ASS_YEN_PER_EUR_FX</v>
          </cell>
          <cell r="E10">
            <v>155</v>
          </cell>
        </row>
        <row r="11">
          <cell r="B11" t="str">
            <v>M&amp;A probability (1 = high, 3 = low)</v>
          </cell>
          <cell r="C11" t="str">
            <v>MA_PROB</v>
          </cell>
          <cell r="E11">
            <v>3</v>
          </cell>
        </row>
        <row r="12">
          <cell r="B12" t="str">
            <v>Analyst USD rate assumption vs reporting currency</v>
          </cell>
          <cell r="C12" t="str">
            <v>FX_USD_ASSUMPTION</v>
          </cell>
        </row>
        <row r="13">
          <cell r="B13" t="str">
            <v>Analyst EUR rate assumption vs reporting currency</v>
          </cell>
          <cell r="C13" t="str">
            <v>FX_EUR_ASSUMPTION</v>
          </cell>
        </row>
        <row r="14">
          <cell r="A14" t="str">
            <v>Publishing Items</v>
          </cell>
        </row>
        <row r="15">
          <cell r="B15" t="str">
            <v>COE Yen/USD</v>
          </cell>
          <cell r="C15" t="str">
            <v>COE_YEN_PER_US_AVG_FX_PUB</v>
          </cell>
          <cell r="BE15">
            <v>78</v>
          </cell>
          <cell r="BY15">
            <v>107</v>
          </cell>
        </row>
        <row r="16">
          <cell r="B16" t="str">
            <v>COE Yen/EUR</v>
          </cell>
          <cell r="C16" t="str">
            <v>COE_YEN_PER_EUR_AVG_FX_PUB</v>
          </cell>
          <cell r="BE16">
            <v>115</v>
          </cell>
          <cell r="BY16">
            <v>119</v>
          </cell>
        </row>
        <row r="17">
          <cell r="A17" t="str">
            <v>Income Statement</v>
          </cell>
        </row>
        <row r="18">
          <cell r="B18" t="str">
            <v>Sales, net revenue</v>
          </cell>
          <cell r="C18" t="str">
            <v>SALES</v>
          </cell>
          <cell r="D18" t="str">
            <v>JPY</v>
          </cell>
          <cell r="F18">
            <v>265639</v>
          </cell>
          <cell r="G18">
            <v>275936</v>
          </cell>
          <cell r="H18">
            <v>287835</v>
          </cell>
          <cell r="I18">
            <v>297551</v>
          </cell>
          <cell r="J18">
            <v>290877</v>
          </cell>
          <cell r="K18">
            <v>292540</v>
          </cell>
          <cell r="L18">
            <v>301081</v>
          </cell>
          <cell r="M18">
            <v>308462</v>
          </cell>
          <cell r="N18">
            <v>315279</v>
          </cell>
          <cell r="O18">
            <v>320032</v>
          </cell>
          <cell r="P18">
            <v>316972</v>
          </cell>
          <cell r="Q18">
            <v>321700</v>
          </cell>
          <cell r="V18">
            <v>358238</v>
          </cell>
          <cell r="AA18">
            <v>385469</v>
          </cell>
          <cell r="AF18">
            <v>362057</v>
          </cell>
          <cell r="AK18">
            <v>371178</v>
          </cell>
          <cell r="AP18">
            <v>374932</v>
          </cell>
          <cell r="AU18">
            <v>380674</v>
          </cell>
          <cell r="AZ18">
            <v>382793</v>
          </cell>
          <cell r="BE18">
            <v>417620</v>
          </cell>
          <cell r="BF18">
            <v>98396</v>
          </cell>
          <cell r="BG18">
            <v>103578</v>
          </cell>
          <cell r="BH18">
            <v>121975</v>
          </cell>
          <cell r="BI18">
            <v>107626</v>
          </cell>
          <cell r="BJ18">
            <v>431575</v>
          </cell>
          <cell r="BK18">
            <v>104396</v>
          </cell>
          <cell r="BL18">
            <v>113546</v>
          </cell>
          <cell r="BM18">
            <v>129594</v>
          </cell>
          <cell r="BN18">
            <v>120548</v>
          </cell>
          <cell r="BO18">
            <v>468084</v>
          </cell>
          <cell r="BP18">
            <v>115481</v>
          </cell>
          <cell r="BQ18">
            <v>120363</v>
          </cell>
          <cell r="BR18">
            <v>133994</v>
          </cell>
          <cell r="BS18">
            <v>125877</v>
          </cell>
          <cell r="BT18">
            <v>495715</v>
          </cell>
          <cell r="BY18">
            <v>516400</v>
          </cell>
          <cell r="CD18">
            <v>450984</v>
          </cell>
          <cell r="CI18">
            <v>468879</v>
          </cell>
          <cell r="CN18">
            <v>506107</v>
          </cell>
          <cell r="CS18">
            <v>569722</v>
          </cell>
          <cell r="CX18">
            <v>669248</v>
          </cell>
          <cell r="DC18">
            <v>734100</v>
          </cell>
          <cell r="DD18">
            <v>769900</v>
          </cell>
          <cell r="DE18">
            <v>804600</v>
          </cell>
          <cell r="DF18">
            <v>831200</v>
          </cell>
          <cell r="DG18">
            <v>854300</v>
          </cell>
        </row>
        <row r="19">
          <cell r="B19" t="str">
            <v>Cost of goods sold, COGS</v>
          </cell>
          <cell r="C19" t="str">
            <v>COST_GD_SD</v>
          </cell>
          <cell r="D19" t="str">
            <v>JPY</v>
          </cell>
          <cell r="F19">
            <v>-156686</v>
          </cell>
          <cell r="G19">
            <v>-155669</v>
          </cell>
          <cell r="H19">
            <v>-160231</v>
          </cell>
          <cell r="I19">
            <v>-162920</v>
          </cell>
          <cell r="J19">
            <v>-157871</v>
          </cell>
          <cell r="K19">
            <v>-150054</v>
          </cell>
          <cell r="L19">
            <v>-152651</v>
          </cell>
          <cell r="M19">
            <v>-157662</v>
          </cell>
          <cell r="N19">
            <v>-160258</v>
          </cell>
          <cell r="O19">
            <v>-161978</v>
          </cell>
          <cell r="P19">
            <v>-156876</v>
          </cell>
          <cell r="Q19">
            <v>-158209</v>
          </cell>
          <cell r="V19">
            <v>-175296</v>
          </cell>
          <cell r="AA19">
            <v>-195664</v>
          </cell>
          <cell r="AF19">
            <v>-202304</v>
          </cell>
          <cell r="AK19">
            <v>-203037</v>
          </cell>
          <cell r="AP19">
            <v>-203202</v>
          </cell>
          <cell r="AU19">
            <v>-213707</v>
          </cell>
          <cell r="AZ19">
            <v>-211346</v>
          </cell>
          <cell r="BE19">
            <v>-231309</v>
          </cell>
          <cell r="BJ19">
            <v>-242915</v>
          </cell>
          <cell r="BO19">
            <v>-260496</v>
          </cell>
          <cell r="BT19">
            <v>-270219</v>
          </cell>
          <cell r="BY19">
            <v>-282271</v>
          </cell>
          <cell r="CD19">
            <v>-295823</v>
          </cell>
          <cell r="CI19">
            <v>-301599</v>
          </cell>
          <cell r="CN19">
            <v>-324350</v>
          </cell>
          <cell r="CS19">
            <v>-375219</v>
          </cell>
          <cell r="CX19">
            <v>-448170</v>
          </cell>
          <cell r="DC19">
            <v>-493100</v>
          </cell>
          <cell r="DD19">
            <v>-514800</v>
          </cell>
          <cell r="DE19">
            <v>-538000</v>
          </cell>
          <cell r="DF19">
            <v>-553300</v>
          </cell>
          <cell r="DG19">
            <v>-566100</v>
          </cell>
        </row>
        <row r="20">
          <cell r="B20" t="str">
            <v>SG&amp;A, selling, general and admin. expense</v>
          </cell>
          <cell r="C20" t="str">
            <v>SEL_GL_AD</v>
          </cell>
          <cell r="D20" t="str">
            <v>JPY</v>
          </cell>
          <cell r="F20">
            <v>-89187</v>
          </cell>
          <cell r="G20">
            <v>-99385</v>
          </cell>
          <cell r="H20">
            <v>-104752</v>
          </cell>
          <cell r="I20">
            <v>-110781</v>
          </cell>
          <cell r="J20">
            <v>-108332</v>
          </cell>
          <cell r="K20">
            <v>-114854</v>
          </cell>
          <cell r="L20">
            <v>-121146</v>
          </cell>
          <cell r="M20">
            <v>-125983</v>
          </cell>
          <cell r="N20">
            <v>-128620</v>
          </cell>
          <cell r="O20">
            <v>-134850</v>
          </cell>
          <cell r="P20">
            <v>-131133</v>
          </cell>
          <cell r="Q20">
            <v>-131512</v>
          </cell>
          <cell r="V20">
            <v>-149207</v>
          </cell>
          <cell r="AA20">
            <v>-162133</v>
          </cell>
          <cell r="AF20">
            <v>-136200</v>
          </cell>
          <cell r="AK20">
            <v>-140799</v>
          </cell>
          <cell r="AP20">
            <v>-137192</v>
          </cell>
          <cell r="AU20">
            <v>-140755</v>
          </cell>
          <cell r="AZ20">
            <v>-147492</v>
          </cell>
          <cell r="BE20">
            <v>-158605</v>
          </cell>
          <cell r="BJ20">
            <v>-164358</v>
          </cell>
          <cell r="BO20">
            <v>-181188</v>
          </cell>
          <cell r="BT20">
            <v>-196878</v>
          </cell>
          <cell r="BY20">
            <v>-200016</v>
          </cell>
          <cell r="CD20">
            <v>-126283</v>
          </cell>
          <cell r="CI20">
            <v>-129485</v>
          </cell>
          <cell r="CN20">
            <v>-136590</v>
          </cell>
          <cell r="CS20">
            <v>-151518</v>
          </cell>
          <cell r="CX20">
            <v>-173823</v>
          </cell>
          <cell r="DC20">
            <v>-156900</v>
          </cell>
          <cell r="DD20">
            <v>-165300</v>
          </cell>
          <cell r="DE20">
            <v>-172900</v>
          </cell>
          <cell r="DF20">
            <v>-179100</v>
          </cell>
          <cell r="DG20">
            <v>-185000</v>
          </cell>
        </row>
        <row r="21">
          <cell r="B21" t="str">
            <v>Total operating expense</v>
          </cell>
          <cell r="C21" t="str">
            <v>OP_COST</v>
          </cell>
          <cell r="D21" t="str">
            <v>JPY</v>
          </cell>
          <cell r="F21">
            <v>-245873</v>
          </cell>
          <cell r="G21">
            <v>-255054</v>
          </cell>
          <cell r="H21">
            <v>-264983</v>
          </cell>
          <cell r="I21">
            <v>-273701</v>
          </cell>
          <cell r="J21">
            <v>-266203</v>
          </cell>
          <cell r="K21">
            <v>-264908</v>
          </cell>
          <cell r="L21">
            <v>-273797</v>
          </cell>
          <cell r="M21">
            <v>-283645</v>
          </cell>
          <cell r="N21">
            <v>-288878</v>
          </cell>
          <cell r="O21">
            <v>-296828</v>
          </cell>
          <cell r="P21">
            <v>-288009</v>
          </cell>
          <cell r="Q21">
            <v>-289721</v>
          </cell>
          <cell r="V21">
            <v>-324503</v>
          </cell>
          <cell r="AA21">
            <v>-357797</v>
          </cell>
          <cell r="AF21">
            <v>-338504</v>
          </cell>
          <cell r="AK21">
            <v>-343836</v>
          </cell>
          <cell r="AP21">
            <v>-340394</v>
          </cell>
          <cell r="AU21">
            <v>-354462</v>
          </cell>
          <cell r="AZ21">
            <v>-358838</v>
          </cell>
          <cell r="BE21">
            <v>-389914</v>
          </cell>
          <cell r="BJ21">
            <v>-407273</v>
          </cell>
          <cell r="BO21">
            <v>-441684</v>
          </cell>
          <cell r="BT21">
            <v>-467097</v>
          </cell>
          <cell r="BY21">
            <v>-482287</v>
          </cell>
          <cell r="CD21">
            <v>-422106</v>
          </cell>
          <cell r="CI21">
            <v>-431084</v>
          </cell>
          <cell r="CN21">
            <v>-460940</v>
          </cell>
          <cell r="CS21">
            <v>-526737</v>
          </cell>
          <cell r="CX21">
            <v>-621993</v>
          </cell>
          <cell r="DC21">
            <v>-650000</v>
          </cell>
          <cell r="DD21">
            <v>-680100</v>
          </cell>
          <cell r="DE21">
            <v>-710900</v>
          </cell>
          <cell r="DF21">
            <v>-732400</v>
          </cell>
          <cell r="DG21">
            <v>-751100</v>
          </cell>
        </row>
        <row r="22">
          <cell r="B22" t="str">
            <v>R&amp;D expense</v>
          </cell>
          <cell r="C22" t="str">
            <v>RD_EXP</v>
          </cell>
          <cell r="D22" t="str">
            <v>JPY</v>
          </cell>
        </row>
        <row r="23">
          <cell r="B23" t="str">
            <v>Other operating income/(expense) (incl. leases)</v>
          </cell>
          <cell r="C23" t="str">
            <v>OTH_OP_INC_EXP</v>
          </cell>
          <cell r="D23" t="str">
            <v>JPY</v>
          </cell>
          <cell r="F23">
            <v>0</v>
          </cell>
          <cell r="G23">
            <v>-1</v>
          </cell>
          <cell r="H23">
            <v>-1</v>
          </cell>
          <cell r="I23">
            <v>-1</v>
          </cell>
          <cell r="J23">
            <v>0</v>
          </cell>
          <cell r="K23">
            <v>-1</v>
          </cell>
          <cell r="L23">
            <v>-1</v>
          </cell>
          <cell r="M23">
            <v>-1</v>
          </cell>
          <cell r="N23">
            <v>-1</v>
          </cell>
          <cell r="O23">
            <v>-1</v>
          </cell>
          <cell r="P23">
            <v>-1</v>
          </cell>
          <cell r="Q23">
            <v>0</v>
          </cell>
          <cell r="V23">
            <v>-1</v>
          </cell>
          <cell r="AA23">
            <v>-1</v>
          </cell>
          <cell r="AF23">
            <v>-1</v>
          </cell>
          <cell r="AK23">
            <v>-1</v>
          </cell>
          <cell r="AP23">
            <v>-1</v>
          </cell>
          <cell r="AU23">
            <v>-1</v>
          </cell>
          <cell r="AZ23">
            <v>-1</v>
          </cell>
          <cell r="BE23">
            <v>-1</v>
          </cell>
          <cell r="BJ23">
            <v>0</v>
          </cell>
          <cell r="BO23">
            <v>0</v>
          </cell>
          <cell r="BT23">
            <v>0</v>
          </cell>
          <cell r="BY23">
            <v>0</v>
          </cell>
          <cell r="CD23">
            <v>90</v>
          </cell>
          <cell r="CI23">
            <v>3458</v>
          </cell>
          <cell r="CN23">
            <v>4930</v>
          </cell>
          <cell r="CS23">
            <v>-26</v>
          </cell>
          <cell r="CX23">
            <v>384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</row>
        <row r="24">
          <cell r="B24" t="str">
            <v>Total operating expense (incl. D&amp;A)</v>
          </cell>
          <cell r="C24" t="str">
            <v>TOT_OPS_EXP_DDA</v>
          </cell>
          <cell r="D24" t="str">
            <v>JPY</v>
          </cell>
          <cell r="F24">
            <v>-245873</v>
          </cell>
          <cell r="G24">
            <v>-255055</v>
          </cell>
          <cell r="H24">
            <v>-264984</v>
          </cell>
          <cell r="I24">
            <v>-273702</v>
          </cell>
          <cell r="J24">
            <v>-266203</v>
          </cell>
          <cell r="K24">
            <v>-264909</v>
          </cell>
          <cell r="L24">
            <v>-273798</v>
          </cell>
          <cell r="M24">
            <v>-283646</v>
          </cell>
          <cell r="N24">
            <v>-288879</v>
          </cell>
          <cell r="O24">
            <v>-296829</v>
          </cell>
          <cell r="P24">
            <v>-288010</v>
          </cell>
          <cell r="Q24">
            <v>-289721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-324504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-357798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-338505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-343837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-340395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-354463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-358839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-389915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-407273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-441684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-467097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-482287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-422016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-427626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-456010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-526763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-621609</v>
          </cell>
          <cell r="DC24">
            <v>-650000</v>
          </cell>
          <cell r="DD24">
            <v>-680100</v>
          </cell>
          <cell r="DE24">
            <v>-710900</v>
          </cell>
          <cell r="DF24">
            <v>-732400</v>
          </cell>
          <cell r="DG24">
            <v>-751100</v>
          </cell>
        </row>
        <row r="25">
          <cell r="B25" t="str">
            <v>Total operating expense (excl. D&amp;A)</v>
          </cell>
          <cell r="C25" t="str">
            <v>TOT_OPS_EXP</v>
          </cell>
          <cell r="D25" t="str">
            <v>JPY</v>
          </cell>
          <cell r="F25">
            <v>-244911</v>
          </cell>
          <cell r="G25">
            <v>-254172</v>
          </cell>
          <cell r="H25">
            <v>-264099</v>
          </cell>
          <cell r="I25">
            <v>-272876</v>
          </cell>
          <cell r="J25">
            <v>-260927</v>
          </cell>
          <cell r="K25">
            <v>-256832</v>
          </cell>
          <cell r="L25">
            <v>-266214</v>
          </cell>
          <cell r="M25">
            <v>-276423</v>
          </cell>
          <cell r="N25">
            <v>-281420</v>
          </cell>
          <cell r="O25">
            <v>-289751</v>
          </cell>
          <cell r="P25">
            <v>-281336</v>
          </cell>
          <cell r="Q25">
            <v>-283745</v>
          </cell>
          <cell r="V25">
            <v>-318317</v>
          </cell>
          <cell r="AA25">
            <v>-350272</v>
          </cell>
          <cell r="AF25">
            <v>-330532</v>
          </cell>
          <cell r="AK25">
            <v>-334260</v>
          </cell>
          <cell r="AP25">
            <v>-327568</v>
          </cell>
          <cell r="AU25">
            <v>-339508</v>
          </cell>
          <cell r="AZ25">
            <v>-344495</v>
          </cell>
          <cell r="BE25">
            <v>-375399</v>
          </cell>
          <cell r="BJ25">
            <v>-391834</v>
          </cell>
          <cell r="BO25">
            <v>-423350.25</v>
          </cell>
          <cell r="BT25">
            <v>-449864.44550000003</v>
          </cell>
          <cell r="BY25">
            <v>-462472.74450000003</v>
          </cell>
          <cell r="CD25">
            <v>-401712</v>
          </cell>
          <cell r="CI25">
            <v>-400802.22899999999</v>
          </cell>
          <cell r="CN25">
            <v>-429144.45</v>
          </cell>
          <cell r="CS25">
            <v>-497431.147</v>
          </cell>
          <cell r="CX25">
            <v>-591911</v>
          </cell>
          <cell r="DC25">
            <v>-619400</v>
          </cell>
          <cell r="DD25">
            <v>-647300</v>
          </cell>
          <cell r="DE25">
            <v>-675300</v>
          </cell>
          <cell r="DF25">
            <v>-694300</v>
          </cell>
          <cell r="DG25">
            <v>-710300</v>
          </cell>
        </row>
        <row r="26">
          <cell r="B26" t="str">
            <v>EBITDA</v>
          </cell>
          <cell r="C26" t="str">
            <v>EBITDA_CALC</v>
          </cell>
          <cell r="D26" t="str">
            <v>JPY</v>
          </cell>
          <cell r="F26">
            <v>20728</v>
          </cell>
          <cell r="G26">
            <v>21764</v>
          </cell>
          <cell r="H26">
            <v>23736</v>
          </cell>
          <cell r="I26">
            <v>24675</v>
          </cell>
          <cell r="J26">
            <v>29950</v>
          </cell>
          <cell r="K26">
            <v>35708</v>
          </cell>
          <cell r="L26">
            <v>34867</v>
          </cell>
          <cell r="M26">
            <v>32039</v>
          </cell>
          <cell r="N26">
            <v>33859</v>
          </cell>
          <cell r="O26">
            <v>30281</v>
          </cell>
          <cell r="P26">
            <v>35636</v>
          </cell>
          <cell r="Q26">
            <v>37955</v>
          </cell>
          <cell r="V26">
            <v>39921</v>
          </cell>
          <cell r="AA26">
            <v>35197</v>
          </cell>
          <cell r="AF26">
            <v>31525</v>
          </cell>
          <cell r="AK26">
            <v>36918</v>
          </cell>
          <cell r="AP26">
            <v>47364</v>
          </cell>
          <cell r="AU26">
            <v>41166</v>
          </cell>
          <cell r="AZ26">
            <v>38298</v>
          </cell>
          <cell r="BE26">
            <v>42221</v>
          </cell>
          <cell r="BJ26">
            <v>39741</v>
          </cell>
          <cell r="BO26">
            <v>44733.75</v>
          </cell>
          <cell r="BT26">
            <v>45850.554499999969</v>
          </cell>
          <cell r="BY26">
            <v>53927.25549999997</v>
          </cell>
          <cell r="CD26">
            <v>49272</v>
          </cell>
          <cell r="CI26">
            <v>68076.771000000008</v>
          </cell>
          <cell r="CN26">
            <v>79247.55</v>
          </cell>
          <cell r="CS26">
            <v>78890.853000000003</v>
          </cell>
          <cell r="CX26">
            <v>89890</v>
          </cell>
          <cell r="DC26">
            <v>114700</v>
          </cell>
          <cell r="DD26">
            <v>122600</v>
          </cell>
          <cell r="DE26">
            <v>129300</v>
          </cell>
          <cell r="DF26">
            <v>136900</v>
          </cell>
          <cell r="DG26">
            <v>144000</v>
          </cell>
        </row>
        <row r="27">
          <cell r="B27" t="str">
            <v>Depreciation</v>
          </cell>
          <cell r="C27" t="str">
            <v>DEPREC</v>
          </cell>
          <cell r="D27" t="str">
            <v>JPY</v>
          </cell>
          <cell r="F27">
            <v>-962</v>
          </cell>
          <cell r="G27">
            <v>-883</v>
          </cell>
          <cell r="H27">
            <v>-885</v>
          </cell>
          <cell r="I27">
            <v>-826</v>
          </cell>
          <cell r="J27">
            <v>-5276</v>
          </cell>
          <cell r="K27">
            <v>-8077</v>
          </cell>
          <cell r="L27">
            <v>-7584</v>
          </cell>
          <cell r="M27">
            <v>-7223</v>
          </cell>
          <cell r="N27">
            <v>-7459</v>
          </cell>
          <cell r="O27">
            <v>-7078</v>
          </cell>
          <cell r="P27">
            <v>-6674</v>
          </cell>
          <cell r="Q27">
            <v>-5976</v>
          </cell>
          <cell r="V27">
            <v>-6187</v>
          </cell>
          <cell r="AA27">
            <v>-7526</v>
          </cell>
          <cell r="AF27">
            <v>-7973</v>
          </cell>
          <cell r="AK27">
            <v>-9577</v>
          </cell>
          <cell r="AP27">
            <v>-12827</v>
          </cell>
          <cell r="AU27">
            <v>-14955</v>
          </cell>
          <cell r="AZ27">
            <v>-14344</v>
          </cell>
          <cell r="BE27">
            <v>-14516</v>
          </cell>
          <cell r="BJ27">
            <v>-15439</v>
          </cell>
          <cell r="BO27">
            <v>-17499</v>
          </cell>
          <cell r="BT27">
            <v>-15400</v>
          </cell>
          <cell r="BY27">
            <v>-17896</v>
          </cell>
          <cell r="CD27">
            <v>-20304</v>
          </cell>
          <cell r="CI27">
            <v>-25191</v>
          </cell>
          <cell r="CN27">
            <v>-25363</v>
          </cell>
          <cell r="CS27">
            <v>-28240</v>
          </cell>
          <cell r="CX27">
            <v>-29198</v>
          </cell>
          <cell r="DC27">
            <v>-30100</v>
          </cell>
          <cell r="DD27">
            <v>-32300</v>
          </cell>
          <cell r="DE27">
            <v>-35100</v>
          </cell>
          <cell r="DF27">
            <v>-37600</v>
          </cell>
          <cell r="DG27">
            <v>-40300</v>
          </cell>
        </row>
        <row r="28">
          <cell r="B28" t="str">
            <v>Amortization</v>
          </cell>
          <cell r="C28" t="str">
            <v>GOODWILL_AMORT</v>
          </cell>
          <cell r="D28" t="str">
            <v>JPY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V28">
            <v>0</v>
          </cell>
          <cell r="AA28">
            <v>0</v>
          </cell>
          <cell r="AF28">
            <v>0</v>
          </cell>
          <cell r="AK28">
            <v>0</v>
          </cell>
          <cell r="AP28">
            <v>0</v>
          </cell>
          <cell r="AU28">
            <v>0</v>
          </cell>
          <cell r="AZ28">
            <v>0</v>
          </cell>
          <cell r="BE28">
            <v>0</v>
          </cell>
          <cell r="BJ28">
            <v>0</v>
          </cell>
          <cell r="BO28">
            <v>-834.75</v>
          </cell>
          <cell r="BT28">
            <v>-1832.5545</v>
          </cell>
          <cell r="BY28">
            <v>-1918.2555</v>
          </cell>
          <cell r="CD28">
            <v>0</v>
          </cell>
          <cell r="CI28">
            <v>-1632.771</v>
          </cell>
          <cell r="CN28">
            <v>-1502.55</v>
          </cell>
          <cell r="CS28">
            <v>-1091.8530000000001</v>
          </cell>
          <cell r="CX28">
            <v>-500</v>
          </cell>
          <cell r="DC28">
            <v>-500</v>
          </cell>
          <cell r="DD28">
            <v>-500</v>
          </cell>
          <cell r="DE28">
            <v>-500</v>
          </cell>
          <cell r="DF28">
            <v>-500</v>
          </cell>
          <cell r="DG28">
            <v>-500</v>
          </cell>
        </row>
        <row r="29">
          <cell r="B29" t="str">
            <v>EBIT, operating profit</v>
          </cell>
          <cell r="C29" t="str">
            <v>EBIT</v>
          </cell>
          <cell r="D29" t="str">
            <v>JPY</v>
          </cell>
          <cell r="F29">
            <v>19766</v>
          </cell>
          <cell r="G29">
            <v>20881</v>
          </cell>
          <cell r="H29">
            <v>22851</v>
          </cell>
          <cell r="I29">
            <v>23849</v>
          </cell>
          <cell r="J29">
            <v>24674</v>
          </cell>
          <cell r="K29">
            <v>27631</v>
          </cell>
          <cell r="L29">
            <v>27283</v>
          </cell>
          <cell r="M29">
            <v>24816</v>
          </cell>
          <cell r="N29">
            <v>26400</v>
          </cell>
          <cell r="O29">
            <v>23203</v>
          </cell>
          <cell r="P29">
            <v>28962</v>
          </cell>
          <cell r="Q29">
            <v>31979</v>
          </cell>
          <cell r="V29">
            <v>33734</v>
          </cell>
          <cell r="AA29">
            <v>27671</v>
          </cell>
          <cell r="AF29">
            <v>23552</v>
          </cell>
          <cell r="AK29">
            <v>27341</v>
          </cell>
          <cell r="AP29">
            <v>34537</v>
          </cell>
          <cell r="AU29">
            <v>26211</v>
          </cell>
          <cell r="AZ29">
            <v>23954</v>
          </cell>
          <cell r="BE29">
            <v>27705</v>
          </cell>
          <cell r="BJ29">
            <v>24302</v>
          </cell>
          <cell r="BO29">
            <v>26400</v>
          </cell>
          <cell r="BT29">
            <v>28618</v>
          </cell>
          <cell r="BY29">
            <v>34113</v>
          </cell>
          <cell r="CD29">
            <v>28968</v>
          </cell>
          <cell r="CI29">
            <v>41253</v>
          </cell>
          <cell r="CN29">
            <v>52382</v>
          </cell>
          <cell r="CS29">
            <v>49559</v>
          </cell>
          <cell r="CX29">
            <v>60192</v>
          </cell>
          <cell r="DC29">
            <v>84100</v>
          </cell>
          <cell r="DD29">
            <v>89800</v>
          </cell>
          <cell r="DE29">
            <v>93700</v>
          </cell>
          <cell r="DF29">
            <v>98800</v>
          </cell>
          <cell r="DG29">
            <v>103200</v>
          </cell>
        </row>
        <row r="30">
          <cell r="B30" t="str">
            <v>Interest income</v>
          </cell>
          <cell r="C30" t="str">
            <v>INT_INC_IND</v>
          </cell>
          <cell r="D30" t="str">
            <v>JPY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V30">
            <v>1498</v>
          </cell>
          <cell r="AA30">
            <v>1774</v>
          </cell>
          <cell r="AF30">
            <v>1761</v>
          </cell>
          <cell r="AK30">
            <v>1316</v>
          </cell>
          <cell r="AP30">
            <v>1023</v>
          </cell>
          <cell r="AU30">
            <v>927</v>
          </cell>
          <cell r="AZ30">
            <v>837</v>
          </cell>
          <cell r="BE30">
            <v>1084</v>
          </cell>
          <cell r="BJ30">
            <v>889</v>
          </cell>
          <cell r="BO30">
            <v>932</v>
          </cell>
          <cell r="BT30">
            <v>811</v>
          </cell>
          <cell r="BY30">
            <v>1163</v>
          </cell>
          <cell r="CD30">
            <v>2525</v>
          </cell>
          <cell r="CI30">
            <v>2544</v>
          </cell>
          <cell r="CN30">
            <v>1895</v>
          </cell>
          <cell r="CS30">
            <v>3071</v>
          </cell>
          <cell r="CX30">
            <v>3256</v>
          </cell>
          <cell r="DC30">
            <v>3000</v>
          </cell>
          <cell r="DD30">
            <v>2300</v>
          </cell>
          <cell r="DE30">
            <v>1700</v>
          </cell>
          <cell r="DF30">
            <v>1100</v>
          </cell>
          <cell r="DG30">
            <v>900</v>
          </cell>
        </row>
        <row r="31">
          <cell r="B31" t="str">
            <v>Interest expense</v>
          </cell>
          <cell r="C31" t="str">
            <v>INT_EXP_IND</v>
          </cell>
          <cell r="D31" t="str">
            <v>JPY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-183</v>
          </cell>
          <cell r="L31">
            <v>-150</v>
          </cell>
          <cell r="M31">
            <v>-127</v>
          </cell>
          <cell r="N31">
            <v>-48</v>
          </cell>
          <cell r="O31">
            <v>-53</v>
          </cell>
          <cell r="P31">
            <v>-43</v>
          </cell>
          <cell r="Q31">
            <v>-40</v>
          </cell>
          <cell r="V31">
            <v>-48</v>
          </cell>
          <cell r="AA31">
            <v>-60</v>
          </cell>
          <cell r="AF31">
            <v>-83</v>
          </cell>
          <cell r="AK31">
            <v>-198</v>
          </cell>
          <cell r="AP31">
            <v>-214</v>
          </cell>
          <cell r="AU31">
            <v>-217</v>
          </cell>
          <cell r="AZ31">
            <v>-213</v>
          </cell>
          <cell r="BE31">
            <v>-250</v>
          </cell>
          <cell r="BJ31">
            <v>-247</v>
          </cell>
          <cell r="BO31">
            <v>-343</v>
          </cell>
          <cell r="BT31">
            <v>-356</v>
          </cell>
          <cell r="BY31">
            <v>-432</v>
          </cell>
          <cell r="CD31">
            <v>-326</v>
          </cell>
          <cell r="CI31">
            <v>-1147</v>
          </cell>
          <cell r="CN31">
            <v>-1193</v>
          </cell>
          <cell r="CS31">
            <v>-503</v>
          </cell>
          <cell r="CX31">
            <v>-943</v>
          </cell>
          <cell r="DC31">
            <v>-500</v>
          </cell>
          <cell r="DD31">
            <v>-500</v>
          </cell>
          <cell r="DE31">
            <v>-500</v>
          </cell>
          <cell r="DF31">
            <v>-500</v>
          </cell>
          <cell r="DG31">
            <v>-500</v>
          </cell>
        </row>
        <row r="32">
          <cell r="B32" t="str">
            <v>Net interest income/(expense)</v>
          </cell>
          <cell r="C32" t="str">
            <v>NET_INT_EXP</v>
          </cell>
          <cell r="D32" t="str">
            <v>JPY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-183</v>
          </cell>
          <cell r="L32">
            <v>-150</v>
          </cell>
          <cell r="M32">
            <v>-127</v>
          </cell>
          <cell r="N32">
            <v>-48</v>
          </cell>
          <cell r="O32">
            <v>-53</v>
          </cell>
          <cell r="P32">
            <v>-43</v>
          </cell>
          <cell r="Q32">
            <v>-40</v>
          </cell>
          <cell r="V32">
            <v>1450</v>
          </cell>
          <cell r="AA32">
            <v>1714</v>
          </cell>
          <cell r="AF32">
            <v>1678</v>
          </cell>
          <cell r="AK32">
            <v>1118</v>
          </cell>
          <cell r="AP32">
            <v>809</v>
          </cell>
          <cell r="AU32">
            <v>710</v>
          </cell>
          <cell r="AZ32">
            <v>624</v>
          </cell>
          <cell r="BE32">
            <v>834</v>
          </cell>
          <cell r="BJ32">
            <v>642</v>
          </cell>
          <cell r="BO32">
            <v>589</v>
          </cell>
          <cell r="BT32">
            <v>455</v>
          </cell>
          <cell r="BY32">
            <v>731</v>
          </cell>
          <cell r="CD32">
            <v>2199</v>
          </cell>
          <cell r="CI32">
            <v>1397</v>
          </cell>
          <cell r="CN32">
            <v>702</v>
          </cell>
          <cell r="CS32">
            <v>2568</v>
          </cell>
          <cell r="CX32">
            <v>2313</v>
          </cell>
          <cell r="DC32">
            <v>2500</v>
          </cell>
          <cell r="DD32">
            <v>1800</v>
          </cell>
          <cell r="DE32">
            <v>1200</v>
          </cell>
          <cell r="DF32">
            <v>600</v>
          </cell>
          <cell r="DG32">
            <v>400</v>
          </cell>
        </row>
        <row r="33">
          <cell r="B33" t="str">
            <v>Income/(loss) from unconsolidated subs &amp; associates</v>
          </cell>
          <cell r="C33" t="str">
            <v>ASSOCIATE</v>
          </cell>
          <cell r="D33" t="str">
            <v>JPY</v>
          </cell>
          <cell r="F33">
            <v>-612</v>
          </cell>
          <cell r="G33">
            <v>-640</v>
          </cell>
          <cell r="H33">
            <v>-684</v>
          </cell>
          <cell r="I33">
            <v>1113</v>
          </cell>
          <cell r="J33">
            <v>0</v>
          </cell>
          <cell r="K33">
            <v>583</v>
          </cell>
          <cell r="L33">
            <v>611</v>
          </cell>
          <cell r="M33">
            <v>525</v>
          </cell>
          <cell r="N33">
            <v>290</v>
          </cell>
          <cell r="O33">
            <v>317</v>
          </cell>
          <cell r="P33">
            <v>427</v>
          </cell>
          <cell r="Q33">
            <v>485</v>
          </cell>
          <cell r="V33">
            <v>475</v>
          </cell>
          <cell r="AA33">
            <v>1201</v>
          </cell>
          <cell r="AF33">
            <v>765</v>
          </cell>
          <cell r="AK33">
            <v>1471</v>
          </cell>
          <cell r="AP33">
            <v>1510</v>
          </cell>
          <cell r="AU33">
            <v>1146</v>
          </cell>
          <cell r="AZ33">
            <v>1888</v>
          </cell>
          <cell r="BE33">
            <v>2153</v>
          </cell>
          <cell r="BJ33">
            <v>2929</v>
          </cell>
          <cell r="BO33">
            <v>2781</v>
          </cell>
          <cell r="BT33">
            <v>1687</v>
          </cell>
          <cell r="BY33">
            <v>2680</v>
          </cell>
          <cell r="CD33">
            <v>0</v>
          </cell>
          <cell r="CI33">
            <v>0</v>
          </cell>
          <cell r="CN33">
            <v>0</v>
          </cell>
          <cell r="CS33">
            <v>0</v>
          </cell>
          <cell r="CX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</row>
        <row r="34">
          <cell r="B34" t="str">
            <v>Profit/(loss) on disposals of assets, pre-tax</v>
          </cell>
          <cell r="C34" t="str">
            <v>PROFIT_ON_DISP</v>
          </cell>
          <cell r="D34" t="str">
            <v>JPY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V34">
            <v>0</v>
          </cell>
          <cell r="AA34">
            <v>0</v>
          </cell>
          <cell r="AF34">
            <v>0</v>
          </cell>
          <cell r="AK34">
            <v>0</v>
          </cell>
          <cell r="AP34">
            <v>0</v>
          </cell>
          <cell r="AU34">
            <v>0</v>
          </cell>
          <cell r="AZ34">
            <v>0</v>
          </cell>
          <cell r="BE34">
            <v>0</v>
          </cell>
          <cell r="BJ34">
            <v>0</v>
          </cell>
          <cell r="BO34">
            <v>0</v>
          </cell>
          <cell r="BT34">
            <v>0</v>
          </cell>
          <cell r="BY34">
            <v>0</v>
          </cell>
          <cell r="CD34">
            <v>0</v>
          </cell>
          <cell r="CI34">
            <v>0</v>
          </cell>
          <cell r="CN34">
            <v>0</v>
          </cell>
          <cell r="CS34">
            <v>0</v>
          </cell>
          <cell r="CX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</row>
        <row r="35">
          <cell r="B35" t="str">
            <v>Other non-ops income/(expense)</v>
          </cell>
          <cell r="C35" t="str">
            <v>OTH_COST_INC</v>
          </cell>
          <cell r="D35" t="str">
            <v>JPY</v>
          </cell>
          <cell r="F35">
            <v>1557</v>
          </cell>
          <cell r="G35">
            <v>2153</v>
          </cell>
          <cell r="H35">
            <v>-500</v>
          </cell>
          <cell r="I35">
            <v>-8575</v>
          </cell>
          <cell r="J35">
            <v>-5607</v>
          </cell>
          <cell r="K35">
            <v>-379</v>
          </cell>
          <cell r="L35">
            <v>-2848</v>
          </cell>
          <cell r="M35">
            <v>-5140</v>
          </cell>
          <cell r="N35">
            <v>-1122</v>
          </cell>
          <cell r="O35">
            <v>1238</v>
          </cell>
          <cell r="P35">
            <v>-2274</v>
          </cell>
          <cell r="Q35">
            <v>-2613</v>
          </cell>
          <cell r="V35">
            <v>-2081</v>
          </cell>
          <cell r="AA35">
            <v>-2898</v>
          </cell>
          <cell r="AF35">
            <v>-2623</v>
          </cell>
          <cell r="AK35">
            <v>1224</v>
          </cell>
          <cell r="AP35">
            <v>-2173</v>
          </cell>
          <cell r="AU35">
            <v>3553</v>
          </cell>
          <cell r="AZ35">
            <v>2926</v>
          </cell>
          <cell r="BE35">
            <v>1033</v>
          </cell>
          <cell r="BJ35">
            <v>1141</v>
          </cell>
          <cell r="BO35">
            <v>7208</v>
          </cell>
          <cell r="BT35">
            <v>4757</v>
          </cell>
          <cell r="BY35">
            <v>1</v>
          </cell>
          <cell r="CD35">
            <v>-1</v>
          </cell>
          <cell r="CI35">
            <v>0</v>
          </cell>
          <cell r="CN35">
            <v>3149</v>
          </cell>
          <cell r="CS35">
            <v>-2945</v>
          </cell>
          <cell r="CX35">
            <v>-4555</v>
          </cell>
          <cell r="DC35">
            <v>-5000</v>
          </cell>
          <cell r="DD35">
            <v>-5000</v>
          </cell>
          <cell r="DE35">
            <v>-5000</v>
          </cell>
          <cell r="DF35">
            <v>-5000</v>
          </cell>
          <cell r="DG35">
            <v>-5000</v>
          </cell>
        </row>
        <row r="36">
          <cell r="B36" t="str">
            <v>Pre-tax profit</v>
          </cell>
          <cell r="C36" t="str">
            <v>PT_PROF</v>
          </cell>
          <cell r="D36" t="str">
            <v>JPY</v>
          </cell>
          <cell r="F36">
            <v>20711</v>
          </cell>
          <cell r="G36">
            <v>22394</v>
          </cell>
          <cell r="H36">
            <v>21667</v>
          </cell>
          <cell r="I36">
            <v>16387</v>
          </cell>
          <cell r="J36">
            <v>19067</v>
          </cell>
          <cell r="K36">
            <v>27652</v>
          </cell>
          <cell r="L36">
            <v>24896</v>
          </cell>
          <cell r="M36">
            <v>20074</v>
          </cell>
          <cell r="N36">
            <v>25520</v>
          </cell>
          <cell r="O36">
            <v>24705</v>
          </cell>
          <cell r="P36">
            <v>27072</v>
          </cell>
          <cell r="Q36">
            <v>29811</v>
          </cell>
          <cell r="V36">
            <v>33578</v>
          </cell>
          <cell r="AA36">
            <v>27688</v>
          </cell>
          <cell r="AF36">
            <v>23372</v>
          </cell>
          <cell r="AK36">
            <v>31154</v>
          </cell>
          <cell r="AP36">
            <v>34683</v>
          </cell>
          <cell r="AU36">
            <v>31620</v>
          </cell>
          <cell r="AZ36">
            <v>29392</v>
          </cell>
          <cell r="BE36">
            <v>31725</v>
          </cell>
          <cell r="BJ36">
            <v>29014</v>
          </cell>
          <cell r="BO36">
            <v>36978</v>
          </cell>
          <cell r="BT36">
            <v>35517</v>
          </cell>
          <cell r="BY36">
            <v>37525</v>
          </cell>
          <cell r="CD36">
            <v>31166</v>
          </cell>
          <cell r="CI36">
            <v>42650</v>
          </cell>
          <cell r="CN36">
            <v>56233</v>
          </cell>
          <cell r="CS36">
            <v>49182</v>
          </cell>
          <cell r="CX36">
            <v>57950</v>
          </cell>
          <cell r="DC36">
            <v>81600</v>
          </cell>
          <cell r="DD36">
            <v>86600</v>
          </cell>
          <cell r="DE36">
            <v>89900</v>
          </cell>
          <cell r="DF36">
            <v>94400</v>
          </cell>
          <cell r="DG36">
            <v>98600</v>
          </cell>
        </row>
        <row r="37">
          <cell r="A37" t="str">
            <v>Additional Income Statement Items</v>
          </cell>
        </row>
        <row r="38">
          <cell r="B38" t="str">
            <v>Contribution margin ratio</v>
          </cell>
          <cell r="C38" t="str">
            <v>CONTRIB_MARGIN_RATIO</v>
          </cell>
          <cell r="D38" t="str">
            <v>JPY</v>
          </cell>
        </row>
        <row r="39">
          <cell r="B39" t="str">
            <v>Organic sales growth (excl. acquisitions)</v>
          </cell>
          <cell r="C39" t="str">
            <v>ORG_REV_GRTH</v>
          </cell>
          <cell r="AZ39">
            <v>5.5664426779868936E-3</v>
          </cell>
          <cell r="BE39">
            <v>9.0981287536605837E-2</v>
          </cell>
        </row>
        <row r="40">
          <cell r="B40" t="str">
            <v>Operating lease cost</v>
          </cell>
          <cell r="C40" t="str">
            <v>LEASE_PAY</v>
          </cell>
          <cell r="D40" t="str">
            <v>JPY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V40">
            <v>0</v>
          </cell>
          <cell r="AA40">
            <v>0</v>
          </cell>
          <cell r="AF40">
            <v>0</v>
          </cell>
          <cell r="AK40">
            <v>0</v>
          </cell>
          <cell r="AP40">
            <v>0</v>
          </cell>
          <cell r="AU40">
            <v>0</v>
          </cell>
          <cell r="AZ40">
            <v>0</v>
          </cell>
          <cell r="BE40">
            <v>0</v>
          </cell>
          <cell r="BJ40">
            <v>0</v>
          </cell>
          <cell r="BO40">
            <v>0</v>
          </cell>
          <cell r="BT40">
            <v>0</v>
          </cell>
          <cell r="BY40">
            <v>0</v>
          </cell>
          <cell r="CD40">
            <v>0</v>
          </cell>
          <cell r="CI40">
            <v>0</v>
          </cell>
          <cell r="CN40">
            <v>0</v>
          </cell>
          <cell r="CS40">
            <v>0</v>
          </cell>
          <cell r="CX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</row>
        <row r="41">
          <cell r="B41" t="str">
            <v>Lease payments (deemed interest portion)</v>
          </cell>
          <cell r="C41" t="str">
            <v>LEASE_DEEM_INT</v>
          </cell>
          <cell r="D41" t="str">
            <v>JPY</v>
          </cell>
        </row>
        <row r="42">
          <cell r="B42" t="str">
            <v>Lease payments (deemed depreciation portion)</v>
          </cell>
          <cell r="C42" t="str">
            <v>LEASE_DEEM_DEPR</v>
          </cell>
          <cell r="D42" t="str">
            <v>JPY</v>
          </cell>
        </row>
        <row r="43">
          <cell r="B43" t="str">
            <v>Gross interest charge</v>
          </cell>
          <cell r="C43" t="str">
            <v>NET_INT_CH</v>
          </cell>
          <cell r="D43" t="str">
            <v>JPY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-183</v>
          </cell>
          <cell r="L43">
            <v>-150</v>
          </cell>
          <cell r="M43">
            <v>-127</v>
          </cell>
          <cell r="N43">
            <v>-48</v>
          </cell>
          <cell r="O43">
            <v>-53</v>
          </cell>
          <cell r="P43">
            <v>-43</v>
          </cell>
          <cell r="Q43">
            <v>-40</v>
          </cell>
          <cell r="V43">
            <v>-48</v>
          </cell>
          <cell r="AA43">
            <v>-60</v>
          </cell>
          <cell r="AF43">
            <v>-83</v>
          </cell>
          <cell r="AK43">
            <v>-198</v>
          </cell>
          <cell r="AP43">
            <v>-214</v>
          </cell>
          <cell r="AU43">
            <v>-217</v>
          </cell>
          <cell r="AZ43">
            <v>-213</v>
          </cell>
          <cell r="BE43">
            <v>-250</v>
          </cell>
          <cell r="BJ43">
            <v>-247</v>
          </cell>
          <cell r="BO43">
            <v>-343</v>
          </cell>
          <cell r="BT43">
            <v>-356</v>
          </cell>
          <cell r="BY43">
            <v>-432</v>
          </cell>
          <cell r="CD43">
            <v>-326</v>
          </cell>
          <cell r="CI43">
            <v>-1147</v>
          </cell>
          <cell r="CN43">
            <v>-1193</v>
          </cell>
          <cell r="CS43">
            <v>-503</v>
          </cell>
          <cell r="CX43">
            <v>-943</v>
          </cell>
          <cell r="DC43">
            <v>-500</v>
          </cell>
          <cell r="DD43">
            <v>-500</v>
          </cell>
          <cell r="DE43">
            <v>-500</v>
          </cell>
          <cell r="DF43">
            <v>-500</v>
          </cell>
          <cell r="DG43">
            <v>-500</v>
          </cell>
        </row>
        <row r="44">
          <cell r="B44" t="str">
            <v>Income from associates (operating)</v>
          </cell>
          <cell r="C44" t="str">
            <v>ASSOCIATE_OP</v>
          </cell>
          <cell r="D44" t="str">
            <v>JPY</v>
          </cell>
        </row>
        <row r="45">
          <cell r="B45" t="str">
            <v>SG&amp;A, selling, general and admin. expense</v>
          </cell>
          <cell r="C45" t="str">
            <v>SGA_JPN</v>
          </cell>
          <cell r="D45" t="str">
            <v>JPY</v>
          </cell>
          <cell r="F45">
            <v>-89187</v>
          </cell>
          <cell r="G45">
            <v>-99385</v>
          </cell>
          <cell r="H45">
            <v>-104752</v>
          </cell>
          <cell r="I45">
            <v>-110781</v>
          </cell>
          <cell r="J45">
            <v>-108332</v>
          </cell>
          <cell r="K45">
            <v>-114854</v>
          </cell>
          <cell r="L45">
            <v>-121146</v>
          </cell>
          <cell r="M45">
            <v>-125983</v>
          </cell>
          <cell r="N45">
            <v>-128620</v>
          </cell>
          <cell r="O45">
            <v>-134850</v>
          </cell>
          <cell r="P45">
            <v>-131133</v>
          </cell>
          <cell r="Q45">
            <v>-131512</v>
          </cell>
          <cell r="V45">
            <v>-149207</v>
          </cell>
          <cell r="AA45">
            <v>-162133</v>
          </cell>
          <cell r="AF45">
            <v>-136200</v>
          </cell>
          <cell r="AK45">
            <v>-140799</v>
          </cell>
          <cell r="AP45">
            <v>-137192</v>
          </cell>
          <cell r="AU45">
            <v>-140755</v>
          </cell>
          <cell r="AZ45">
            <v>-147492</v>
          </cell>
          <cell r="BE45">
            <v>-158605</v>
          </cell>
          <cell r="BJ45">
            <v>-164358</v>
          </cell>
          <cell r="BO45">
            <v>-181188</v>
          </cell>
          <cell r="BT45">
            <v>-196878</v>
          </cell>
          <cell r="BY45">
            <v>-200016</v>
          </cell>
          <cell r="CD45">
            <v>-126283</v>
          </cell>
          <cell r="CI45">
            <v>-129485</v>
          </cell>
          <cell r="CN45">
            <v>-136590</v>
          </cell>
          <cell r="CS45">
            <v>-151518</v>
          </cell>
          <cell r="CX45">
            <v>-173823</v>
          </cell>
          <cell r="DC45">
            <v>-156900</v>
          </cell>
          <cell r="DD45">
            <v>-165300</v>
          </cell>
          <cell r="DE45">
            <v>-172900</v>
          </cell>
          <cell r="DF45">
            <v>-179100</v>
          </cell>
          <cell r="DG45">
            <v>-185000</v>
          </cell>
        </row>
        <row r="46">
          <cell r="B46" t="str">
            <v>Gross profit</v>
          </cell>
          <cell r="C46" t="str">
            <v>GP_JPN</v>
          </cell>
          <cell r="D46" t="str">
            <v>JPY</v>
          </cell>
          <cell r="F46">
            <v>108953</v>
          </cell>
          <cell r="G46">
            <v>120267</v>
          </cell>
          <cell r="H46">
            <v>127604</v>
          </cell>
          <cell r="I46">
            <v>134631</v>
          </cell>
          <cell r="J46">
            <v>133006</v>
          </cell>
          <cell r="K46">
            <v>142486</v>
          </cell>
          <cell r="L46">
            <v>148430</v>
          </cell>
          <cell r="M46">
            <v>150800</v>
          </cell>
          <cell r="N46">
            <v>155021</v>
          </cell>
          <cell r="O46">
            <v>158054</v>
          </cell>
          <cell r="P46">
            <v>160096</v>
          </cell>
          <cell r="Q46">
            <v>163491</v>
          </cell>
          <cell r="V46">
            <v>182942</v>
          </cell>
          <cell r="AA46">
            <v>189805</v>
          </cell>
          <cell r="AF46">
            <v>159753</v>
          </cell>
          <cell r="AK46">
            <v>168141</v>
          </cell>
          <cell r="AP46">
            <v>171730</v>
          </cell>
          <cell r="AU46">
            <v>166967</v>
          </cell>
          <cell r="AZ46">
            <v>171447</v>
          </cell>
          <cell r="BE46">
            <v>186311</v>
          </cell>
          <cell r="BJ46">
            <v>188660</v>
          </cell>
          <cell r="BO46">
            <v>207588</v>
          </cell>
          <cell r="BT46">
            <v>225496</v>
          </cell>
          <cell r="BY46">
            <v>234129</v>
          </cell>
          <cell r="CD46">
            <v>155161</v>
          </cell>
          <cell r="CI46">
            <v>167280</v>
          </cell>
          <cell r="CN46">
            <v>181757</v>
          </cell>
          <cell r="CS46">
            <v>194503</v>
          </cell>
          <cell r="CX46">
            <v>221078</v>
          </cell>
          <cell r="DC46">
            <v>241000</v>
          </cell>
          <cell r="DD46">
            <v>255100</v>
          </cell>
          <cell r="DE46">
            <v>266600</v>
          </cell>
          <cell r="DF46">
            <v>277900</v>
          </cell>
          <cell r="DG46">
            <v>288200</v>
          </cell>
        </row>
        <row r="47">
          <cell r="B47" t="str">
            <v>EBITDA adjustment</v>
          </cell>
          <cell r="C47" t="str">
            <v>EBITDA_ADJ</v>
          </cell>
          <cell r="D47" t="str">
            <v>JPY</v>
          </cell>
        </row>
        <row r="48">
          <cell r="B48" t="str">
            <v>EBITDA</v>
          </cell>
          <cell r="C48" t="str">
            <v>EBITDA_JPN</v>
          </cell>
          <cell r="D48" t="str">
            <v>JPY</v>
          </cell>
          <cell r="F48">
            <v>20728</v>
          </cell>
          <cell r="G48">
            <v>21764</v>
          </cell>
          <cell r="H48">
            <v>23736</v>
          </cell>
          <cell r="I48">
            <v>24675</v>
          </cell>
          <cell r="J48">
            <v>29950</v>
          </cell>
          <cell r="K48">
            <v>35708</v>
          </cell>
          <cell r="L48">
            <v>34867</v>
          </cell>
          <cell r="M48">
            <v>32039</v>
          </cell>
          <cell r="N48">
            <v>33859</v>
          </cell>
          <cell r="O48">
            <v>30281</v>
          </cell>
          <cell r="P48">
            <v>35636</v>
          </cell>
          <cell r="Q48">
            <v>37955</v>
          </cell>
          <cell r="V48">
            <v>39921</v>
          </cell>
          <cell r="AA48">
            <v>35197</v>
          </cell>
          <cell r="AF48">
            <v>31525</v>
          </cell>
          <cell r="AK48">
            <v>36918</v>
          </cell>
          <cell r="AP48">
            <v>47364</v>
          </cell>
          <cell r="AU48">
            <v>41166</v>
          </cell>
          <cell r="AZ48">
            <v>38298</v>
          </cell>
          <cell r="BE48">
            <v>42221</v>
          </cell>
          <cell r="BJ48">
            <v>39741</v>
          </cell>
          <cell r="BO48">
            <v>44733.75</v>
          </cell>
          <cell r="BT48">
            <v>45850.554499999969</v>
          </cell>
          <cell r="BY48">
            <v>53927.25549999997</v>
          </cell>
          <cell r="CD48">
            <v>49272</v>
          </cell>
          <cell r="CI48">
            <v>68076.771000000008</v>
          </cell>
          <cell r="CN48">
            <v>79247.55</v>
          </cell>
          <cell r="CS48">
            <v>78890.853000000003</v>
          </cell>
          <cell r="CX48">
            <v>89890</v>
          </cell>
          <cell r="DC48">
            <v>114700</v>
          </cell>
          <cell r="DD48">
            <v>122600</v>
          </cell>
          <cell r="DE48">
            <v>129300</v>
          </cell>
          <cell r="DF48">
            <v>136900</v>
          </cell>
          <cell r="DG48">
            <v>144000</v>
          </cell>
        </row>
        <row r="49">
          <cell r="B49" t="str">
            <v>Income/(loss) from unconsolidated subs &amp; associates</v>
          </cell>
          <cell r="C49" t="str">
            <v>ASSOCIATE_JPN</v>
          </cell>
          <cell r="D49" t="str">
            <v>JPY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583</v>
          </cell>
          <cell r="L49">
            <v>611</v>
          </cell>
          <cell r="M49">
            <v>525</v>
          </cell>
          <cell r="N49">
            <v>290</v>
          </cell>
          <cell r="O49">
            <v>317</v>
          </cell>
          <cell r="P49">
            <v>427</v>
          </cell>
          <cell r="Q49">
            <v>485</v>
          </cell>
          <cell r="V49">
            <v>475</v>
          </cell>
          <cell r="AA49">
            <v>1201</v>
          </cell>
          <cell r="AF49">
            <v>765</v>
          </cell>
          <cell r="AK49">
            <v>1471</v>
          </cell>
          <cell r="AP49">
            <v>1510</v>
          </cell>
          <cell r="AU49">
            <v>1146</v>
          </cell>
          <cell r="AZ49">
            <v>1888</v>
          </cell>
          <cell r="BE49">
            <v>2153</v>
          </cell>
          <cell r="BJ49">
            <v>2929</v>
          </cell>
          <cell r="BO49">
            <v>2781</v>
          </cell>
          <cell r="BT49">
            <v>0</v>
          </cell>
          <cell r="BY49">
            <v>0</v>
          </cell>
          <cell r="CD49">
            <v>0</v>
          </cell>
          <cell r="CI49">
            <v>0</v>
          </cell>
          <cell r="CN49">
            <v>0</v>
          </cell>
          <cell r="CS49">
            <v>0</v>
          </cell>
          <cell r="CX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</row>
        <row r="50">
          <cell r="B50" t="str">
            <v>Income/(loss) from unconsolidated subs &amp; associates (SEC)</v>
          </cell>
          <cell r="C50" t="str">
            <v>ASSOCIATE_SEC_JPN</v>
          </cell>
          <cell r="D50" t="str">
            <v>JPY</v>
          </cell>
          <cell r="F50">
            <v>-612</v>
          </cell>
          <cell r="G50">
            <v>-640</v>
          </cell>
          <cell r="H50">
            <v>-684</v>
          </cell>
          <cell r="I50">
            <v>1113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V50">
            <v>0</v>
          </cell>
          <cell r="AA50">
            <v>0</v>
          </cell>
          <cell r="AF50">
            <v>0</v>
          </cell>
          <cell r="AK50">
            <v>0</v>
          </cell>
          <cell r="AP50">
            <v>0</v>
          </cell>
          <cell r="AU50">
            <v>0</v>
          </cell>
          <cell r="AZ50">
            <v>0</v>
          </cell>
          <cell r="BE50">
            <v>0</v>
          </cell>
          <cell r="BJ50">
            <v>0</v>
          </cell>
          <cell r="BO50">
            <v>0</v>
          </cell>
          <cell r="BT50">
            <v>1687</v>
          </cell>
          <cell r="BY50">
            <v>2680</v>
          </cell>
          <cell r="CD50">
            <v>0</v>
          </cell>
          <cell r="CI50">
            <v>0</v>
          </cell>
          <cell r="CN50">
            <v>0</v>
          </cell>
          <cell r="CS50">
            <v>0</v>
          </cell>
          <cell r="CX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</row>
        <row r="51">
          <cell r="B51" t="str">
            <v>Other non-operating income/(expense)</v>
          </cell>
          <cell r="C51" t="str">
            <v>OTH_NOP_INC_EXP_JPN</v>
          </cell>
          <cell r="D51" t="str">
            <v>JPY</v>
          </cell>
          <cell r="F51">
            <v>1493</v>
          </cell>
          <cell r="G51">
            <v>1967</v>
          </cell>
          <cell r="H51">
            <v>478</v>
          </cell>
          <cell r="I51">
            <v>194</v>
          </cell>
          <cell r="J51">
            <v>2213</v>
          </cell>
          <cell r="K51">
            <v>2298</v>
          </cell>
          <cell r="L51">
            <v>5393</v>
          </cell>
          <cell r="M51">
            <v>4779</v>
          </cell>
          <cell r="N51">
            <v>2034</v>
          </cell>
          <cell r="O51">
            <v>2153</v>
          </cell>
          <cell r="P51">
            <v>3837</v>
          </cell>
          <cell r="Q51">
            <v>7102</v>
          </cell>
          <cell r="V51">
            <v>2184</v>
          </cell>
          <cell r="AA51">
            <v>2212</v>
          </cell>
          <cell r="AF51">
            <v>2753</v>
          </cell>
          <cell r="AK51">
            <v>2864</v>
          </cell>
          <cell r="AP51">
            <v>-438</v>
          </cell>
          <cell r="AU51">
            <v>32</v>
          </cell>
          <cell r="AZ51">
            <v>4498</v>
          </cell>
          <cell r="BE51">
            <v>4148</v>
          </cell>
          <cell r="BJ51">
            <v>5107</v>
          </cell>
          <cell r="BO51">
            <v>963</v>
          </cell>
          <cell r="BT51">
            <v>3791</v>
          </cell>
          <cell r="BY51">
            <v>5744</v>
          </cell>
          <cell r="CD51">
            <v>3965</v>
          </cell>
          <cell r="CI51">
            <v>4542</v>
          </cell>
          <cell r="CN51">
            <v>-53084</v>
          </cell>
          <cell r="CS51">
            <v>-52127</v>
          </cell>
          <cell r="CX51">
            <v>-62505</v>
          </cell>
          <cell r="DC51">
            <v>-86600</v>
          </cell>
          <cell r="DD51">
            <v>-91600</v>
          </cell>
          <cell r="DE51">
            <v>-94900</v>
          </cell>
          <cell r="DF51">
            <v>-99400</v>
          </cell>
          <cell r="DG51">
            <v>-103600</v>
          </cell>
        </row>
        <row r="52">
          <cell r="B52" t="str">
            <v>Extraordinary income</v>
          </cell>
          <cell r="C52" t="str">
            <v>EXTRA_INC_JPN</v>
          </cell>
          <cell r="D52" t="str">
            <v>JPY</v>
          </cell>
          <cell r="F52">
            <v>73</v>
          </cell>
          <cell r="G52">
            <v>581</v>
          </cell>
          <cell r="H52">
            <v>849</v>
          </cell>
          <cell r="I52">
            <v>61</v>
          </cell>
          <cell r="J52">
            <v>583</v>
          </cell>
          <cell r="K52">
            <v>2053</v>
          </cell>
          <cell r="L52">
            <v>1517</v>
          </cell>
          <cell r="M52">
            <v>97</v>
          </cell>
          <cell r="N52">
            <v>29</v>
          </cell>
          <cell r="O52">
            <v>256</v>
          </cell>
          <cell r="P52">
            <v>294</v>
          </cell>
          <cell r="Q52">
            <v>343</v>
          </cell>
          <cell r="V52">
            <v>785</v>
          </cell>
          <cell r="AA52">
            <v>204</v>
          </cell>
          <cell r="AF52">
            <v>499</v>
          </cell>
          <cell r="AK52">
            <v>136</v>
          </cell>
          <cell r="AP52">
            <v>1004</v>
          </cell>
          <cell r="AU52">
            <v>6035</v>
          </cell>
          <cell r="AZ52">
            <v>877</v>
          </cell>
          <cell r="BE52">
            <v>3492</v>
          </cell>
          <cell r="BJ52">
            <v>3090</v>
          </cell>
          <cell r="BO52">
            <v>12811</v>
          </cell>
          <cell r="BT52">
            <v>7505</v>
          </cell>
          <cell r="BY52">
            <v>6808</v>
          </cell>
          <cell r="CD52">
            <v>0</v>
          </cell>
          <cell r="CI52">
            <v>0</v>
          </cell>
          <cell r="CN52">
            <v>0</v>
          </cell>
          <cell r="CS52">
            <v>0</v>
          </cell>
          <cell r="CX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</row>
        <row r="53">
          <cell r="B53" t="str">
            <v>Extraordinary expense</v>
          </cell>
          <cell r="C53" t="str">
            <v>EXTRA_EXP_JPN</v>
          </cell>
          <cell r="D53" t="str">
            <v>JPY</v>
          </cell>
          <cell r="F53">
            <v>-621</v>
          </cell>
          <cell r="G53">
            <v>-1035</v>
          </cell>
          <cell r="H53">
            <v>-2511</v>
          </cell>
          <cell r="I53">
            <v>-7717</v>
          </cell>
          <cell r="J53">
            <v>-8403</v>
          </cell>
          <cell r="K53">
            <v>-4730</v>
          </cell>
          <cell r="L53">
            <v>-9759</v>
          </cell>
          <cell r="M53">
            <v>-10016</v>
          </cell>
          <cell r="N53">
            <v>-3185</v>
          </cell>
          <cell r="O53">
            <v>-1171</v>
          </cell>
          <cell r="P53">
            <v>-6405</v>
          </cell>
          <cell r="Q53">
            <v>-10057</v>
          </cell>
          <cell r="V53">
            <v>-5050</v>
          </cell>
          <cell r="AA53">
            <v>-5314</v>
          </cell>
          <cell r="AF53">
            <v>-5876</v>
          </cell>
          <cell r="AK53">
            <v>-1776</v>
          </cell>
          <cell r="AP53">
            <v>-2739</v>
          </cell>
          <cell r="AU53">
            <v>-2514</v>
          </cell>
          <cell r="AZ53">
            <v>-2449</v>
          </cell>
          <cell r="BE53">
            <v>-6607</v>
          </cell>
          <cell r="BJ53">
            <v>-7056</v>
          </cell>
          <cell r="BO53">
            <v>-6566</v>
          </cell>
          <cell r="BT53">
            <v>-4851</v>
          </cell>
          <cell r="BY53">
            <v>-9872</v>
          </cell>
          <cell r="CD53">
            <v>0</v>
          </cell>
          <cell r="CI53">
            <v>0</v>
          </cell>
          <cell r="CN53">
            <v>0</v>
          </cell>
          <cell r="CS53">
            <v>0</v>
          </cell>
          <cell r="CX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</row>
        <row r="54">
          <cell r="B54" t="str">
            <v>Pre-tax profit</v>
          </cell>
          <cell r="C54" t="str">
            <v>PTP_JPN</v>
          </cell>
          <cell r="D54" t="str">
            <v>JPY</v>
          </cell>
          <cell r="F54">
            <v>20711</v>
          </cell>
          <cell r="G54">
            <v>22394</v>
          </cell>
          <cell r="H54">
            <v>21667</v>
          </cell>
          <cell r="I54">
            <v>16387</v>
          </cell>
          <cell r="J54">
            <v>19067</v>
          </cell>
          <cell r="K54">
            <v>27652</v>
          </cell>
          <cell r="L54">
            <v>24896</v>
          </cell>
          <cell r="M54">
            <v>20074</v>
          </cell>
          <cell r="N54">
            <v>25520</v>
          </cell>
          <cell r="O54">
            <v>24705</v>
          </cell>
          <cell r="P54">
            <v>27072</v>
          </cell>
          <cell r="Q54">
            <v>29811</v>
          </cell>
          <cell r="V54">
            <v>33578</v>
          </cell>
          <cell r="AA54">
            <v>27688</v>
          </cell>
          <cell r="AF54">
            <v>23372</v>
          </cell>
          <cell r="AK54">
            <v>31154</v>
          </cell>
          <cell r="AP54">
            <v>34683</v>
          </cell>
          <cell r="AU54">
            <v>31620</v>
          </cell>
          <cell r="AZ54">
            <v>29392</v>
          </cell>
          <cell r="BE54">
            <v>31725</v>
          </cell>
          <cell r="BJ54">
            <v>29014</v>
          </cell>
          <cell r="BO54">
            <v>36978</v>
          </cell>
          <cell r="BT54">
            <v>35517</v>
          </cell>
          <cell r="BY54">
            <v>37525</v>
          </cell>
          <cell r="CD54">
            <v>31166</v>
          </cell>
          <cell r="CI54">
            <v>42650</v>
          </cell>
          <cell r="CN54">
            <v>56233</v>
          </cell>
          <cell r="CS54">
            <v>49182</v>
          </cell>
          <cell r="CX54">
            <v>57950</v>
          </cell>
          <cell r="DC54">
            <v>81600</v>
          </cell>
          <cell r="DD54">
            <v>86600</v>
          </cell>
          <cell r="DE54">
            <v>89900</v>
          </cell>
          <cell r="DF54">
            <v>94400</v>
          </cell>
          <cell r="DG54">
            <v>98600</v>
          </cell>
        </row>
        <row r="55">
          <cell r="B55" t="str">
            <v>NI impact from a 10% reporting currency depreciation vs USD</v>
          </cell>
          <cell r="C55" t="str">
            <v>FX_USD_NI_SENSITIVITY</v>
          </cell>
          <cell r="D55" t="str">
            <v>JPY</v>
          </cell>
        </row>
        <row r="56">
          <cell r="B56" t="str">
            <v>NI impact from a 10% reporting currency depreciation vs EUR</v>
          </cell>
          <cell r="C56" t="str">
            <v>FX_EUR_NI_SENSITIVITY</v>
          </cell>
          <cell r="D56" t="str">
            <v>JPY</v>
          </cell>
        </row>
        <row r="57">
          <cell r="B57" t="str">
            <v>Depreciation ROU assets   (applicable to IFRS cos.)</v>
          </cell>
          <cell r="C57" t="str">
            <v>DEPR_ROU_ASSETS</v>
          </cell>
          <cell r="D57" t="str">
            <v>JPY</v>
          </cell>
        </row>
        <row r="58">
          <cell r="B58" t="str">
            <v>Lease interest charge  (applicable to IFRS cos.)</v>
          </cell>
          <cell r="C58" t="str">
            <v>LEASE_INT_CHG</v>
          </cell>
          <cell r="D58" t="str">
            <v>JPY</v>
          </cell>
        </row>
        <row r="59">
          <cell r="B59" t="str">
            <v>Lease standard adopted (US GAAP ASC 842/ IFRS 16)</v>
          </cell>
          <cell r="C59" t="str">
            <v>LEASE_ADOPT</v>
          </cell>
          <cell r="E59" t="str">
            <v>Y</v>
          </cell>
        </row>
        <row r="60">
          <cell r="A60" t="str">
            <v>Balance Sheet</v>
          </cell>
        </row>
        <row r="61">
          <cell r="B61" t="str">
            <v>Cash &amp; cash equivalents</v>
          </cell>
          <cell r="C61" t="str">
            <v>CASH_EQ</v>
          </cell>
          <cell r="D61" t="str">
            <v>JPY</v>
          </cell>
          <cell r="F61">
            <v>106563</v>
          </cell>
          <cell r="G61">
            <v>98799</v>
          </cell>
          <cell r="H61">
            <v>87116</v>
          </cell>
          <cell r="I61">
            <v>85544</v>
          </cell>
          <cell r="J61">
            <v>116389</v>
          </cell>
          <cell r="K61">
            <v>109684</v>
          </cell>
          <cell r="L61">
            <v>74209</v>
          </cell>
          <cell r="M61">
            <v>96010</v>
          </cell>
          <cell r="N61">
            <v>84961</v>
          </cell>
          <cell r="O61">
            <v>78520</v>
          </cell>
          <cell r="P61">
            <v>74084</v>
          </cell>
          <cell r="Q61">
            <v>102110</v>
          </cell>
          <cell r="V61">
            <v>83305</v>
          </cell>
          <cell r="AA61">
            <v>93969</v>
          </cell>
          <cell r="AF61">
            <v>83549</v>
          </cell>
          <cell r="AK61">
            <v>89957</v>
          </cell>
          <cell r="AP61">
            <v>73492</v>
          </cell>
          <cell r="AU61">
            <v>78435</v>
          </cell>
          <cell r="AZ61">
            <v>70416</v>
          </cell>
          <cell r="BE61">
            <v>91648</v>
          </cell>
          <cell r="BJ61">
            <v>113518</v>
          </cell>
          <cell r="BO61">
            <v>90914</v>
          </cell>
          <cell r="BT61">
            <v>72074</v>
          </cell>
          <cell r="BY61">
            <v>56182</v>
          </cell>
          <cell r="CD61">
            <v>57125</v>
          </cell>
          <cell r="CI61">
            <v>60163</v>
          </cell>
          <cell r="CN61">
            <v>90294</v>
          </cell>
          <cell r="CS61">
            <v>102005</v>
          </cell>
          <cell r="CX61">
            <v>87388</v>
          </cell>
          <cell r="DC61">
            <v>66000</v>
          </cell>
          <cell r="DD61">
            <v>48000</v>
          </cell>
          <cell r="DE61">
            <v>32400</v>
          </cell>
          <cell r="DF61">
            <v>25800</v>
          </cell>
          <cell r="DG61">
            <v>26200</v>
          </cell>
        </row>
        <row r="62">
          <cell r="B62" t="str">
            <v>Accounts receivable</v>
          </cell>
          <cell r="C62" t="str">
            <v>DEBTORS</v>
          </cell>
          <cell r="D62" t="str">
            <v>JPY</v>
          </cell>
          <cell r="F62">
            <v>58033</v>
          </cell>
          <cell r="G62">
            <v>66393</v>
          </cell>
          <cell r="H62">
            <v>69955</v>
          </cell>
          <cell r="I62">
            <v>70829</v>
          </cell>
          <cell r="J62">
            <v>36764</v>
          </cell>
          <cell r="K62">
            <v>36652</v>
          </cell>
          <cell r="L62">
            <v>36990</v>
          </cell>
          <cell r="M62">
            <v>37216</v>
          </cell>
          <cell r="N62">
            <v>36870</v>
          </cell>
          <cell r="O62">
            <v>39395</v>
          </cell>
          <cell r="P62">
            <v>38552</v>
          </cell>
          <cell r="Q62">
            <v>37654</v>
          </cell>
          <cell r="V62">
            <v>53358</v>
          </cell>
          <cell r="AA62">
            <v>41410</v>
          </cell>
          <cell r="AF62">
            <v>44456</v>
          </cell>
          <cell r="AK62">
            <v>43606</v>
          </cell>
          <cell r="AP62">
            <v>47125</v>
          </cell>
          <cell r="AU62">
            <v>46490</v>
          </cell>
          <cell r="AZ62">
            <v>47072</v>
          </cell>
          <cell r="BE62">
            <v>51298</v>
          </cell>
          <cell r="BJ62">
            <v>54491</v>
          </cell>
          <cell r="BO62">
            <v>61391</v>
          </cell>
          <cell r="BT62">
            <v>65290</v>
          </cell>
          <cell r="BY62">
            <v>39133</v>
          </cell>
          <cell r="CD62">
            <v>72749</v>
          </cell>
          <cell r="CI62">
            <v>77932</v>
          </cell>
          <cell r="CN62">
            <v>84837</v>
          </cell>
          <cell r="CS62">
            <v>89600</v>
          </cell>
          <cell r="CX62">
            <v>101483</v>
          </cell>
          <cell r="DC62">
            <v>111300</v>
          </cell>
          <cell r="DD62">
            <v>116700</v>
          </cell>
          <cell r="DE62">
            <v>122000</v>
          </cell>
          <cell r="DF62">
            <v>126000</v>
          </cell>
          <cell r="DG62">
            <v>129500</v>
          </cell>
        </row>
        <row r="63">
          <cell r="B63" t="str">
            <v>Inventory</v>
          </cell>
          <cell r="C63" t="str">
            <v>STOCKS</v>
          </cell>
          <cell r="D63" t="str">
            <v>JPY</v>
          </cell>
          <cell r="F63">
            <v>10497</v>
          </cell>
          <cell r="G63">
            <v>10381</v>
          </cell>
          <cell r="H63">
            <v>11487</v>
          </cell>
          <cell r="I63">
            <v>11756</v>
          </cell>
          <cell r="J63">
            <v>9821</v>
          </cell>
          <cell r="K63">
            <v>9816</v>
          </cell>
          <cell r="L63">
            <v>10723</v>
          </cell>
          <cell r="M63">
            <v>11632</v>
          </cell>
          <cell r="N63">
            <v>11895</v>
          </cell>
          <cell r="O63">
            <v>11922</v>
          </cell>
          <cell r="P63">
            <v>12355</v>
          </cell>
          <cell r="Q63">
            <v>12708</v>
          </cell>
          <cell r="V63">
            <v>14489</v>
          </cell>
          <cell r="AA63">
            <v>14674</v>
          </cell>
          <cell r="AF63">
            <v>15225</v>
          </cell>
          <cell r="AK63">
            <v>14471</v>
          </cell>
          <cell r="AP63">
            <v>14293</v>
          </cell>
          <cell r="AU63">
            <v>17506</v>
          </cell>
          <cell r="AZ63">
            <v>19351</v>
          </cell>
          <cell r="BE63">
            <v>20958</v>
          </cell>
          <cell r="BJ63">
            <v>23068</v>
          </cell>
          <cell r="BO63">
            <v>27168</v>
          </cell>
          <cell r="BT63">
            <v>28906</v>
          </cell>
          <cell r="BY63">
            <v>29431</v>
          </cell>
          <cell r="CD63">
            <v>32729</v>
          </cell>
          <cell r="CI63">
            <v>32454</v>
          </cell>
          <cell r="CN63">
            <v>40901</v>
          </cell>
          <cell r="CS63">
            <v>47638</v>
          </cell>
          <cell r="CX63">
            <v>57187</v>
          </cell>
          <cell r="DC63">
            <v>62700</v>
          </cell>
          <cell r="DD63">
            <v>65800</v>
          </cell>
          <cell r="DE63">
            <v>68800</v>
          </cell>
          <cell r="DF63">
            <v>71100</v>
          </cell>
          <cell r="DG63">
            <v>73100</v>
          </cell>
        </row>
        <row r="64">
          <cell r="B64" t="str">
            <v>Other current assets</v>
          </cell>
          <cell r="C64" t="str">
            <v>OTH_CUR_ASS</v>
          </cell>
          <cell r="D64" t="str">
            <v>JPY</v>
          </cell>
          <cell r="F64">
            <v>816</v>
          </cell>
          <cell r="G64">
            <v>2542</v>
          </cell>
          <cell r="H64">
            <v>1408</v>
          </cell>
          <cell r="I64">
            <v>2235</v>
          </cell>
          <cell r="J64">
            <v>5096</v>
          </cell>
          <cell r="K64">
            <v>4751</v>
          </cell>
          <cell r="L64">
            <v>4628</v>
          </cell>
          <cell r="M64">
            <v>5538</v>
          </cell>
          <cell r="N64">
            <v>6007</v>
          </cell>
          <cell r="O64">
            <v>8531</v>
          </cell>
          <cell r="P64">
            <v>8156</v>
          </cell>
          <cell r="Q64">
            <v>8024</v>
          </cell>
          <cell r="V64">
            <v>8388</v>
          </cell>
          <cell r="AA64">
            <v>7580</v>
          </cell>
          <cell r="AF64">
            <v>15040</v>
          </cell>
          <cell r="AK64">
            <v>7776</v>
          </cell>
          <cell r="AP64">
            <v>9217</v>
          </cell>
          <cell r="AU64">
            <v>9384</v>
          </cell>
          <cell r="AZ64">
            <v>9835</v>
          </cell>
          <cell r="BE64">
            <v>10915</v>
          </cell>
          <cell r="BJ64">
            <v>10430</v>
          </cell>
          <cell r="BO64">
            <v>11450</v>
          </cell>
          <cell r="BT64">
            <v>11617</v>
          </cell>
          <cell r="BY64">
            <v>45401</v>
          </cell>
          <cell r="CD64">
            <v>16295</v>
          </cell>
          <cell r="CI64">
            <v>17235</v>
          </cell>
          <cell r="CN64">
            <v>13085</v>
          </cell>
          <cell r="CS64">
            <v>20383</v>
          </cell>
          <cell r="CX64">
            <v>20104</v>
          </cell>
          <cell r="DC64">
            <v>22900</v>
          </cell>
          <cell r="DD64">
            <v>25900</v>
          </cell>
          <cell r="DE64">
            <v>28900</v>
          </cell>
          <cell r="DF64">
            <v>31900</v>
          </cell>
          <cell r="DG64">
            <v>34900</v>
          </cell>
        </row>
        <row r="65">
          <cell r="B65" t="str">
            <v>Total current assets</v>
          </cell>
          <cell r="C65" t="str">
            <v>CUR_ASS</v>
          </cell>
          <cell r="D65" t="str">
            <v>JPY</v>
          </cell>
          <cell r="F65">
            <v>175909</v>
          </cell>
          <cell r="G65">
            <v>178115</v>
          </cell>
          <cell r="H65">
            <v>169966</v>
          </cell>
          <cell r="I65">
            <v>170364</v>
          </cell>
          <cell r="J65">
            <v>168070</v>
          </cell>
          <cell r="K65">
            <v>160903</v>
          </cell>
          <cell r="L65">
            <v>126550</v>
          </cell>
          <cell r="M65">
            <v>150396</v>
          </cell>
          <cell r="N65">
            <v>139733</v>
          </cell>
          <cell r="O65">
            <v>138368</v>
          </cell>
          <cell r="P65">
            <v>133147</v>
          </cell>
          <cell r="Q65">
            <v>160496</v>
          </cell>
          <cell r="V65">
            <v>159540</v>
          </cell>
          <cell r="AA65">
            <v>157633</v>
          </cell>
          <cell r="AF65">
            <v>158270</v>
          </cell>
          <cell r="AK65">
            <v>155810</v>
          </cell>
          <cell r="AP65">
            <v>144127</v>
          </cell>
          <cell r="AU65">
            <v>151815</v>
          </cell>
          <cell r="AZ65">
            <v>146674</v>
          </cell>
          <cell r="BE65">
            <v>174819</v>
          </cell>
          <cell r="BJ65">
            <v>201507</v>
          </cell>
          <cell r="BO65">
            <v>190923</v>
          </cell>
          <cell r="BT65">
            <v>177887</v>
          </cell>
          <cell r="BY65">
            <v>170147</v>
          </cell>
          <cell r="CD65">
            <v>178898</v>
          </cell>
          <cell r="CI65">
            <v>187784</v>
          </cell>
          <cell r="CN65">
            <v>229117</v>
          </cell>
          <cell r="CS65">
            <v>259626</v>
          </cell>
          <cell r="CX65">
            <v>266162</v>
          </cell>
          <cell r="DC65">
            <v>262900</v>
          </cell>
          <cell r="DD65">
            <v>256400</v>
          </cell>
          <cell r="DE65">
            <v>252100</v>
          </cell>
          <cell r="DF65">
            <v>254800</v>
          </cell>
          <cell r="DG65">
            <v>263700</v>
          </cell>
        </row>
        <row r="66">
          <cell r="B66" t="str">
            <v>Gross fixed assets, PP&amp;E</v>
          </cell>
          <cell r="C66" t="str">
            <v>GR_FIX_ASS</v>
          </cell>
          <cell r="D66" t="str">
            <v>JPY</v>
          </cell>
          <cell r="F66">
            <v>134436</v>
          </cell>
          <cell r="G66">
            <v>138141</v>
          </cell>
          <cell r="H66">
            <v>158504</v>
          </cell>
          <cell r="I66">
            <v>168461</v>
          </cell>
          <cell r="J66">
            <v>162335</v>
          </cell>
          <cell r="K66">
            <v>174238</v>
          </cell>
          <cell r="L66">
            <v>177887</v>
          </cell>
          <cell r="M66">
            <v>173208</v>
          </cell>
          <cell r="N66">
            <v>184977</v>
          </cell>
          <cell r="O66">
            <v>178936</v>
          </cell>
          <cell r="P66">
            <v>174081</v>
          </cell>
          <cell r="Q66">
            <v>174514</v>
          </cell>
          <cell r="V66">
            <v>215281</v>
          </cell>
          <cell r="AA66">
            <v>217879</v>
          </cell>
          <cell r="AF66">
            <v>225989</v>
          </cell>
          <cell r="AK66">
            <v>236326</v>
          </cell>
          <cell r="AP66">
            <v>260495</v>
          </cell>
          <cell r="AU66">
            <v>270377</v>
          </cell>
          <cell r="AZ66">
            <v>292148</v>
          </cell>
          <cell r="BE66">
            <v>320497</v>
          </cell>
          <cell r="BJ66">
            <v>335565</v>
          </cell>
          <cell r="BO66">
            <v>374701</v>
          </cell>
          <cell r="BT66">
            <v>409228</v>
          </cell>
          <cell r="BY66">
            <v>453182</v>
          </cell>
          <cell r="CD66">
            <v>476246</v>
          </cell>
          <cell r="CI66">
            <v>524669</v>
          </cell>
          <cell r="CN66">
            <v>505478</v>
          </cell>
          <cell r="CS66">
            <v>533329</v>
          </cell>
          <cell r="CX66">
            <v>567860</v>
          </cell>
          <cell r="DC66">
            <v>637900</v>
          </cell>
          <cell r="DD66">
            <v>709900</v>
          </cell>
          <cell r="DE66">
            <v>782900</v>
          </cell>
          <cell r="DF66">
            <v>851900</v>
          </cell>
          <cell r="DG66">
            <v>917900</v>
          </cell>
        </row>
        <row r="67">
          <cell r="B67" t="str">
            <v>Accumulated depreciation</v>
          </cell>
          <cell r="C67" t="str">
            <v>ACC_DDA</v>
          </cell>
          <cell r="D67" t="str">
            <v>JPY</v>
          </cell>
          <cell r="F67">
            <v>-50142</v>
          </cell>
          <cell r="G67">
            <v>-51413</v>
          </cell>
          <cell r="H67">
            <v>-57729</v>
          </cell>
          <cell r="I67">
            <v>-66331</v>
          </cell>
          <cell r="J67">
            <v>-65242</v>
          </cell>
          <cell r="K67">
            <v>-77307</v>
          </cell>
          <cell r="L67">
            <v>-83319</v>
          </cell>
          <cell r="M67">
            <v>-90764</v>
          </cell>
          <cell r="N67">
            <v>-97441</v>
          </cell>
          <cell r="O67">
            <v>-97693</v>
          </cell>
          <cell r="P67">
            <v>-98749</v>
          </cell>
          <cell r="Q67">
            <v>-105495</v>
          </cell>
          <cell r="V67">
            <v>-121648</v>
          </cell>
          <cell r="AA67">
            <v>-124077</v>
          </cell>
          <cell r="AF67">
            <v>-124858</v>
          </cell>
          <cell r="AK67">
            <v>-127048</v>
          </cell>
          <cell r="AP67">
            <v>-134613</v>
          </cell>
          <cell r="AU67">
            <v>-144017</v>
          </cell>
          <cell r="AZ67">
            <v>-158361</v>
          </cell>
          <cell r="BE67">
            <v>-172877</v>
          </cell>
          <cell r="BJ67">
            <v>-188316</v>
          </cell>
          <cell r="BO67">
            <v>-205815</v>
          </cell>
          <cell r="BT67">
            <v>-221215</v>
          </cell>
          <cell r="BY67">
            <v>-239111</v>
          </cell>
          <cell r="CD67">
            <v>-259415</v>
          </cell>
          <cell r="CI67">
            <v>-284606</v>
          </cell>
          <cell r="CN67">
            <v>-248343</v>
          </cell>
          <cell r="CS67">
            <v>-272823</v>
          </cell>
          <cell r="CX67">
            <v>-302021</v>
          </cell>
          <cell r="DC67">
            <v>-332100</v>
          </cell>
          <cell r="DD67">
            <v>-364400</v>
          </cell>
          <cell r="DE67">
            <v>-399500</v>
          </cell>
          <cell r="DF67">
            <v>-437100</v>
          </cell>
          <cell r="DG67">
            <v>-477400</v>
          </cell>
        </row>
        <row r="68">
          <cell r="B68" t="str">
            <v>Net PP&amp;E</v>
          </cell>
          <cell r="C68" t="str">
            <v>NET_FIX_ASS</v>
          </cell>
          <cell r="D68" t="str">
            <v>JPY</v>
          </cell>
          <cell r="F68">
            <v>84294</v>
          </cell>
          <cell r="G68">
            <v>86728</v>
          </cell>
          <cell r="H68">
            <v>100775</v>
          </cell>
          <cell r="I68">
            <v>102130</v>
          </cell>
          <cell r="J68">
            <v>97093</v>
          </cell>
          <cell r="K68">
            <v>96931</v>
          </cell>
          <cell r="L68">
            <v>94568</v>
          </cell>
          <cell r="M68">
            <v>82444</v>
          </cell>
          <cell r="N68">
            <v>87536</v>
          </cell>
          <cell r="O68">
            <v>81243</v>
          </cell>
          <cell r="P68">
            <v>75332</v>
          </cell>
          <cell r="Q68">
            <v>69019</v>
          </cell>
          <cell r="V68">
            <v>93633</v>
          </cell>
          <cell r="AA68">
            <v>93802</v>
          </cell>
          <cell r="AF68">
            <v>101131</v>
          </cell>
          <cell r="AK68">
            <v>109278</v>
          </cell>
          <cell r="AP68">
            <v>125882</v>
          </cell>
          <cell r="AU68">
            <v>126360</v>
          </cell>
          <cell r="AZ68">
            <v>133787</v>
          </cell>
          <cell r="BE68">
            <v>147620</v>
          </cell>
          <cell r="BJ68">
            <v>147249</v>
          </cell>
          <cell r="BO68">
            <v>168886</v>
          </cell>
          <cell r="BT68">
            <v>188013</v>
          </cell>
          <cell r="BY68">
            <v>214071</v>
          </cell>
          <cell r="CD68">
            <v>216831</v>
          </cell>
          <cell r="CI68">
            <v>240063</v>
          </cell>
          <cell r="CN68">
            <v>257135</v>
          </cell>
          <cell r="CS68">
            <v>260506</v>
          </cell>
          <cell r="CX68">
            <v>265839</v>
          </cell>
          <cell r="DC68">
            <v>305800</v>
          </cell>
          <cell r="DD68">
            <v>345500</v>
          </cell>
          <cell r="DE68">
            <v>383400</v>
          </cell>
          <cell r="DF68">
            <v>414800</v>
          </cell>
          <cell r="DG68">
            <v>440500</v>
          </cell>
        </row>
        <row r="69">
          <cell r="B69" t="str">
            <v>Gross intangibles</v>
          </cell>
          <cell r="C69" t="str">
            <v>GR_INTANG</v>
          </cell>
          <cell r="D69" t="str">
            <v>JPY</v>
          </cell>
          <cell r="F69">
            <v>5519</v>
          </cell>
          <cell r="G69">
            <v>2503</v>
          </cell>
          <cell r="H69">
            <v>355</v>
          </cell>
          <cell r="I69">
            <v>707</v>
          </cell>
          <cell r="J69">
            <v>621</v>
          </cell>
          <cell r="K69">
            <v>723</v>
          </cell>
          <cell r="L69">
            <v>997</v>
          </cell>
          <cell r="M69">
            <v>1084</v>
          </cell>
          <cell r="N69">
            <v>984</v>
          </cell>
          <cell r="O69">
            <v>813</v>
          </cell>
          <cell r="P69">
            <v>771</v>
          </cell>
          <cell r="Q69">
            <v>445</v>
          </cell>
          <cell r="V69">
            <v>5022</v>
          </cell>
          <cell r="AA69">
            <v>4321</v>
          </cell>
          <cell r="AF69">
            <v>4779</v>
          </cell>
          <cell r="AK69">
            <v>4850</v>
          </cell>
          <cell r="AP69">
            <v>4465</v>
          </cell>
          <cell r="AU69">
            <v>3939</v>
          </cell>
          <cell r="AZ69">
            <v>4677</v>
          </cell>
          <cell r="BE69">
            <v>6309</v>
          </cell>
          <cell r="BJ69">
            <v>8212</v>
          </cell>
          <cell r="BO69">
            <v>42290</v>
          </cell>
          <cell r="BT69">
            <v>44070</v>
          </cell>
          <cell r="BY69">
            <v>37264</v>
          </cell>
          <cell r="CD69">
            <v>4470</v>
          </cell>
          <cell r="CI69">
            <v>3806</v>
          </cell>
          <cell r="CN69">
            <v>12476</v>
          </cell>
          <cell r="CS69">
            <v>12205</v>
          </cell>
          <cell r="CX69">
            <v>11651</v>
          </cell>
          <cell r="DC69">
            <v>11700</v>
          </cell>
          <cell r="DD69">
            <v>11700</v>
          </cell>
          <cell r="DE69">
            <v>11700</v>
          </cell>
          <cell r="DF69">
            <v>11700</v>
          </cell>
          <cell r="DG69">
            <v>11700</v>
          </cell>
        </row>
        <row r="70">
          <cell r="B70" t="str">
            <v>Accumulated amortization</v>
          </cell>
          <cell r="C70" t="str">
            <v>ACC_AMORT</v>
          </cell>
          <cell r="D70" t="str">
            <v>JPY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V70">
            <v>0</v>
          </cell>
          <cell r="AA70">
            <v>0</v>
          </cell>
          <cell r="AF70">
            <v>0</v>
          </cell>
          <cell r="AK70">
            <v>0</v>
          </cell>
          <cell r="AP70">
            <v>0</v>
          </cell>
          <cell r="AU70">
            <v>0</v>
          </cell>
          <cell r="AZ70">
            <v>0</v>
          </cell>
          <cell r="BE70">
            <v>0</v>
          </cell>
          <cell r="BJ70">
            <v>0</v>
          </cell>
          <cell r="BO70">
            <v>0</v>
          </cell>
          <cell r="BT70">
            <v>0</v>
          </cell>
          <cell r="BY70">
            <v>0</v>
          </cell>
          <cell r="CD70">
            <v>0</v>
          </cell>
          <cell r="CI70">
            <v>0</v>
          </cell>
          <cell r="CN70">
            <v>0</v>
          </cell>
          <cell r="CS70">
            <v>0</v>
          </cell>
          <cell r="CX70">
            <v>0</v>
          </cell>
          <cell r="DC70">
            <v>-500</v>
          </cell>
          <cell r="DD70">
            <v>-1000</v>
          </cell>
          <cell r="DE70">
            <v>-1500</v>
          </cell>
          <cell r="DF70">
            <v>-2000</v>
          </cell>
          <cell r="DG70">
            <v>-2500</v>
          </cell>
        </row>
        <row r="71">
          <cell r="B71" t="str">
            <v>Net intangible assets</v>
          </cell>
          <cell r="C71" t="str">
            <v>NET_INTANG</v>
          </cell>
          <cell r="D71" t="str">
            <v>JPY</v>
          </cell>
          <cell r="F71">
            <v>5519</v>
          </cell>
          <cell r="G71">
            <v>2503</v>
          </cell>
          <cell r="H71">
            <v>355</v>
          </cell>
          <cell r="I71">
            <v>707</v>
          </cell>
          <cell r="J71">
            <v>621</v>
          </cell>
          <cell r="K71">
            <v>723</v>
          </cell>
          <cell r="L71">
            <v>997</v>
          </cell>
          <cell r="M71">
            <v>1084</v>
          </cell>
          <cell r="N71">
            <v>984</v>
          </cell>
          <cell r="O71">
            <v>813</v>
          </cell>
          <cell r="P71">
            <v>771</v>
          </cell>
          <cell r="Q71">
            <v>445</v>
          </cell>
          <cell r="V71">
            <v>5022</v>
          </cell>
          <cell r="AA71">
            <v>4321</v>
          </cell>
          <cell r="AF71">
            <v>4779</v>
          </cell>
          <cell r="AK71">
            <v>4850</v>
          </cell>
          <cell r="AP71">
            <v>4465</v>
          </cell>
          <cell r="AU71">
            <v>3939</v>
          </cell>
          <cell r="AZ71">
            <v>4677</v>
          </cell>
          <cell r="BE71">
            <v>6309</v>
          </cell>
          <cell r="BJ71">
            <v>8212</v>
          </cell>
          <cell r="BO71">
            <v>42290</v>
          </cell>
          <cell r="BT71">
            <v>44070</v>
          </cell>
          <cell r="BY71">
            <v>37264</v>
          </cell>
          <cell r="CD71">
            <v>4470</v>
          </cell>
          <cell r="CI71">
            <v>3806</v>
          </cell>
          <cell r="CN71">
            <v>12476</v>
          </cell>
          <cell r="CS71">
            <v>12205</v>
          </cell>
          <cell r="CX71">
            <v>11651</v>
          </cell>
          <cell r="DC71">
            <v>11200</v>
          </cell>
          <cell r="DD71">
            <v>10700</v>
          </cell>
          <cell r="DE71">
            <v>10200</v>
          </cell>
          <cell r="DF71">
            <v>9700</v>
          </cell>
          <cell r="DG71">
            <v>9200</v>
          </cell>
        </row>
        <row r="72">
          <cell r="B72" t="str">
            <v>Equity method investments</v>
          </cell>
          <cell r="C72" t="str">
            <v>FIX_ASS_INV</v>
          </cell>
          <cell r="D72" t="str">
            <v>JPY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V72">
            <v>0</v>
          </cell>
          <cell r="AA72">
            <v>0</v>
          </cell>
          <cell r="AF72">
            <v>0</v>
          </cell>
          <cell r="AK72">
            <v>0</v>
          </cell>
          <cell r="AP72">
            <v>0</v>
          </cell>
          <cell r="AU72">
            <v>0</v>
          </cell>
          <cell r="AZ72">
            <v>0</v>
          </cell>
          <cell r="BE72">
            <v>0</v>
          </cell>
          <cell r="BJ72">
            <v>0</v>
          </cell>
          <cell r="BO72">
            <v>0</v>
          </cell>
          <cell r="BT72">
            <v>0</v>
          </cell>
          <cell r="BY72">
            <v>0</v>
          </cell>
          <cell r="CD72">
            <v>0</v>
          </cell>
          <cell r="CI72">
            <v>0</v>
          </cell>
          <cell r="CN72">
            <v>0</v>
          </cell>
          <cell r="CS72">
            <v>0</v>
          </cell>
          <cell r="CX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</row>
        <row r="73">
          <cell r="B73" t="str">
            <v>Investments in securities</v>
          </cell>
          <cell r="C73" t="str">
            <v>INV_SECUR</v>
          </cell>
          <cell r="D73" t="str">
            <v>JPY</v>
          </cell>
          <cell r="F73">
            <v>4459</v>
          </cell>
          <cell r="G73">
            <v>11043</v>
          </cell>
          <cell r="H73">
            <v>10172</v>
          </cell>
          <cell r="I73">
            <v>14010</v>
          </cell>
          <cell r="J73">
            <v>13223</v>
          </cell>
          <cell r="K73">
            <v>43530</v>
          </cell>
          <cell r="L73">
            <v>95360</v>
          </cell>
          <cell r="M73">
            <v>70798</v>
          </cell>
          <cell r="N73">
            <v>83341</v>
          </cell>
          <cell r="O73">
            <v>110777</v>
          </cell>
          <cell r="P73">
            <v>139330</v>
          </cell>
          <cell r="Q73">
            <v>120493</v>
          </cell>
          <cell r="V73">
            <v>137143</v>
          </cell>
          <cell r="AA73">
            <v>123099</v>
          </cell>
          <cell r="AF73">
            <v>130134</v>
          </cell>
          <cell r="AK73">
            <v>119287</v>
          </cell>
          <cell r="AP73">
            <v>115927</v>
          </cell>
          <cell r="AU73">
            <v>117635</v>
          </cell>
          <cell r="AZ73">
            <v>138571</v>
          </cell>
          <cell r="BE73">
            <v>131843</v>
          </cell>
          <cell r="BJ73">
            <v>135441</v>
          </cell>
          <cell r="BO73">
            <v>145246</v>
          </cell>
          <cell r="BT73">
            <v>120136</v>
          </cell>
          <cell r="BY73">
            <v>138606</v>
          </cell>
          <cell r="CD73">
            <v>138606</v>
          </cell>
          <cell r="CI73">
            <v>138606</v>
          </cell>
          <cell r="CN73">
            <v>138606</v>
          </cell>
          <cell r="CS73">
            <v>138606</v>
          </cell>
          <cell r="CX73">
            <v>138606</v>
          </cell>
          <cell r="DC73">
            <v>150300</v>
          </cell>
          <cell r="DD73">
            <v>162200</v>
          </cell>
          <cell r="DE73">
            <v>174300</v>
          </cell>
          <cell r="DF73">
            <v>186600</v>
          </cell>
          <cell r="DG73">
            <v>199100</v>
          </cell>
        </row>
        <row r="74">
          <cell r="B74" t="str">
            <v>Other long-term assets</v>
          </cell>
          <cell r="C74" t="str">
            <v>OTH_LT_ASS</v>
          </cell>
          <cell r="D74" t="str">
            <v>JPY</v>
          </cell>
          <cell r="F74">
            <v>8004</v>
          </cell>
          <cell r="G74">
            <v>9126</v>
          </cell>
          <cell r="H74">
            <v>7549</v>
          </cell>
          <cell r="I74">
            <v>8983</v>
          </cell>
          <cell r="J74">
            <v>9841</v>
          </cell>
          <cell r="K74">
            <v>9987</v>
          </cell>
          <cell r="L74">
            <v>8720</v>
          </cell>
          <cell r="M74">
            <v>22190</v>
          </cell>
          <cell r="N74">
            <v>20399</v>
          </cell>
          <cell r="O74">
            <v>12442</v>
          </cell>
          <cell r="P74">
            <v>12523</v>
          </cell>
          <cell r="Q74">
            <v>16347</v>
          </cell>
          <cell r="V74">
            <v>15069</v>
          </cell>
          <cell r="AA74">
            <v>13839</v>
          </cell>
          <cell r="AF74">
            <v>14415</v>
          </cell>
          <cell r="AK74">
            <v>19185</v>
          </cell>
          <cell r="AP74">
            <v>19347</v>
          </cell>
          <cell r="AU74">
            <v>14968</v>
          </cell>
          <cell r="AZ74">
            <v>22423</v>
          </cell>
          <cell r="BE74">
            <v>18878</v>
          </cell>
          <cell r="BJ74">
            <v>20334</v>
          </cell>
          <cell r="BO74">
            <v>5723</v>
          </cell>
          <cell r="BT74">
            <v>7074</v>
          </cell>
          <cell r="BY74">
            <v>8023</v>
          </cell>
          <cell r="CD74">
            <v>18772</v>
          </cell>
          <cell r="CI74">
            <v>6362</v>
          </cell>
          <cell r="CN74">
            <v>26196</v>
          </cell>
          <cell r="CS74">
            <v>12480</v>
          </cell>
          <cell r="CX74">
            <v>26115</v>
          </cell>
          <cell r="DC74">
            <v>26100</v>
          </cell>
          <cell r="DD74">
            <v>26100</v>
          </cell>
          <cell r="DE74">
            <v>26100</v>
          </cell>
          <cell r="DF74">
            <v>26100</v>
          </cell>
          <cell r="DG74">
            <v>26100</v>
          </cell>
        </row>
        <row r="75">
          <cell r="B75" t="str">
            <v>Total assets</v>
          </cell>
          <cell r="C75" t="str">
            <v>TOT_ASSET</v>
          </cell>
          <cell r="D75" t="str">
            <v>JPY</v>
          </cell>
          <cell r="F75">
            <v>278185</v>
          </cell>
          <cell r="G75">
            <v>287515</v>
          </cell>
          <cell r="H75">
            <v>288817</v>
          </cell>
          <cell r="I75">
            <v>296194</v>
          </cell>
          <cell r="J75">
            <v>288848</v>
          </cell>
          <cell r="K75">
            <v>312074</v>
          </cell>
          <cell r="L75">
            <v>326195</v>
          </cell>
          <cell r="M75">
            <v>326912</v>
          </cell>
          <cell r="N75">
            <v>331993</v>
          </cell>
          <cell r="O75">
            <v>343643</v>
          </cell>
          <cell r="P75">
            <v>361103</v>
          </cell>
          <cell r="Q75">
            <v>366800</v>
          </cell>
          <cell r="V75">
            <v>410407</v>
          </cell>
          <cell r="AA75">
            <v>392694</v>
          </cell>
          <cell r="AF75">
            <v>408729</v>
          </cell>
          <cell r="AK75">
            <v>408410</v>
          </cell>
          <cell r="AP75">
            <v>409748</v>
          </cell>
          <cell r="AU75">
            <v>414717</v>
          </cell>
          <cell r="AZ75">
            <v>446132</v>
          </cell>
          <cell r="BE75">
            <v>479469</v>
          </cell>
          <cell r="BJ75">
            <v>512743</v>
          </cell>
          <cell r="BO75">
            <v>553068</v>
          </cell>
          <cell r="BT75">
            <v>537180</v>
          </cell>
          <cell r="BY75">
            <v>568111</v>
          </cell>
          <cell r="CD75">
            <v>557577</v>
          </cell>
          <cell r="CI75">
            <v>576621</v>
          </cell>
          <cell r="CN75">
            <v>663530</v>
          </cell>
          <cell r="CS75">
            <v>683422</v>
          </cell>
          <cell r="CX75">
            <v>708373</v>
          </cell>
          <cell r="DC75">
            <v>756300</v>
          </cell>
          <cell r="DD75">
            <v>800900</v>
          </cell>
          <cell r="DE75">
            <v>846100</v>
          </cell>
          <cell r="DF75">
            <v>892000</v>
          </cell>
          <cell r="DG75">
            <v>938600</v>
          </cell>
        </row>
        <row r="76">
          <cell r="B76" t="str">
            <v>Accounts payable</v>
          </cell>
          <cell r="C76" t="str">
            <v>ACC_PAY_GQ</v>
          </cell>
          <cell r="D76" t="str">
            <v>JPY</v>
          </cell>
          <cell r="F76">
            <v>37908</v>
          </cell>
          <cell r="G76">
            <v>40128</v>
          </cell>
          <cell r="H76">
            <v>39134</v>
          </cell>
          <cell r="I76">
            <v>38874</v>
          </cell>
          <cell r="J76">
            <v>37006</v>
          </cell>
          <cell r="K76">
            <v>35638</v>
          </cell>
          <cell r="L76">
            <v>37450</v>
          </cell>
          <cell r="M76">
            <v>34684</v>
          </cell>
          <cell r="N76">
            <v>35563</v>
          </cell>
          <cell r="O76">
            <v>34299</v>
          </cell>
          <cell r="P76">
            <v>33682</v>
          </cell>
          <cell r="Q76">
            <v>34666</v>
          </cell>
          <cell r="V76">
            <v>43324</v>
          </cell>
          <cell r="AA76">
            <v>38045</v>
          </cell>
          <cell r="AF76">
            <v>43163</v>
          </cell>
          <cell r="AK76">
            <v>40400</v>
          </cell>
          <cell r="AP76">
            <v>41422</v>
          </cell>
          <cell r="AU76">
            <v>44876</v>
          </cell>
          <cell r="AZ76">
            <v>43652</v>
          </cell>
          <cell r="BE76">
            <v>43461</v>
          </cell>
          <cell r="BJ76">
            <v>44896</v>
          </cell>
          <cell r="BO76">
            <v>51324</v>
          </cell>
          <cell r="BT76">
            <v>51705</v>
          </cell>
          <cell r="BY76">
            <v>56635</v>
          </cell>
          <cell r="CD76">
            <v>106823</v>
          </cell>
          <cell r="CI76">
            <v>104815</v>
          </cell>
          <cell r="CN76">
            <v>119275</v>
          </cell>
          <cell r="CS76">
            <v>123251</v>
          </cell>
          <cell r="CX76">
            <v>140346</v>
          </cell>
          <cell r="DC76">
            <v>153900</v>
          </cell>
          <cell r="DD76">
            <v>161400</v>
          </cell>
          <cell r="DE76">
            <v>168700</v>
          </cell>
          <cell r="DF76">
            <v>174300</v>
          </cell>
          <cell r="DG76">
            <v>179100</v>
          </cell>
        </row>
        <row r="77">
          <cell r="B77" t="str">
            <v>Short-term debt</v>
          </cell>
          <cell r="C77" t="str">
            <v>SHORT_T_DEBT</v>
          </cell>
          <cell r="D77" t="str">
            <v>JPY</v>
          </cell>
          <cell r="F77">
            <v>16498</v>
          </cell>
          <cell r="G77">
            <v>15083</v>
          </cell>
          <cell r="H77">
            <v>15578</v>
          </cell>
          <cell r="I77">
            <v>17898</v>
          </cell>
          <cell r="J77">
            <v>7794</v>
          </cell>
          <cell r="K77">
            <v>6866</v>
          </cell>
          <cell r="L77">
            <v>7478</v>
          </cell>
          <cell r="M77">
            <v>7056</v>
          </cell>
          <cell r="N77">
            <v>5246</v>
          </cell>
          <cell r="O77">
            <v>5117</v>
          </cell>
          <cell r="P77">
            <v>3038</v>
          </cell>
          <cell r="Q77">
            <v>2853</v>
          </cell>
          <cell r="V77">
            <v>3791</v>
          </cell>
          <cell r="AA77">
            <v>2353</v>
          </cell>
          <cell r="AF77">
            <v>4636</v>
          </cell>
          <cell r="AK77">
            <v>2030</v>
          </cell>
          <cell r="AP77">
            <v>1692</v>
          </cell>
          <cell r="AU77">
            <v>1780</v>
          </cell>
          <cell r="AZ77">
            <v>1342</v>
          </cell>
          <cell r="BE77">
            <v>3332</v>
          </cell>
          <cell r="BJ77">
            <v>3870</v>
          </cell>
          <cell r="BO77">
            <v>18457</v>
          </cell>
          <cell r="BT77">
            <v>18450</v>
          </cell>
          <cell r="BY77">
            <v>3235</v>
          </cell>
          <cell r="CD77">
            <v>29103</v>
          </cell>
          <cell r="CI77">
            <v>6631</v>
          </cell>
          <cell r="CN77">
            <v>9647</v>
          </cell>
          <cell r="CS77">
            <v>13242</v>
          </cell>
          <cell r="CX77">
            <v>12948</v>
          </cell>
          <cell r="DC77">
            <v>12900</v>
          </cell>
          <cell r="DD77">
            <v>12900</v>
          </cell>
          <cell r="DE77">
            <v>12900</v>
          </cell>
          <cell r="DF77">
            <v>12900</v>
          </cell>
          <cell r="DG77">
            <v>12900</v>
          </cell>
        </row>
        <row r="78">
          <cell r="B78" t="str">
            <v>Current lease liabilities (op lease: US GAAP)</v>
          </cell>
          <cell r="C78" t="str">
            <v>ST_LEASE_LIAB</v>
          </cell>
          <cell r="D78" t="str">
            <v>JPY</v>
          </cell>
        </row>
        <row r="79">
          <cell r="B79" t="str">
            <v>Other current liabilities</v>
          </cell>
          <cell r="C79" t="str">
            <v>OTH_CUR_LIABS</v>
          </cell>
          <cell r="D79" t="str">
            <v>JPY</v>
          </cell>
          <cell r="F79">
            <v>30937</v>
          </cell>
          <cell r="G79">
            <v>37762</v>
          </cell>
          <cell r="H79">
            <v>35086</v>
          </cell>
          <cell r="I79">
            <v>37717</v>
          </cell>
          <cell r="J79">
            <v>32295</v>
          </cell>
          <cell r="K79">
            <v>44290</v>
          </cell>
          <cell r="L79">
            <v>36447</v>
          </cell>
          <cell r="M79">
            <v>37570</v>
          </cell>
          <cell r="N79">
            <v>38880</v>
          </cell>
          <cell r="O79">
            <v>36933</v>
          </cell>
          <cell r="P79">
            <v>40096</v>
          </cell>
          <cell r="Q79">
            <v>40572</v>
          </cell>
          <cell r="V79">
            <v>48722</v>
          </cell>
          <cell r="AA79">
            <v>40536</v>
          </cell>
          <cell r="AF79">
            <v>40934</v>
          </cell>
          <cell r="AK79">
            <v>45658</v>
          </cell>
          <cell r="AP79">
            <v>44541</v>
          </cell>
          <cell r="AU79">
            <v>44209</v>
          </cell>
          <cell r="AZ79">
            <v>52815</v>
          </cell>
          <cell r="BE79">
            <v>53374</v>
          </cell>
          <cell r="BJ79">
            <v>54261</v>
          </cell>
          <cell r="BO79">
            <v>61104</v>
          </cell>
          <cell r="BT79">
            <v>65692</v>
          </cell>
          <cell r="BY79">
            <v>70923</v>
          </cell>
          <cell r="CD79">
            <v>25727</v>
          </cell>
          <cell r="CI79">
            <v>30235</v>
          </cell>
          <cell r="CN79">
            <v>31728</v>
          </cell>
          <cell r="CS79">
            <v>31469</v>
          </cell>
          <cell r="CX79">
            <v>31464</v>
          </cell>
          <cell r="DC79">
            <v>31500</v>
          </cell>
          <cell r="DD79">
            <v>31500</v>
          </cell>
          <cell r="DE79">
            <v>31500</v>
          </cell>
          <cell r="DF79">
            <v>31500</v>
          </cell>
          <cell r="DG79">
            <v>31500</v>
          </cell>
        </row>
        <row r="80">
          <cell r="B80" t="str">
            <v>Total current liabilities</v>
          </cell>
          <cell r="C80" t="str">
            <v>SHORT_TERM_LIABS</v>
          </cell>
          <cell r="D80" t="str">
            <v>JPY</v>
          </cell>
          <cell r="F80">
            <v>85343</v>
          </cell>
          <cell r="G80">
            <v>92973</v>
          </cell>
          <cell r="H80">
            <v>89798</v>
          </cell>
          <cell r="I80">
            <v>94489</v>
          </cell>
          <cell r="J80">
            <v>77095</v>
          </cell>
          <cell r="K80">
            <v>86794</v>
          </cell>
          <cell r="L80">
            <v>81375</v>
          </cell>
          <cell r="M80">
            <v>79310</v>
          </cell>
          <cell r="N80">
            <v>79689</v>
          </cell>
          <cell r="O80">
            <v>76349</v>
          </cell>
          <cell r="P80">
            <v>76816</v>
          </cell>
          <cell r="Q80">
            <v>78091</v>
          </cell>
          <cell r="V80">
            <v>95837</v>
          </cell>
          <cell r="AA80">
            <v>80934</v>
          </cell>
          <cell r="AF80">
            <v>88733</v>
          </cell>
          <cell r="AK80">
            <v>88088</v>
          </cell>
          <cell r="AP80">
            <v>87655</v>
          </cell>
          <cell r="AU80">
            <v>90865</v>
          </cell>
          <cell r="AZ80">
            <v>97809</v>
          </cell>
          <cell r="BE80">
            <v>100167</v>
          </cell>
          <cell r="BJ80">
            <v>103027</v>
          </cell>
          <cell r="BO80">
            <v>130885</v>
          </cell>
          <cell r="BT80">
            <v>135847</v>
          </cell>
          <cell r="BY80">
            <v>130793</v>
          </cell>
          <cell r="CD80">
            <v>161653</v>
          </cell>
          <cell r="CI80">
            <v>141681</v>
          </cell>
          <cell r="CN80">
            <v>160650</v>
          </cell>
          <cell r="CS80">
            <v>167962</v>
          </cell>
          <cell r="CX80">
            <v>184758</v>
          </cell>
          <cell r="DC80">
            <v>198300</v>
          </cell>
          <cell r="DD80">
            <v>205800</v>
          </cell>
          <cell r="DE80">
            <v>213100</v>
          </cell>
          <cell r="DF80">
            <v>218700</v>
          </cell>
          <cell r="DG80">
            <v>223500</v>
          </cell>
        </row>
        <row r="81">
          <cell r="B81" t="str">
            <v>Long-term  debt</v>
          </cell>
          <cell r="C81" t="str">
            <v>LT_DEBT</v>
          </cell>
          <cell r="D81" t="str">
            <v>JPY</v>
          </cell>
          <cell r="F81">
            <v>1944</v>
          </cell>
          <cell r="G81">
            <v>1837</v>
          </cell>
          <cell r="H81">
            <v>1109</v>
          </cell>
          <cell r="I81">
            <v>815</v>
          </cell>
          <cell r="J81">
            <v>681</v>
          </cell>
          <cell r="K81">
            <v>259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V81">
            <v>0</v>
          </cell>
          <cell r="AA81">
            <v>0</v>
          </cell>
          <cell r="AF81">
            <v>5380</v>
          </cell>
          <cell r="AK81">
            <v>9869</v>
          </cell>
          <cell r="AP81">
            <v>12980</v>
          </cell>
          <cell r="AU81">
            <v>12860</v>
          </cell>
          <cell r="AZ81">
            <v>7612</v>
          </cell>
          <cell r="BE81">
            <v>9441</v>
          </cell>
          <cell r="BJ81">
            <v>9461</v>
          </cell>
          <cell r="BO81">
            <v>13041</v>
          </cell>
          <cell r="BT81">
            <v>15867</v>
          </cell>
          <cell r="BY81">
            <v>14146</v>
          </cell>
          <cell r="CD81">
            <v>13297</v>
          </cell>
          <cell r="CI81">
            <v>41630</v>
          </cell>
          <cell r="CN81">
            <v>38283</v>
          </cell>
          <cell r="CS81">
            <v>31673</v>
          </cell>
          <cell r="CX81">
            <v>23272</v>
          </cell>
          <cell r="DC81">
            <v>23300</v>
          </cell>
          <cell r="DD81">
            <v>23300</v>
          </cell>
          <cell r="DE81">
            <v>23300</v>
          </cell>
          <cell r="DF81">
            <v>23300</v>
          </cell>
          <cell r="DG81">
            <v>23300</v>
          </cell>
        </row>
        <row r="82">
          <cell r="B82" t="str">
            <v>Non-current lease liabilities (op lease: US GAAP)</v>
          </cell>
          <cell r="C82" t="str">
            <v>LT_LEASE_LIAB</v>
          </cell>
          <cell r="D82" t="str">
            <v>JPY</v>
          </cell>
          <cell r="CD82">
            <v>5705</v>
          </cell>
          <cell r="CI82">
            <v>21427</v>
          </cell>
          <cell r="CN82">
            <v>21601</v>
          </cell>
          <cell r="CS82">
            <v>19455</v>
          </cell>
        </row>
        <row r="83">
          <cell r="B83" t="str">
            <v>Other long-term liabilities</v>
          </cell>
          <cell r="C83" t="str">
            <v>OTH_LT_CRED_GQ</v>
          </cell>
          <cell r="D83" t="str">
            <v>JPY</v>
          </cell>
          <cell r="F83">
            <v>-3622</v>
          </cell>
          <cell r="G83">
            <v>2962</v>
          </cell>
          <cell r="H83">
            <v>4521</v>
          </cell>
          <cell r="I83">
            <v>6620</v>
          </cell>
          <cell r="J83">
            <v>5177</v>
          </cell>
          <cell r="K83">
            <v>7030</v>
          </cell>
          <cell r="L83">
            <v>13890</v>
          </cell>
          <cell r="M83">
            <v>17021</v>
          </cell>
          <cell r="N83">
            <v>18597</v>
          </cell>
          <cell r="O83">
            <v>22855</v>
          </cell>
          <cell r="P83">
            <v>26149</v>
          </cell>
          <cell r="Q83">
            <v>25510</v>
          </cell>
          <cell r="V83">
            <v>26094</v>
          </cell>
          <cell r="AA83">
            <v>22916</v>
          </cell>
          <cell r="AF83">
            <v>29047</v>
          </cell>
          <cell r="AK83">
            <v>38502</v>
          </cell>
          <cell r="AP83">
            <v>31518</v>
          </cell>
          <cell r="AU83">
            <v>24335</v>
          </cell>
          <cell r="AZ83">
            <v>25685</v>
          </cell>
          <cell r="BE83">
            <v>27561</v>
          </cell>
          <cell r="BJ83">
            <v>30403</v>
          </cell>
          <cell r="BO83">
            <v>37454</v>
          </cell>
          <cell r="BT83">
            <v>31949</v>
          </cell>
          <cell r="BY83">
            <v>31396</v>
          </cell>
          <cell r="CD83">
            <v>24376</v>
          </cell>
          <cell r="CI83">
            <v>17820</v>
          </cell>
          <cell r="CN83">
            <v>21561</v>
          </cell>
          <cell r="CS83">
            <v>19742</v>
          </cell>
          <cell r="CX83">
            <v>32394</v>
          </cell>
          <cell r="DC83">
            <v>32400</v>
          </cell>
          <cell r="DD83">
            <v>32400</v>
          </cell>
          <cell r="DE83">
            <v>32400</v>
          </cell>
          <cell r="DF83">
            <v>32400</v>
          </cell>
          <cell r="DG83">
            <v>32400</v>
          </cell>
        </row>
        <row r="84">
          <cell r="B84" t="str">
            <v>Total long-term liabilities</v>
          </cell>
          <cell r="C84" t="str">
            <v>TOT_LT_LIAB</v>
          </cell>
          <cell r="D84" t="str">
            <v>JPY</v>
          </cell>
          <cell r="F84">
            <v>-1678</v>
          </cell>
          <cell r="G84">
            <v>4799</v>
          </cell>
          <cell r="H84">
            <v>5630</v>
          </cell>
          <cell r="I84">
            <v>7435</v>
          </cell>
          <cell r="J84">
            <v>5858</v>
          </cell>
          <cell r="K84">
            <v>7289</v>
          </cell>
          <cell r="L84">
            <v>13890</v>
          </cell>
          <cell r="M84">
            <v>17021</v>
          </cell>
          <cell r="N84">
            <v>18597</v>
          </cell>
          <cell r="O84">
            <v>22855</v>
          </cell>
          <cell r="P84">
            <v>26149</v>
          </cell>
          <cell r="Q84">
            <v>25510</v>
          </cell>
          <cell r="V84">
            <v>26094</v>
          </cell>
          <cell r="AA84">
            <v>22916</v>
          </cell>
          <cell r="AF84">
            <v>34427</v>
          </cell>
          <cell r="AK84">
            <v>48371</v>
          </cell>
          <cell r="AP84">
            <v>44498</v>
          </cell>
          <cell r="AU84">
            <v>37195</v>
          </cell>
          <cell r="AZ84">
            <v>33297</v>
          </cell>
          <cell r="BE84">
            <v>37002</v>
          </cell>
          <cell r="BJ84">
            <v>39864</v>
          </cell>
          <cell r="BO84">
            <v>50495</v>
          </cell>
          <cell r="BT84">
            <v>47816</v>
          </cell>
          <cell r="BY84">
            <v>45542</v>
          </cell>
          <cell r="CD84">
            <v>43378</v>
          </cell>
          <cell r="CI84">
            <v>80877</v>
          </cell>
          <cell r="CN84">
            <v>81445</v>
          </cell>
          <cell r="CS84">
            <v>70870</v>
          </cell>
          <cell r="CX84">
            <v>55666</v>
          </cell>
          <cell r="DC84">
            <v>55700</v>
          </cell>
          <cell r="DD84">
            <v>55700</v>
          </cell>
          <cell r="DE84">
            <v>55700</v>
          </cell>
          <cell r="DF84">
            <v>55700</v>
          </cell>
          <cell r="DG84">
            <v>55700</v>
          </cell>
        </row>
        <row r="85">
          <cell r="B85" t="str">
            <v>Total liabilities</v>
          </cell>
          <cell r="C85" t="str">
            <v>TOT_LIAB</v>
          </cell>
          <cell r="D85" t="str">
            <v>JPY</v>
          </cell>
          <cell r="F85">
            <v>83665</v>
          </cell>
          <cell r="G85">
            <v>97772</v>
          </cell>
          <cell r="H85">
            <v>95428</v>
          </cell>
          <cell r="I85">
            <v>101924</v>
          </cell>
          <cell r="J85">
            <v>82953</v>
          </cell>
          <cell r="K85">
            <v>94083</v>
          </cell>
          <cell r="L85">
            <v>95265</v>
          </cell>
          <cell r="M85">
            <v>96331</v>
          </cell>
          <cell r="N85">
            <v>98286</v>
          </cell>
          <cell r="O85">
            <v>99204</v>
          </cell>
          <cell r="P85">
            <v>102965</v>
          </cell>
          <cell r="Q85">
            <v>103601</v>
          </cell>
          <cell r="V85">
            <v>121931</v>
          </cell>
          <cell r="AA85">
            <v>103850</v>
          </cell>
          <cell r="AF85">
            <v>123160</v>
          </cell>
          <cell r="AK85">
            <v>136459</v>
          </cell>
          <cell r="AP85">
            <v>132153</v>
          </cell>
          <cell r="AU85">
            <v>128060</v>
          </cell>
          <cell r="AZ85">
            <v>131106</v>
          </cell>
          <cell r="BE85">
            <v>137169</v>
          </cell>
          <cell r="BJ85">
            <v>142891</v>
          </cell>
          <cell r="BO85">
            <v>181380</v>
          </cell>
          <cell r="BT85">
            <v>183663</v>
          </cell>
          <cell r="BY85">
            <v>176335</v>
          </cell>
          <cell r="CD85">
            <v>205031</v>
          </cell>
          <cell r="CI85">
            <v>222558</v>
          </cell>
          <cell r="CN85">
            <v>242095</v>
          </cell>
          <cell r="CS85">
            <v>238832</v>
          </cell>
          <cell r="CX85">
            <v>240424</v>
          </cell>
          <cell r="DC85">
            <v>254000</v>
          </cell>
          <cell r="DD85">
            <v>261500</v>
          </cell>
          <cell r="DE85">
            <v>268800</v>
          </cell>
          <cell r="DF85">
            <v>274400</v>
          </cell>
          <cell r="DG85">
            <v>279200</v>
          </cell>
        </row>
        <row r="86">
          <cell r="B86" t="str">
            <v>Preferred shares</v>
          </cell>
          <cell r="C86" t="str">
            <v>PREF_SH</v>
          </cell>
          <cell r="D86" t="str">
            <v>JPY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V86">
            <v>0</v>
          </cell>
          <cell r="AA86">
            <v>0</v>
          </cell>
          <cell r="AF86">
            <v>0</v>
          </cell>
          <cell r="AK86">
            <v>0</v>
          </cell>
          <cell r="AP86">
            <v>0</v>
          </cell>
          <cell r="AU86">
            <v>0</v>
          </cell>
          <cell r="AZ86">
            <v>0</v>
          </cell>
          <cell r="BE86">
            <v>0</v>
          </cell>
          <cell r="BJ86">
            <v>0</v>
          </cell>
          <cell r="BO86">
            <v>0</v>
          </cell>
          <cell r="BT86">
            <v>0</v>
          </cell>
          <cell r="BY86">
            <v>0</v>
          </cell>
          <cell r="CD86">
            <v>0</v>
          </cell>
          <cell r="CI86">
            <v>0</v>
          </cell>
          <cell r="CN86">
            <v>0</v>
          </cell>
          <cell r="CS86">
            <v>0</v>
          </cell>
          <cell r="CX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</row>
        <row r="87">
          <cell r="B87" t="str">
            <v>Total common equity</v>
          </cell>
          <cell r="C87" t="str">
            <v>ORD_SH_FUND</v>
          </cell>
          <cell r="D87" t="str">
            <v>JPY</v>
          </cell>
          <cell r="F87">
            <v>192920</v>
          </cell>
          <cell r="G87">
            <v>188220</v>
          </cell>
          <cell r="H87">
            <v>191485</v>
          </cell>
          <cell r="I87">
            <v>191841</v>
          </cell>
          <cell r="J87">
            <v>203822</v>
          </cell>
          <cell r="K87">
            <v>213586</v>
          </cell>
          <cell r="L87">
            <v>226504</v>
          </cell>
          <cell r="M87">
            <v>224678</v>
          </cell>
          <cell r="N87">
            <v>226850</v>
          </cell>
          <cell r="O87">
            <v>237759</v>
          </cell>
          <cell r="P87">
            <v>251403</v>
          </cell>
          <cell r="Q87">
            <v>256664</v>
          </cell>
          <cell r="V87">
            <v>281752</v>
          </cell>
          <cell r="AA87">
            <v>282467</v>
          </cell>
          <cell r="AF87">
            <v>279629</v>
          </cell>
          <cell r="AK87">
            <v>266457</v>
          </cell>
          <cell r="AP87">
            <v>272083</v>
          </cell>
          <cell r="AU87">
            <v>281082</v>
          </cell>
          <cell r="AZ87">
            <v>307480</v>
          </cell>
          <cell r="BE87">
            <v>333919</v>
          </cell>
          <cell r="BJ87">
            <v>363301</v>
          </cell>
          <cell r="BO87">
            <v>361902</v>
          </cell>
          <cell r="BT87">
            <v>342684</v>
          </cell>
          <cell r="BY87">
            <v>368306</v>
          </cell>
          <cell r="CD87">
            <v>326781</v>
          </cell>
          <cell r="CI87">
            <v>327995</v>
          </cell>
          <cell r="CN87">
            <v>384016</v>
          </cell>
          <cell r="CS87">
            <v>407660</v>
          </cell>
          <cell r="CX87">
            <v>430427</v>
          </cell>
          <cell r="DC87">
            <v>463400</v>
          </cell>
          <cell r="DD87">
            <v>499100</v>
          </cell>
          <cell r="DE87">
            <v>535600</v>
          </cell>
          <cell r="DF87">
            <v>574500</v>
          </cell>
          <cell r="DG87">
            <v>614900</v>
          </cell>
        </row>
        <row r="88">
          <cell r="B88" t="str">
            <v>Minority interest</v>
          </cell>
          <cell r="C88" t="str">
            <v>MINORITIES</v>
          </cell>
          <cell r="D88" t="str">
            <v>JPY</v>
          </cell>
          <cell r="F88">
            <v>1600</v>
          </cell>
          <cell r="G88">
            <v>1523</v>
          </cell>
          <cell r="H88">
            <v>1904</v>
          </cell>
          <cell r="I88">
            <v>2429</v>
          </cell>
          <cell r="J88">
            <v>2073</v>
          </cell>
          <cell r="K88">
            <v>4405</v>
          </cell>
          <cell r="L88">
            <v>4426</v>
          </cell>
          <cell r="M88">
            <v>5903</v>
          </cell>
          <cell r="N88">
            <v>6857</v>
          </cell>
          <cell r="O88">
            <v>6680</v>
          </cell>
          <cell r="P88">
            <v>6735</v>
          </cell>
          <cell r="Q88">
            <v>6535</v>
          </cell>
          <cell r="V88">
            <v>6724</v>
          </cell>
          <cell r="AA88">
            <v>6377</v>
          </cell>
          <cell r="AF88">
            <v>5940</v>
          </cell>
          <cell r="AK88">
            <v>5494</v>
          </cell>
          <cell r="AP88">
            <v>5512</v>
          </cell>
          <cell r="AU88">
            <v>5575</v>
          </cell>
          <cell r="AZ88">
            <v>7546</v>
          </cell>
          <cell r="BE88">
            <v>8381</v>
          </cell>
          <cell r="BJ88">
            <v>6551</v>
          </cell>
          <cell r="BO88">
            <v>9786</v>
          </cell>
          <cell r="BT88">
            <v>10833</v>
          </cell>
          <cell r="BY88">
            <v>23470</v>
          </cell>
          <cell r="CD88">
            <v>25764</v>
          </cell>
          <cell r="CI88">
            <v>26068</v>
          </cell>
          <cell r="CN88">
            <v>37419</v>
          </cell>
          <cell r="CS88">
            <v>36930</v>
          </cell>
          <cell r="CX88">
            <v>37522</v>
          </cell>
          <cell r="DC88">
            <v>38900</v>
          </cell>
          <cell r="DD88">
            <v>40300</v>
          </cell>
          <cell r="DE88">
            <v>41700</v>
          </cell>
          <cell r="DF88">
            <v>43100</v>
          </cell>
          <cell r="DG88">
            <v>44500</v>
          </cell>
        </row>
        <row r="89">
          <cell r="B89" t="str">
            <v>Total shareholders' equity</v>
          </cell>
          <cell r="C89" t="str">
            <v>EQ</v>
          </cell>
          <cell r="D89" t="str">
            <v>JPY</v>
          </cell>
          <cell r="F89">
            <v>194520</v>
          </cell>
          <cell r="G89">
            <v>189743</v>
          </cell>
          <cell r="H89">
            <v>193389</v>
          </cell>
          <cell r="I89">
            <v>194270</v>
          </cell>
          <cell r="J89">
            <v>205895</v>
          </cell>
          <cell r="K89">
            <v>217991</v>
          </cell>
          <cell r="L89">
            <v>230930</v>
          </cell>
          <cell r="M89">
            <v>230581</v>
          </cell>
          <cell r="N89">
            <v>233707</v>
          </cell>
          <cell r="O89">
            <v>244439</v>
          </cell>
          <cell r="P89">
            <v>258138</v>
          </cell>
          <cell r="Q89">
            <v>263199</v>
          </cell>
          <cell r="V89">
            <v>288476</v>
          </cell>
          <cell r="AA89">
            <v>288844</v>
          </cell>
          <cell r="AF89">
            <v>285569</v>
          </cell>
          <cell r="AK89">
            <v>271951</v>
          </cell>
          <cell r="AP89">
            <v>277595</v>
          </cell>
          <cell r="AU89">
            <v>286657</v>
          </cell>
          <cell r="AZ89">
            <v>315026</v>
          </cell>
          <cell r="BE89">
            <v>342300</v>
          </cell>
          <cell r="BJ89">
            <v>369852</v>
          </cell>
          <cell r="BO89">
            <v>371688</v>
          </cell>
          <cell r="BT89">
            <v>353517</v>
          </cell>
          <cell r="BY89">
            <v>391776</v>
          </cell>
          <cell r="CD89">
            <v>352545</v>
          </cell>
          <cell r="CI89">
            <v>354063</v>
          </cell>
          <cell r="CN89">
            <v>421435</v>
          </cell>
          <cell r="CS89">
            <v>444590</v>
          </cell>
          <cell r="CX89">
            <v>467949</v>
          </cell>
          <cell r="DC89">
            <v>502300</v>
          </cell>
          <cell r="DD89">
            <v>539400</v>
          </cell>
          <cell r="DE89">
            <v>577300</v>
          </cell>
          <cell r="DF89">
            <v>617600</v>
          </cell>
          <cell r="DG89">
            <v>659400</v>
          </cell>
        </row>
        <row r="90">
          <cell r="B90" t="str">
            <v>Total liabilities and equity</v>
          </cell>
          <cell r="C90" t="str">
            <v>TOT_LIAB_EQ</v>
          </cell>
          <cell r="D90" t="str">
            <v>JPY</v>
          </cell>
          <cell r="F90">
            <v>278185</v>
          </cell>
          <cell r="G90">
            <v>287515</v>
          </cell>
          <cell r="H90">
            <v>288817</v>
          </cell>
          <cell r="I90">
            <v>296194</v>
          </cell>
          <cell r="J90">
            <v>288848</v>
          </cell>
          <cell r="K90">
            <v>312074</v>
          </cell>
          <cell r="L90">
            <v>326195</v>
          </cell>
          <cell r="M90">
            <v>326912</v>
          </cell>
          <cell r="N90">
            <v>331993</v>
          </cell>
          <cell r="O90">
            <v>343643</v>
          </cell>
          <cell r="P90">
            <v>361103</v>
          </cell>
          <cell r="Q90">
            <v>366800</v>
          </cell>
          <cell r="V90">
            <v>410407</v>
          </cell>
          <cell r="AA90">
            <v>392694</v>
          </cell>
          <cell r="AF90">
            <v>408729</v>
          </cell>
          <cell r="AK90">
            <v>408410</v>
          </cell>
          <cell r="AP90">
            <v>409748</v>
          </cell>
          <cell r="AU90">
            <v>414717</v>
          </cell>
          <cell r="AZ90">
            <v>446132</v>
          </cell>
          <cell r="BE90">
            <v>479469</v>
          </cell>
          <cell r="BJ90">
            <v>512743</v>
          </cell>
          <cell r="BO90">
            <v>553068</v>
          </cell>
          <cell r="BT90">
            <v>537180</v>
          </cell>
          <cell r="BY90">
            <v>568111</v>
          </cell>
          <cell r="CD90">
            <v>557577</v>
          </cell>
          <cell r="CI90">
            <v>576621</v>
          </cell>
          <cell r="CN90">
            <v>663530</v>
          </cell>
          <cell r="CS90">
            <v>683422</v>
          </cell>
          <cell r="CX90">
            <v>708373</v>
          </cell>
          <cell r="DC90">
            <v>756300</v>
          </cell>
          <cell r="DD90">
            <v>800900</v>
          </cell>
          <cell r="DE90">
            <v>846100</v>
          </cell>
          <cell r="DF90">
            <v>892000</v>
          </cell>
          <cell r="DG90">
            <v>938600</v>
          </cell>
        </row>
        <row r="91">
          <cell r="A91" t="str">
            <v>Additional Balance Sheet Items</v>
          </cell>
        </row>
        <row r="92">
          <cell r="B92" t="str">
            <v>Total US$ debt (in US$)</v>
          </cell>
          <cell r="C92" t="str">
            <v>TOT_USD_DEBT</v>
          </cell>
          <cell r="BO92">
            <v>0</v>
          </cell>
          <cell r="BT92">
            <v>0</v>
          </cell>
          <cell r="BY92">
            <v>0</v>
          </cell>
          <cell r="CD92">
            <v>0</v>
          </cell>
          <cell r="CI92">
            <v>0</v>
          </cell>
          <cell r="CN92">
            <v>0</v>
          </cell>
          <cell r="CS92">
            <v>0</v>
          </cell>
          <cell r="CX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</row>
        <row r="93">
          <cell r="B93" t="str">
            <v>% US$ debt hedged (principal)</v>
          </cell>
          <cell r="C93" t="str">
            <v>TOT_PCT_USD_DEBT_HEDGED</v>
          </cell>
          <cell r="BO93">
            <v>0</v>
          </cell>
          <cell r="BT93">
            <v>0</v>
          </cell>
          <cell r="BY93">
            <v>0</v>
          </cell>
          <cell r="CD93">
            <v>0</v>
          </cell>
          <cell r="CI93">
            <v>0</v>
          </cell>
          <cell r="CN93">
            <v>0</v>
          </cell>
          <cell r="CS93">
            <v>0</v>
          </cell>
          <cell r="CX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</row>
        <row r="94">
          <cell r="B94" t="str">
            <v>% Floating debt (local currency debt)</v>
          </cell>
          <cell r="C94" t="str">
            <v>FLOATING_PCT_LOCAL_DEBT</v>
          </cell>
          <cell r="BO94">
            <v>0</v>
          </cell>
          <cell r="BT94">
            <v>0</v>
          </cell>
          <cell r="BY94">
            <v>0</v>
          </cell>
        </row>
        <row r="95">
          <cell r="B95" t="str">
            <v>% floating debt hedged (rates)</v>
          </cell>
          <cell r="C95" t="str">
            <v>FLOATING_PCT_LOCAL_DEBT_HEDGED</v>
          </cell>
          <cell r="BO95">
            <v>0</v>
          </cell>
          <cell r="BT95">
            <v>0</v>
          </cell>
          <cell r="BY95">
            <v>0</v>
          </cell>
        </row>
        <row r="96">
          <cell r="B96" t="str">
            <v>Net debt</v>
          </cell>
          <cell r="C96" t="str">
            <v>NET_DEBT</v>
          </cell>
          <cell r="D96" t="str">
            <v>JPY</v>
          </cell>
          <cell r="F96">
            <v>-88121</v>
          </cell>
          <cell r="G96">
            <v>-81879</v>
          </cell>
          <cell r="H96">
            <v>-70429</v>
          </cell>
          <cell r="I96">
            <v>-66831</v>
          </cell>
          <cell r="J96">
            <v>-107914</v>
          </cell>
          <cell r="K96">
            <v>-102559</v>
          </cell>
          <cell r="L96">
            <v>-66731</v>
          </cell>
          <cell r="M96">
            <v>-88954</v>
          </cell>
          <cell r="N96">
            <v>-79715</v>
          </cell>
          <cell r="O96">
            <v>-73403</v>
          </cell>
          <cell r="P96">
            <v>-71046</v>
          </cell>
          <cell r="Q96">
            <v>-99257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-79514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-91616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-73533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-78058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-58820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-63795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-61462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-78875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-100187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-59416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-37757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-38801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-9020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9525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-20763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-37635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-51168</v>
          </cell>
          <cell r="DC96">
            <v>-29800</v>
          </cell>
          <cell r="DD96">
            <v>-11800</v>
          </cell>
          <cell r="DE96">
            <v>3800</v>
          </cell>
          <cell r="DF96">
            <v>10400</v>
          </cell>
          <cell r="DG96">
            <v>10000</v>
          </cell>
        </row>
        <row r="97">
          <cell r="B97" t="str">
            <v>Capitalized operating leases (off-balance sheet)</v>
          </cell>
          <cell r="C97" t="str">
            <v>CAP_LEASES</v>
          </cell>
          <cell r="D97" t="str">
            <v>JPY</v>
          </cell>
        </row>
        <row r="98">
          <cell r="B98" t="str">
            <v>Deferred income taxes</v>
          </cell>
          <cell r="C98" t="str">
            <v>DEF_INC_TAX</v>
          </cell>
          <cell r="D98" t="str">
            <v>JPY</v>
          </cell>
        </row>
        <row r="99">
          <cell r="B99" t="str">
            <v>Associates (mkt value) used in EV calculation</v>
          </cell>
          <cell r="C99" t="str">
            <v>MV_ASSOCIATES</v>
          </cell>
          <cell r="D99" t="str">
            <v>JPY</v>
          </cell>
        </row>
        <row r="100">
          <cell r="B100" t="str">
            <v>Net debt adjustment</v>
          </cell>
          <cell r="C100" t="str">
            <v>NET_DEBT_ADJ</v>
          </cell>
          <cell r="D100" t="str">
            <v>JPY</v>
          </cell>
        </row>
        <row r="101">
          <cell r="B101" t="str">
            <v>Company borrowing margin</v>
          </cell>
          <cell r="C101" t="str">
            <v>CO_BOR_MARGIN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2.5684210526315789E-2</v>
          </cell>
          <cell r="L101">
            <v>2.0058839261834716E-2</v>
          </cell>
          <cell r="M101">
            <v>1.7998866213151929E-2</v>
          </cell>
          <cell r="N101">
            <v>9.1498284407167361E-3</v>
          </cell>
          <cell r="O101">
            <v>1.0357631424662889E-2</v>
          </cell>
          <cell r="P101">
            <v>1.4154048716260697E-2</v>
          </cell>
          <cell r="Q101">
            <v>1.4020329477742727E-2</v>
          </cell>
          <cell r="V101">
            <v>1.2661566868900026E-2</v>
          </cell>
          <cell r="AA101">
            <v>2.5499362515937103E-2</v>
          </cell>
          <cell r="AF101">
            <v>8.2867412140575081E-3</v>
          </cell>
          <cell r="AK101">
            <v>1.6640053786032439E-2</v>
          </cell>
          <cell r="AP101">
            <v>1.4585605234460196E-2</v>
          </cell>
          <cell r="AU101">
            <v>1.48224043715847E-2</v>
          </cell>
          <cell r="AZ101">
            <v>2.3788251060978333E-2</v>
          </cell>
          <cell r="BE101">
            <v>1.9572535817740547E-2</v>
          </cell>
          <cell r="BJ101">
            <v>1.8528242442427425E-2</v>
          </cell>
          <cell r="BO101">
            <v>1.0889580290812115E-2</v>
          </cell>
          <cell r="BT101">
            <v>1.0373867179532011E-2</v>
          </cell>
          <cell r="BY101">
            <v>2.4854726425407054E-2</v>
          </cell>
          <cell r="CD101">
            <v>7.6886792452830191E-3</v>
          </cell>
          <cell r="CI101">
            <v>2.3766602432606039E-2</v>
          </cell>
          <cell r="CN101">
            <v>2.4890465261840182E-2</v>
          </cell>
          <cell r="CS101">
            <v>1.1198931314705556E-2</v>
          </cell>
          <cell r="CX101">
            <v>2.6035339591385976E-2</v>
          </cell>
          <cell r="DC101">
            <v>1.3812154696132596E-2</v>
          </cell>
          <cell r="DD101">
            <v>1.3812154696132596E-2</v>
          </cell>
          <cell r="DE101">
            <v>1.3812154696132596E-2</v>
          </cell>
          <cell r="DF101">
            <v>1.3812154696132596E-2</v>
          </cell>
          <cell r="DG101">
            <v>1.3812154696132596E-2</v>
          </cell>
        </row>
        <row r="102">
          <cell r="B102" t="str">
            <v>Unfunded pensions &amp; other provisions</v>
          </cell>
          <cell r="C102" t="str">
            <v>UNF_PENS</v>
          </cell>
          <cell r="D102" t="str">
            <v>JPY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V102">
            <v>0</v>
          </cell>
          <cell r="AA102">
            <v>0</v>
          </cell>
          <cell r="AF102">
            <v>0</v>
          </cell>
          <cell r="AK102">
            <v>0</v>
          </cell>
          <cell r="AP102">
            <v>0</v>
          </cell>
          <cell r="AU102">
            <v>0</v>
          </cell>
          <cell r="AZ102">
            <v>0</v>
          </cell>
          <cell r="BE102">
            <v>0</v>
          </cell>
          <cell r="BJ102">
            <v>0</v>
          </cell>
          <cell r="BO102">
            <v>0</v>
          </cell>
          <cell r="BT102">
            <v>0</v>
          </cell>
          <cell r="BY102">
            <v>0</v>
          </cell>
          <cell r="CD102">
            <v>0</v>
          </cell>
          <cell r="CI102">
            <v>0</v>
          </cell>
          <cell r="CN102">
            <v>0</v>
          </cell>
          <cell r="CS102">
            <v>0</v>
          </cell>
          <cell r="CX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</row>
        <row r="103">
          <cell r="B103" t="str">
            <v>Unfunded pension liabilities (off balance sheet)</v>
          </cell>
          <cell r="C103" t="str">
            <v>UNF_PENS_OFF</v>
          </cell>
          <cell r="D103" t="str">
            <v>JPY</v>
          </cell>
        </row>
        <row r="104">
          <cell r="B104" t="str">
            <v>Unfunded pension liabilities &amp; other, used in EV</v>
          </cell>
          <cell r="C104" t="str">
            <v>UNF_PENS_LIAB_OTH</v>
          </cell>
          <cell r="D104" t="str">
            <v>JPY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V104">
            <v>0</v>
          </cell>
          <cell r="AA104">
            <v>0</v>
          </cell>
          <cell r="AF104">
            <v>0</v>
          </cell>
          <cell r="AK104">
            <v>0</v>
          </cell>
          <cell r="AP104">
            <v>0</v>
          </cell>
          <cell r="AU104">
            <v>0</v>
          </cell>
          <cell r="AZ104">
            <v>0</v>
          </cell>
          <cell r="BE104">
            <v>0</v>
          </cell>
          <cell r="BJ104">
            <v>0</v>
          </cell>
          <cell r="BO104">
            <v>0</v>
          </cell>
          <cell r="BT104">
            <v>0</v>
          </cell>
          <cell r="BY104">
            <v>0</v>
          </cell>
          <cell r="CD104">
            <v>0</v>
          </cell>
          <cell r="CI104">
            <v>0</v>
          </cell>
          <cell r="CN104">
            <v>0</v>
          </cell>
          <cell r="CS104">
            <v>0</v>
          </cell>
          <cell r="CX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</row>
        <row r="105">
          <cell r="B105" t="str">
            <v>Adjustment for unfunded pensions &amp; goodwill</v>
          </cell>
          <cell r="C105" t="str">
            <v>ADJ_UNF_PENS_GOOD</v>
          </cell>
          <cell r="D105" t="str">
            <v>JPY</v>
          </cell>
        </row>
        <row r="106">
          <cell r="B106" t="str">
            <v>Other GCI adjustments</v>
          </cell>
          <cell r="C106" t="str">
            <v>OTH_GCI_ADJ</v>
          </cell>
          <cell r="D106" t="str">
            <v>JPY</v>
          </cell>
        </row>
        <row r="107">
          <cell r="B107" t="str">
            <v>GCI inflator</v>
          </cell>
          <cell r="C107" t="str">
            <v>GCI_INFL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J107">
            <v>1</v>
          </cell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V107">
            <v>1</v>
          </cell>
          <cell r="AA107">
            <v>1</v>
          </cell>
          <cell r="AF107">
            <v>1</v>
          </cell>
          <cell r="AK107">
            <v>1</v>
          </cell>
          <cell r="AP107">
            <v>1</v>
          </cell>
          <cell r="AU107">
            <v>1</v>
          </cell>
          <cell r="AZ107">
            <v>1</v>
          </cell>
          <cell r="BE107">
            <v>1</v>
          </cell>
          <cell r="BJ107">
            <v>1</v>
          </cell>
          <cell r="BO107">
            <v>1</v>
          </cell>
          <cell r="BT107">
            <v>1</v>
          </cell>
          <cell r="BY107">
            <v>1</v>
          </cell>
          <cell r="CD107">
            <v>1</v>
          </cell>
          <cell r="CI107">
            <v>1</v>
          </cell>
          <cell r="CN107">
            <v>1</v>
          </cell>
          <cell r="CS107">
            <v>1</v>
          </cell>
          <cell r="CX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</row>
        <row r="108">
          <cell r="B108" t="str">
            <v>Minority interest</v>
          </cell>
          <cell r="C108" t="str">
            <v>BAL_MINO_INT</v>
          </cell>
          <cell r="D108" t="str">
            <v>JPY</v>
          </cell>
          <cell r="F108">
            <v>1600</v>
          </cell>
          <cell r="G108">
            <v>1523</v>
          </cell>
          <cell r="H108">
            <v>1904</v>
          </cell>
          <cell r="I108">
            <v>2429</v>
          </cell>
          <cell r="J108">
            <v>2073</v>
          </cell>
          <cell r="K108">
            <v>4405</v>
          </cell>
          <cell r="L108">
            <v>4426</v>
          </cell>
          <cell r="M108">
            <v>5903</v>
          </cell>
          <cell r="N108">
            <v>6857</v>
          </cell>
          <cell r="O108">
            <v>6680</v>
          </cell>
          <cell r="P108">
            <v>6735</v>
          </cell>
          <cell r="Q108">
            <v>6535</v>
          </cell>
          <cell r="V108">
            <v>6724</v>
          </cell>
          <cell r="AA108">
            <v>6377</v>
          </cell>
          <cell r="AF108">
            <v>5940</v>
          </cell>
          <cell r="AK108">
            <v>5494</v>
          </cell>
          <cell r="AP108">
            <v>5512</v>
          </cell>
          <cell r="AU108">
            <v>5575</v>
          </cell>
          <cell r="AZ108">
            <v>7546</v>
          </cell>
          <cell r="BE108">
            <v>8381</v>
          </cell>
          <cell r="BJ108">
            <v>6551</v>
          </cell>
          <cell r="BO108">
            <v>9786</v>
          </cell>
          <cell r="BT108">
            <v>10833</v>
          </cell>
          <cell r="BY108">
            <v>23470</v>
          </cell>
          <cell r="CD108">
            <v>25764</v>
          </cell>
          <cell r="CI108">
            <v>26068</v>
          </cell>
          <cell r="CN108">
            <v>37419</v>
          </cell>
          <cell r="CS108">
            <v>36930</v>
          </cell>
          <cell r="CX108">
            <v>37522</v>
          </cell>
          <cell r="DC108">
            <v>38900</v>
          </cell>
          <cell r="DD108">
            <v>40300</v>
          </cell>
          <cell r="DE108">
            <v>41700</v>
          </cell>
          <cell r="DF108">
            <v>43100</v>
          </cell>
          <cell r="DG108">
            <v>44500</v>
          </cell>
        </row>
        <row r="109">
          <cell r="B109" t="str">
            <v>Cash &amp; cash equivalents</v>
          </cell>
          <cell r="C109" t="str">
            <v>CASH_EQ_JPN</v>
          </cell>
          <cell r="D109" t="str">
            <v>JPY</v>
          </cell>
          <cell r="F109">
            <v>106563</v>
          </cell>
          <cell r="G109">
            <v>98799</v>
          </cell>
          <cell r="H109">
            <v>87116</v>
          </cell>
          <cell r="I109">
            <v>85544</v>
          </cell>
          <cell r="J109">
            <v>116389</v>
          </cell>
          <cell r="K109">
            <v>109684</v>
          </cell>
          <cell r="L109">
            <v>74209</v>
          </cell>
          <cell r="M109">
            <v>96010</v>
          </cell>
          <cell r="N109">
            <v>84961</v>
          </cell>
          <cell r="O109">
            <v>78520</v>
          </cell>
          <cell r="P109">
            <v>74084</v>
          </cell>
          <cell r="Q109">
            <v>102110</v>
          </cell>
          <cell r="V109">
            <v>83305</v>
          </cell>
          <cell r="AA109">
            <v>93969</v>
          </cell>
          <cell r="AF109">
            <v>83549</v>
          </cell>
          <cell r="AK109">
            <v>89957</v>
          </cell>
          <cell r="AP109">
            <v>73492</v>
          </cell>
          <cell r="AU109">
            <v>78435</v>
          </cell>
          <cell r="AZ109">
            <v>70416</v>
          </cell>
          <cell r="BE109">
            <v>91648</v>
          </cell>
          <cell r="BJ109">
            <v>113518</v>
          </cell>
          <cell r="BO109">
            <v>90914</v>
          </cell>
          <cell r="BT109">
            <v>72074</v>
          </cell>
          <cell r="BY109">
            <v>56182</v>
          </cell>
          <cell r="CD109">
            <v>57125</v>
          </cell>
          <cell r="CI109">
            <v>60163</v>
          </cell>
          <cell r="CN109">
            <v>90294</v>
          </cell>
          <cell r="CS109">
            <v>102005</v>
          </cell>
          <cell r="CX109">
            <v>87388</v>
          </cell>
          <cell r="DC109">
            <v>66000</v>
          </cell>
          <cell r="DD109">
            <v>48000</v>
          </cell>
          <cell r="DE109">
            <v>32400</v>
          </cell>
          <cell r="DF109">
            <v>25800</v>
          </cell>
          <cell r="DG109">
            <v>26200</v>
          </cell>
        </row>
        <row r="110">
          <cell r="B110" t="str">
            <v>Other current assets</v>
          </cell>
          <cell r="C110" t="str">
            <v>OTH_CUR_ASS_JPN</v>
          </cell>
          <cell r="D110" t="str">
            <v>JPY</v>
          </cell>
          <cell r="F110">
            <v>816</v>
          </cell>
          <cell r="G110">
            <v>2542</v>
          </cell>
          <cell r="H110">
            <v>1408</v>
          </cell>
          <cell r="I110">
            <v>2235</v>
          </cell>
          <cell r="J110">
            <v>5096</v>
          </cell>
          <cell r="K110">
            <v>4751</v>
          </cell>
          <cell r="L110">
            <v>4628</v>
          </cell>
          <cell r="M110">
            <v>5538</v>
          </cell>
          <cell r="N110">
            <v>6007</v>
          </cell>
          <cell r="O110">
            <v>8531</v>
          </cell>
          <cell r="P110">
            <v>8156</v>
          </cell>
          <cell r="Q110">
            <v>8024</v>
          </cell>
          <cell r="V110">
            <v>8388</v>
          </cell>
          <cell r="AA110">
            <v>7580</v>
          </cell>
          <cell r="AF110">
            <v>15040</v>
          </cell>
          <cell r="AK110">
            <v>7776</v>
          </cell>
          <cell r="AP110">
            <v>9217</v>
          </cell>
          <cell r="AU110">
            <v>9384</v>
          </cell>
          <cell r="AZ110">
            <v>9835</v>
          </cell>
          <cell r="BE110">
            <v>10915</v>
          </cell>
          <cell r="BJ110">
            <v>10430</v>
          </cell>
          <cell r="BO110">
            <v>11450</v>
          </cell>
          <cell r="BT110">
            <v>11617</v>
          </cell>
          <cell r="BY110">
            <v>45401</v>
          </cell>
          <cell r="CD110">
            <v>16295</v>
          </cell>
          <cell r="CI110">
            <v>17235</v>
          </cell>
          <cell r="CN110">
            <v>13085</v>
          </cell>
          <cell r="CS110">
            <v>20383</v>
          </cell>
          <cell r="CX110">
            <v>20104</v>
          </cell>
          <cell r="DC110">
            <v>22900</v>
          </cell>
          <cell r="DD110">
            <v>25900</v>
          </cell>
          <cell r="DE110">
            <v>28900</v>
          </cell>
          <cell r="DF110">
            <v>31900</v>
          </cell>
          <cell r="DG110">
            <v>34900</v>
          </cell>
        </row>
        <row r="111">
          <cell r="B111" t="str">
            <v>Right-of-use assets (op lease assets under US GAAP)</v>
          </cell>
          <cell r="C111" t="str">
            <v>ROU_ASSET</v>
          </cell>
          <cell r="D111" t="str">
            <v>JPY</v>
          </cell>
          <cell r="BY111">
            <v>4680</v>
          </cell>
          <cell r="CD111">
            <v>7520</v>
          </cell>
          <cell r="CI111">
            <v>27799</v>
          </cell>
          <cell r="CN111">
            <v>31087</v>
          </cell>
          <cell r="CS111">
            <v>33613</v>
          </cell>
        </row>
        <row r="112">
          <cell r="A112" t="str">
            <v>Cash Flow Statement</v>
          </cell>
        </row>
        <row r="113">
          <cell r="B113" t="str">
            <v>Minority interest add-back</v>
          </cell>
          <cell r="C113" t="str">
            <v>CF_INC_MINORITY</v>
          </cell>
          <cell r="D113" t="str">
            <v>JPY</v>
          </cell>
          <cell r="K113">
            <v>-39</v>
          </cell>
          <cell r="L113">
            <v>116</v>
          </cell>
          <cell r="M113">
            <v>-525</v>
          </cell>
          <cell r="N113">
            <v>-196</v>
          </cell>
          <cell r="O113">
            <v>-217</v>
          </cell>
          <cell r="P113">
            <v>216</v>
          </cell>
          <cell r="Q113">
            <v>-45</v>
          </cell>
          <cell r="V113">
            <v>62</v>
          </cell>
          <cell r="AA113">
            <v>-181</v>
          </cell>
          <cell r="AF113">
            <v>96</v>
          </cell>
          <cell r="AK113">
            <v>388</v>
          </cell>
          <cell r="AP113">
            <v>329</v>
          </cell>
          <cell r="AU113">
            <v>193</v>
          </cell>
          <cell r="AZ113">
            <v>343</v>
          </cell>
          <cell r="BE113">
            <v>20</v>
          </cell>
          <cell r="BJ113">
            <v>214</v>
          </cell>
          <cell r="BO113">
            <v>2</v>
          </cell>
          <cell r="BT113">
            <v>170</v>
          </cell>
          <cell r="BY113">
            <v>14</v>
          </cell>
          <cell r="CD113">
            <v>567</v>
          </cell>
          <cell r="CI113">
            <v>1805</v>
          </cell>
          <cell r="CN113">
            <v>2511</v>
          </cell>
          <cell r="CS113">
            <v>2842</v>
          </cell>
          <cell r="CX113">
            <v>3620</v>
          </cell>
          <cell r="DC113">
            <v>3600</v>
          </cell>
          <cell r="DD113">
            <v>3600</v>
          </cell>
          <cell r="DE113">
            <v>3600</v>
          </cell>
          <cell r="DF113">
            <v>3600</v>
          </cell>
          <cell r="DG113">
            <v>3600</v>
          </cell>
        </row>
        <row r="114">
          <cell r="B114" t="str">
            <v>Depreciation &amp; amortization add-back</v>
          </cell>
          <cell r="C114" t="str">
            <v>DEPR_AMORT</v>
          </cell>
          <cell r="D114" t="str">
            <v>JPY</v>
          </cell>
          <cell r="K114">
            <v>8077</v>
          </cell>
          <cell r="L114">
            <v>7584</v>
          </cell>
          <cell r="M114">
            <v>7223</v>
          </cell>
          <cell r="N114">
            <v>7459</v>
          </cell>
          <cell r="O114">
            <v>7078</v>
          </cell>
          <cell r="P114">
            <v>6674</v>
          </cell>
          <cell r="Q114">
            <v>5976</v>
          </cell>
          <cell r="V114">
            <v>6187</v>
          </cell>
          <cell r="AA114">
            <v>7526</v>
          </cell>
          <cell r="AF114">
            <v>7973</v>
          </cell>
          <cell r="AK114">
            <v>9577</v>
          </cell>
          <cell r="AP114">
            <v>12827</v>
          </cell>
          <cell r="AU114">
            <v>14955</v>
          </cell>
          <cell r="AZ114">
            <v>14344</v>
          </cell>
          <cell r="BE114">
            <v>14516</v>
          </cell>
          <cell r="BJ114">
            <v>15439</v>
          </cell>
          <cell r="BO114">
            <v>18333.75</v>
          </cell>
          <cell r="BT114">
            <v>17232.554499999998</v>
          </cell>
          <cell r="BY114">
            <v>19814.255499999999</v>
          </cell>
          <cell r="CD114">
            <v>20304</v>
          </cell>
          <cell r="CI114">
            <v>26823.771000000001</v>
          </cell>
          <cell r="CN114">
            <v>26865.55</v>
          </cell>
          <cell r="CS114">
            <v>29331.852999999999</v>
          </cell>
          <cell r="CX114">
            <v>29698</v>
          </cell>
          <cell r="DC114">
            <v>30600</v>
          </cell>
          <cell r="DD114">
            <v>32800</v>
          </cell>
          <cell r="DE114">
            <v>35600</v>
          </cell>
          <cell r="DF114">
            <v>38100</v>
          </cell>
          <cell r="DG114">
            <v>40800</v>
          </cell>
        </row>
        <row r="115">
          <cell r="B115" t="str">
            <v>(Increase)/decrease in working capital</v>
          </cell>
          <cell r="C115" t="str">
            <v>WORK_CAP</v>
          </cell>
          <cell r="D115" t="str">
            <v>JPY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V115">
            <v>0</v>
          </cell>
          <cell r="AA115">
            <v>0</v>
          </cell>
          <cell r="AF115">
            <v>0</v>
          </cell>
          <cell r="AK115">
            <v>0</v>
          </cell>
          <cell r="AP115">
            <v>0</v>
          </cell>
          <cell r="AU115">
            <v>0</v>
          </cell>
          <cell r="AZ115">
            <v>-1997</v>
          </cell>
          <cell r="BE115">
            <v>-3916</v>
          </cell>
          <cell r="BJ115">
            <v>-3285</v>
          </cell>
          <cell r="BO115">
            <v>-2672</v>
          </cell>
          <cell r="BT115">
            <v>-5015</v>
          </cell>
          <cell r="BY115">
            <v>-210</v>
          </cell>
          <cell r="CD115">
            <v>398</v>
          </cell>
          <cell r="CI115">
            <v>-3637</v>
          </cell>
          <cell r="CN115">
            <v>7182</v>
          </cell>
          <cell r="CS115">
            <v>-8729</v>
          </cell>
          <cell r="CX115">
            <v>-7644</v>
          </cell>
          <cell r="DC115">
            <v>-1700</v>
          </cell>
          <cell r="DD115">
            <v>-1000</v>
          </cell>
          <cell r="DE115">
            <v>-1000</v>
          </cell>
          <cell r="DF115">
            <v>-700</v>
          </cell>
          <cell r="DG115">
            <v>-700</v>
          </cell>
        </row>
        <row r="116">
          <cell r="B116" t="str">
            <v>Other operating cash flow items</v>
          </cell>
          <cell r="C116" t="str">
            <v>OTH_OP_CF</v>
          </cell>
          <cell r="D116" t="str">
            <v>JPY</v>
          </cell>
          <cell r="K116">
            <v>17113</v>
          </cell>
          <cell r="L116">
            <v>-942</v>
          </cell>
          <cell r="M116">
            <v>4176</v>
          </cell>
          <cell r="N116">
            <v>1342</v>
          </cell>
          <cell r="O116">
            <v>1302</v>
          </cell>
          <cell r="P116">
            <v>6758</v>
          </cell>
          <cell r="Q116">
            <v>5316</v>
          </cell>
          <cell r="V116">
            <v>1759</v>
          </cell>
          <cell r="AA116">
            <v>4940</v>
          </cell>
          <cell r="AF116">
            <v>2913</v>
          </cell>
          <cell r="AK116">
            <v>15527</v>
          </cell>
          <cell r="AP116">
            <v>-10388</v>
          </cell>
          <cell r="AU116">
            <v>-6470</v>
          </cell>
          <cell r="AZ116">
            <v>1757</v>
          </cell>
          <cell r="BE116">
            <v>9376</v>
          </cell>
          <cell r="BJ116">
            <v>3859</v>
          </cell>
          <cell r="BO116">
            <v>-16382.75</v>
          </cell>
          <cell r="BT116">
            <v>1083.4455000000016</v>
          </cell>
          <cell r="BY116">
            <v>-5707.2554999999993</v>
          </cell>
          <cell r="CD116">
            <v>-8207</v>
          </cell>
          <cell r="CI116">
            <v>-714.77100000000064</v>
          </cell>
          <cell r="CN116">
            <v>-1681.5499999999993</v>
          </cell>
          <cell r="CS116">
            <v>771.14700000000084</v>
          </cell>
          <cell r="CX116">
            <v>-5318</v>
          </cell>
          <cell r="DC116">
            <v>-10688</v>
          </cell>
          <cell r="DD116">
            <v>-10900</v>
          </cell>
          <cell r="DE116">
            <v>-11100</v>
          </cell>
          <cell r="DF116">
            <v>-11300</v>
          </cell>
          <cell r="DG116">
            <v>-11500</v>
          </cell>
        </row>
        <row r="117">
          <cell r="B117" t="str">
            <v>Cash flow from operating activities</v>
          </cell>
          <cell r="C117" t="str">
            <v>CF_OPS</v>
          </cell>
          <cell r="D117" t="str">
            <v>JPY</v>
          </cell>
          <cell r="K117">
            <v>40670</v>
          </cell>
          <cell r="L117">
            <v>21961</v>
          </cell>
          <cell r="M117">
            <v>22810</v>
          </cell>
          <cell r="N117">
            <v>23027</v>
          </cell>
          <cell r="O117">
            <v>22213</v>
          </cell>
          <cell r="P117">
            <v>30259</v>
          </cell>
          <cell r="Q117">
            <v>26635</v>
          </cell>
          <cell r="V117">
            <v>26976</v>
          </cell>
          <cell r="AA117">
            <v>25875</v>
          </cell>
          <cell r="AF117">
            <v>26872</v>
          </cell>
          <cell r="AK117">
            <v>45988</v>
          </cell>
          <cell r="AP117">
            <v>23524</v>
          </cell>
          <cell r="AU117">
            <v>27216</v>
          </cell>
          <cell r="AZ117">
            <v>33302</v>
          </cell>
          <cell r="BE117">
            <v>39264</v>
          </cell>
          <cell r="BJ117">
            <v>34732</v>
          </cell>
          <cell r="BO117">
            <v>26165</v>
          </cell>
          <cell r="BT117">
            <v>37029</v>
          </cell>
          <cell r="BY117">
            <v>43015</v>
          </cell>
          <cell r="CD117">
            <v>32418</v>
          </cell>
          <cell r="CI117">
            <v>53593</v>
          </cell>
          <cell r="CN117">
            <v>75705</v>
          </cell>
          <cell r="CS117">
            <v>59628</v>
          </cell>
          <cell r="CX117">
            <v>65116</v>
          </cell>
          <cell r="DC117">
            <v>81012</v>
          </cell>
          <cell r="DD117">
            <v>87600</v>
          </cell>
          <cell r="DE117">
            <v>92700</v>
          </cell>
          <cell r="DF117">
            <v>98800</v>
          </cell>
          <cell r="DG117">
            <v>104500</v>
          </cell>
        </row>
        <row r="118">
          <cell r="B118" t="str">
            <v>Capital expenditures, Capex</v>
          </cell>
          <cell r="C118" t="str">
            <v>CAPEX</v>
          </cell>
          <cell r="D118" t="str">
            <v>JPY</v>
          </cell>
          <cell r="K118">
            <v>-6698</v>
          </cell>
          <cell r="L118">
            <v>-4278</v>
          </cell>
          <cell r="M118">
            <v>-6303</v>
          </cell>
          <cell r="N118">
            <v>-6831</v>
          </cell>
          <cell r="O118">
            <v>-7364</v>
          </cell>
          <cell r="P118">
            <v>-3061</v>
          </cell>
          <cell r="Q118">
            <v>-3124</v>
          </cell>
          <cell r="V118">
            <v>-5539</v>
          </cell>
          <cell r="AA118">
            <v>-9572</v>
          </cell>
          <cell r="AF118">
            <v>-18215</v>
          </cell>
          <cell r="AK118">
            <v>-15275</v>
          </cell>
          <cell r="AP118">
            <v>-32328</v>
          </cell>
          <cell r="AU118">
            <v>-17650</v>
          </cell>
          <cell r="AZ118">
            <v>-18930</v>
          </cell>
          <cell r="BE118">
            <v>-27527</v>
          </cell>
          <cell r="BJ118">
            <v>-22959</v>
          </cell>
          <cell r="BO118">
            <v>-32785</v>
          </cell>
          <cell r="BT118">
            <v>-36340</v>
          </cell>
          <cell r="BY118">
            <v>-52007</v>
          </cell>
          <cell r="CD118">
            <v>-57602</v>
          </cell>
          <cell r="CI118">
            <v>-39742</v>
          </cell>
          <cell r="CN118">
            <v>-34032</v>
          </cell>
          <cell r="CS118">
            <v>-28309</v>
          </cell>
          <cell r="CX118">
            <v>-32535</v>
          </cell>
          <cell r="DC118">
            <v>-70000</v>
          </cell>
          <cell r="DD118">
            <v>-72000</v>
          </cell>
          <cell r="DE118">
            <v>-73000</v>
          </cell>
          <cell r="DF118">
            <v>-69000</v>
          </cell>
          <cell r="DG118">
            <v>-66000</v>
          </cell>
        </row>
        <row r="119">
          <cell r="B119" t="str">
            <v>Acquisitions</v>
          </cell>
          <cell r="C119" t="str">
            <v>ACQ</v>
          </cell>
          <cell r="D119" t="str">
            <v>JPY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V119">
            <v>0</v>
          </cell>
          <cell r="AA119">
            <v>0</v>
          </cell>
          <cell r="AF119">
            <v>0</v>
          </cell>
          <cell r="AK119">
            <v>0</v>
          </cell>
          <cell r="AP119">
            <v>0</v>
          </cell>
          <cell r="AU119">
            <v>0</v>
          </cell>
          <cell r="AZ119">
            <v>-1903</v>
          </cell>
          <cell r="BE119">
            <v>0</v>
          </cell>
          <cell r="BJ119">
            <v>0</v>
          </cell>
          <cell r="BO119">
            <v>0</v>
          </cell>
          <cell r="BT119">
            <v>0</v>
          </cell>
          <cell r="BY119">
            <v>0</v>
          </cell>
          <cell r="CD119">
            <v>0</v>
          </cell>
          <cell r="CI119">
            <v>0</v>
          </cell>
          <cell r="CN119">
            <v>0</v>
          </cell>
          <cell r="CS119">
            <v>-639</v>
          </cell>
          <cell r="CX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</row>
        <row r="120">
          <cell r="B120" t="str">
            <v>Divestitures</v>
          </cell>
          <cell r="C120" t="str">
            <v>DIVEST</v>
          </cell>
          <cell r="D120" t="str">
            <v>JPY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V120">
            <v>0</v>
          </cell>
          <cell r="AA120">
            <v>0</v>
          </cell>
          <cell r="AF120">
            <v>0</v>
          </cell>
          <cell r="AK120">
            <v>0</v>
          </cell>
          <cell r="AP120">
            <v>0</v>
          </cell>
          <cell r="AU120">
            <v>0</v>
          </cell>
          <cell r="AZ120">
            <v>0</v>
          </cell>
          <cell r="BE120">
            <v>0</v>
          </cell>
          <cell r="BJ120">
            <v>0</v>
          </cell>
          <cell r="BO120">
            <v>0</v>
          </cell>
          <cell r="BT120">
            <v>0</v>
          </cell>
          <cell r="BY120">
            <v>0</v>
          </cell>
          <cell r="CD120">
            <v>0</v>
          </cell>
          <cell r="CI120">
            <v>0</v>
          </cell>
          <cell r="CN120">
            <v>1230</v>
          </cell>
          <cell r="CS120">
            <v>0</v>
          </cell>
          <cell r="CX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</row>
        <row r="121">
          <cell r="B121" t="str">
            <v>Other investing cash flow items</v>
          </cell>
          <cell r="C121" t="str">
            <v>OTH_INV_CF</v>
          </cell>
          <cell r="D121" t="str">
            <v>JPY</v>
          </cell>
          <cell r="K121">
            <v>-56046</v>
          </cell>
          <cell r="L121">
            <v>3239</v>
          </cell>
          <cell r="M121">
            <v>11736</v>
          </cell>
          <cell r="N121">
            <v>-21986</v>
          </cell>
          <cell r="O121">
            <v>-11403</v>
          </cell>
          <cell r="P121">
            <v>-27287</v>
          </cell>
          <cell r="Q121">
            <v>-16830</v>
          </cell>
          <cell r="V121">
            <v>1020</v>
          </cell>
          <cell r="AA121">
            <v>-7028</v>
          </cell>
          <cell r="AF121">
            <v>-13614</v>
          </cell>
          <cell r="AK121">
            <v>13567</v>
          </cell>
          <cell r="AP121">
            <v>-1089</v>
          </cell>
          <cell r="AU121">
            <v>4819</v>
          </cell>
          <cell r="AZ121">
            <v>-10418</v>
          </cell>
          <cell r="BE121">
            <v>18020</v>
          </cell>
          <cell r="BJ121">
            <v>18119</v>
          </cell>
          <cell r="BO121">
            <v>-12974</v>
          </cell>
          <cell r="BT121">
            <v>6526</v>
          </cell>
          <cell r="BY121">
            <v>4226</v>
          </cell>
          <cell r="CD121">
            <v>13058</v>
          </cell>
          <cell r="CI121">
            <v>-671</v>
          </cell>
          <cell r="CN121">
            <v>6274</v>
          </cell>
          <cell r="CS121">
            <v>25480</v>
          </cell>
          <cell r="CX121">
            <v>478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</row>
        <row r="122">
          <cell r="B122" t="str">
            <v>Cash flow from investing</v>
          </cell>
          <cell r="C122" t="str">
            <v>CF_INV</v>
          </cell>
          <cell r="D122" t="str">
            <v>JPY</v>
          </cell>
          <cell r="K122">
            <v>-62744</v>
          </cell>
          <cell r="L122">
            <v>-1039</v>
          </cell>
          <cell r="M122">
            <v>5433</v>
          </cell>
          <cell r="N122">
            <v>-28817</v>
          </cell>
          <cell r="O122">
            <v>-18767</v>
          </cell>
          <cell r="P122">
            <v>-30348</v>
          </cell>
          <cell r="Q122">
            <v>-19954</v>
          </cell>
          <cell r="V122">
            <v>-4519</v>
          </cell>
          <cell r="AA122">
            <v>-16600</v>
          </cell>
          <cell r="AF122">
            <v>-31829</v>
          </cell>
          <cell r="AK122">
            <v>-1708</v>
          </cell>
          <cell r="AP122">
            <v>-33417</v>
          </cell>
          <cell r="AU122">
            <v>-12831</v>
          </cell>
          <cell r="AZ122">
            <v>-31251</v>
          </cell>
          <cell r="BE122">
            <v>-9507</v>
          </cell>
          <cell r="BJ122">
            <v>-4840</v>
          </cell>
          <cell r="BO122">
            <v>-45759</v>
          </cell>
          <cell r="BT122">
            <v>-29814</v>
          </cell>
          <cell r="BY122">
            <v>-47781</v>
          </cell>
          <cell r="CD122">
            <v>-44544</v>
          </cell>
          <cell r="CI122">
            <v>-40413</v>
          </cell>
          <cell r="CN122">
            <v>-26528</v>
          </cell>
          <cell r="CS122">
            <v>-3468</v>
          </cell>
          <cell r="CX122">
            <v>-32057</v>
          </cell>
          <cell r="DC122">
            <v>-70000</v>
          </cell>
          <cell r="DD122">
            <v>-72000</v>
          </cell>
          <cell r="DE122">
            <v>-73000</v>
          </cell>
          <cell r="DF122">
            <v>-69000</v>
          </cell>
          <cell r="DG122">
            <v>-66000</v>
          </cell>
        </row>
        <row r="123">
          <cell r="B123" t="str">
            <v>Dividends paid</v>
          </cell>
          <cell r="C123" t="str">
            <v>DIV_PAID</v>
          </cell>
          <cell r="D123" t="str">
            <v>JPY</v>
          </cell>
          <cell r="K123">
            <v>-3133</v>
          </cell>
          <cell r="L123">
            <v>-3466</v>
          </cell>
          <cell r="M123">
            <v>-3071</v>
          </cell>
          <cell r="N123">
            <v>-3783</v>
          </cell>
          <cell r="O123">
            <v>-3715</v>
          </cell>
          <cell r="P123">
            <v>-3715</v>
          </cell>
          <cell r="Q123">
            <v>-5565</v>
          </cell>
          <cell r="V123">
            <v>-6070</v>
          </cell>
          <cell r="AA123">
            <v>-4890</v>
          </cell>
          <cell r="AF123">
            <v>-6112</v>
          </cell>
          <cell r="AK123">
            <v>-5947</v>
          </cell>
          <cell r="AP123">
            <v>-7746</v>
          </cell>
          <cell r="AU123">
            <v>-8280</v>
          </cell>
          <cell r="AZ123">
            <v>-8263</v>
          </cell>
          <cell r="BE123">
            <v>-8266</v>
          </cell>
          <cell r="BJ123">
            <v>-8267</v>
          </cell>
          <cell r="BO123">
            <v>-8730</v>
          </cell>
          <cell r="BT123">
            <v>-9011</v>
          </cell>
          <cell r="BY123">
            <v>-9371</v>
          </cell>
          <cell r="CD123">
            <v>-11457</v>
          </cell>
          <cell r="CI123">
            <v>-11458</v>
          </cell>
          <cell r="CN123">
            <v>-12500</v>
          </cell>
          <cell r="CS123">
            <v>-13359</v>
          </cell>
          <cell r="CX123">
            <v>-14188</v>
          </cell>
          <cell r="DC123">
            <v>-21200</v>
          </cell>
          <cell r="DD123">
            <v>-22400</v>
          </cell>
          <cell r="DE123">
            <v>-24100</v>
          </cell>
          <cell r="DF123">
            <v>-25200</v>
          </cell>
          <cell r="DG123">
            <v>-26900</v>
          </cell>
        </row>
        <row r="124">
          <cell r="B124" t="str">
            <v>Common stock issuance/(repurchase)</v>
          </cell>
          <cell r="C124" t="str">
            <v>SH_REPUR</v>
          </cell>
          <cell r="D124" t="str">
            <v>JPY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V124">
            <v>0</v>
          </cell>
          <cell r="AA124">
            <v>0</v>
          </cell>
          <cell r="AF124">
            <v>0</v>
          </cell>
          <cell r="AK124">
            <v>-34047</v>
          </cell>
          <cell r="AP124">
            <v>-3</v>
          </cell>
          <cell r="AU124">
            <v>-1477</v>
          </cell>
          <cell r="AZ124">
            <v>-2</v>
          </cell>
          <cell r="BE124">
            <v>-6</v>
          </cell>
          <cell r="BJ124">
            <v>-9</v>
          </cell>
          <cell r="BO124">
            <v>-14180</v>
          </cell>
          <cell r="BT124">
            <v>-22939</v>
          </cell>
          <cell r="BY124">
            <v>-8</v>
          </cell>
          <cell r="CD124">
            <v>-8</v>
          </cell>
          <cell r="CI124">
            <v>-6</v>
          </cell>
          <cell r="CN124">
            <v>-4</v>
          </cell>
          <cell r="CS124">
            <v>-14664</v>
          </cell>
          <cell r="CX124">
            <v>-9812</v>
          </cell>
          <cell r="DC124">
            <v>-5000</v>
          </cell>
          <cell r="DD124">
            <v>-5000</v>
          </cell>
          <cell r="DE124">
            <v>-5000</v>
          </cell>
          <cell r="DF124">
            <v>-5000</v>
          </cell>
          <cell r="DG124">
            <v>-5000</v>
          </cell>
        </row>
        <row r="125">
          <cell r="B125" t="str">
            <v>Increase/(decrease) in total debt</v>
          </cell>
          <cell r="C125" t="str">
            <v>CHG_LT_DEBT</v>
          </cell>
          <cell r="D125" t="str">
            <v>JPY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V125">
            <v>0</v>
          </cell>
          <cell r="AA125">
            <v>0</v>
          </cell>
          <cell r="AF125">
            <v>0</v>
          </cell>
          <cell r="AK125">
            <v>0</v>
          </cell>
          <cell r="AP125">
            <v>0</v>
          </cell>
          <cell r="AU125">
            <v>403</v>
          </cell>
          <cell r="AZ125">
            <v>-1693</v>
          </cell>
          <cell r="BE125">
            <v>-132</v>
          </cell>
          <cell r="BJ125">
            <v>396</v>
          </cell>
          <cell r="BO125">
            <v>17284</v>
          </cell>
          <cell r="BT125">
            <v>2839</v>
          </cell>
          <cell r="BY125">
            <v>-16021</v>
          </cell>
          <cell r="CD125">
            <v>21817</v>
          </cell>
          <cell r="CI125">
            <v>6105</v>
          </cell>
          <cell r="CN125">
            <v>-1478</v>
          </cell>
          <cell r="CS125">
            <v>-3561</v>
          </cell>
          <cell r="CX125">
            <v>-9276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</row>
        <row r="126">
          <cell r="B126" t="str">
            <v>Lease principal payments  (applicable to IFRS cos.)</v>
          </cell>
          <cell r="C126" t="str">
            <v>LEASE_PRINCIPAL_CASH</v>
          </cell>
          <cell r="D126" t="str">
            <v>JPY</v>
          </cell>
          <cell r="CD126">
            <v>-320</v>
          </cell>
          <cell r="CI126">
            <v>-4183</v>
          </cell>
          <cell r="CN126">
            <v>-5119</v>
          </cell>
          <cell r="CS126">
            <v>-5507</v>
          </cell>
        </row>
        <row r="127">
          <cell r="B127" t="str">
            <v>Other financing cash flow items</v>
          </cell>
          <cell r="C127" t="str">
            <v>OTH_FIN_CF</v>
          </cell>
          <cell r="D127" t="str">
            <v>JPY</v>
          </cell>
          <cell r="K127">
            <v>-8841</v>
          </cell>
          <cell r="L127">
            <v>790</v>
          </cell>
          <cell r="M127">
            <v>-2816</v>
          </cell>
          <cell r="N127">
            <v>-7667</v>
          </cell>
          <cell r="O127">
            <v>-1473</v>
          </cell>
          <cell r="P127">
            <v>-2009</v>
          </cell>
          <cell r="Q127">
            <v>-5872</v>
          </cell>
          <cell r="V127">
            <v>-1468</v>
          </cell>
          <cell r="AA127">
            <v>-2306</v>
          </cell>
          <cell r="AF127">
            <v>649</v>
          </cell>
          <cell r="AK127">
            <v>2122</v>
          </cell>
          <cell r="AP127">
            <v>1177</v>
          </cell>
          <cell r="AU127">
            <v>-88</v>
          </cell>
          <cell r="AZ127">
            <v>-112</v>
          </cell>
          <cell r="BE127">
            <v>-121</v>
          </cell>
          <cell r="BJ127">
            <v>-142</v>
          </cell>
          <cell r="BO127">
            <v>2616</v>
          </cell>
          <cell r="BT127">
            <v>3056</v>
          </cell>
          <cell r="BY127">
            <v>14274</v>
          </cell>
          <cell r="CD127">
            <v>3037</v>
          </cell>
          <cell r="CI127">
            <v>-600</v>
          </cell>
          <cell r="CN127">
            <v>55</v>
          </cell>
          <cell r="CS127">
            <v>-7358</v>
          </cell>
          <cell r="CX127">
            <v>-14707</v>
          </cell>
          <cell r="DC127">
            <v>-6212</v>
          </cell>
          <cell r="DD127">
            <v>-6200</v>
          </cell>
          <cell r="DE127">
            <v>-6200</v>
          </cell>
          <cell r="DF127">
            <v>-6200</v>
          </cell>
          <cell r="DG127">
            <v>-6200</v>
          </cell>
        </row>
        <row r="128">
          <cell r="B128" t="str">
            <v>Cash flow from financing</v>
          </cell>
          <cell r="C128" t="str">
            <v>CF_FIN</v>
          </cell>
          <cell r="D128" t="str">
            <v>JPY</v>
          </cell>
          <cell r="K128">
            <v>-11974</v>
          </cell>
          <cell r="L128">
            <v>-2676</v>
          </cell>
          <cell r="M128">
            <v>-5887</v>
          </cell>
          <cell r="N128">
            <v>-11450</v>
          </cell>
          <cell r="O128">
            <v>-5188</v>
          </cell>
          <cell r="P128">
            <v>-5724</v>
          </cell>
          <cell r="Q128">
            <v>-11437</v>
          </cell>
          <cell r="V128">
            <v>-7538</v>
          </cell>
          <cell r="AA128">
            <v>-7196</v>
          </cell>
          <cell r="AF128">
            <v>-5463</v>
          </cell>
          <cell r="AK128">
            <v>-37872</v>
          </cell>
          <cell r="AP128">
            <v>-6572</v>
          </cell>
          <cell r="AU128">
            <v>-9442</v>
          </cell>
          <cell r="AZ128">
            <v>-10070</v>
          </cell>
          <cell r="BE128">
            <v>-8525</v>
          </cell>
          <cell r="BJ128">
            <v>-8022</v>
          </cell>
          <cell r="BO128">
            <v>-3010</v>
          </cell>
          <cell r="BT128">
            <v>-26055</v>
          </cell>
          <cell r="BY128">
            <v>-11126</v>
          </cell>
          <cell r="CD128">
            <v>13069</v>
          </cell>
          <cell r="CI128">
            <v>-10142</v>
          </cell>
          <cell r="CN128">
            <v>-19046</v>
          </cell>
          <cell r="CS128">
            <v>-44449</v>
          </cell>
          <cell r="CX128">
            <v>-47983</v>
          </cell>
          <cell r="DC128">
            <v>-32412</v>
          </cell>
          <cell r="DD128">
            <v>-33600</v>
          </cell>
          <cell r="DE128">
            <v>-35300</v>
          </cell>
          <cell r="DF128">
            <v>-36400</v>
          </cell>
          <cell r="DG128">
            <v>-38100</v>
          </cell>
        </row>
        <row r="129">
          <cell r="B129" t="str">
            <v>Total cash flow</v>
          </cell>
          <cell r="C129" t="str">
            <v>TOT_CF</v>
          </cell>
          <cell r="D129" t="str">
            <v>JPY</v>
          </cell>
          <cell r="K129">
            <v>-34048</v>
          </cell>
          <cell r="L129">
            <v>18246</v>
          </cell>
          <cell r="M129">
            <v>22356</v>
          </cell>
          <cell r="N129">
            <v>-17240</v>
          </cell>
          <cell r="O129">
            <v>-1742</v>
          </cell>
          <cell r="P129">
            <v>-5813</v>
          </cell>
          <cell r="Q129">
            <v>-4756</v>
          </cell>
          <cell r="V129">
            <v>14919</v>
          </cell>
          <cell r="AA129">
            <v>2079</v>
          </cell>
          <cell r="AF129">
            <v>-10420</v>
          </cell>
          <cell r="AK129">
            <v>6408</v>
          </cell>
          <cell r="AP129">
            <v>-16465</v>
          </cell>
          <cell r="AU129">
            <v>4943</v>
          </cell>
          <cell r="AZ129">
            <v>-8019</v>
          </cell>
          <cell r="BE129">
            <v>21232</v>
          </cell>
          <cell r="BJ129">
            <v>21870</v>
          </cell>
          <cell r="BO129">
            <v>-22604</v>
          </cell>
          <cell r="BT129">
            <v>-18840</v>
          </cell>
          <cell r="BY129">
            <v>-15892</v>
          </cell>
          <cell r="CD129">
            <v>943</v>
          </cell>
          <cell r="CI129">
            <v>3038</v>
          </cell>
          <cell r="CN129">
            <v>30131</v>
          </cell>
          <cell r="CS129">
            <v>11711</v>
          </cell>
          <cell r="CX129">
            <v>-14617</v>
          </cell>
          <cell r="DC129">
            <v>-21388</v>
          </cell>
          <cell r="DD129">
            <v>-18000</v>
          </cell>
          <cell r="DE129">
            <v>-15600</v>
          </cell>
          <cell r="DF129">
            <v>-6600</v>
          </cell>
          <cell r="DG129">
            <v>400</v>
          </cell>
        </row>
        <row r="130">
          <cell r="A130" t="str">
            <v>Additional Cash Flow Items</v>
          </cell>
        </row>
        <row r="131">
          <cell r="B131" t="str">
            <v>Associate and JV add-back</v>
          </cell>
          <cell r="C131" t="str">
            <v>ASSOC_JV_ADDBK</v>
          </cell>
          <cell r="D131" t="str">
            <v>JPY</v>
          </cell>
        </row>
        <row r="132">
          <cell r="B132" t="str">
            <v>Profit/(loss) on sale of assets</v>
          </cell>
          <cell r="C132" t="str">
            <v>PL_SALE_ASSETS</v>
          </cell>
          <cell r="D132" t="str">
            <v>JPY</v>
          </cell>
        </row>
        <row r="133">
          <cell r="B133" t="str">
            <v>Other non-cash adjustments</v>
          </cell>
          <cell r="C133" t="str">
            <v>OTH_NONCASH_ADJ</v>
          </cell>
          <cell r="D133" t="str">
            <v>JPY</v>
          </cell>
        </row>
        <row r="134">
          <cell r="B134" t="str">
            <v>Other DACF adjustments</v>
          </cell>
          <cell r="C134" t="str">
            <v>OTH_DACF_ADJ</v>
          </cell>
          <cell r="D134" t="str">
            <v>JPY</v>
          </cell>
        </row>
        <row r="135">
          <cell r="B135" t="str">
            <v>Cash interest expense</v>
          </cell>
          <cell r="C135" t="str">
            <v>CASH_INT_EXP</v>
          </cell>
          <cell r="D135" t="str">
            <v>JPY</v>
          </cell>
        </row>
        <row r="136">
          <cell r="B136" t="str">
            <v>Cash tax expense</v>
          </cell>
          <cell r="C136" t="str">
            <v>CASH_TAX_EXP</v>
          </cell>
          <cell r="D136" t="str">
            <v>JPY</v>
          </cell>
        </row>
        <row r="137">
          <cell r="B137" t="str">
            <v>Dividends received from associates/JVs</v>
          </cell>
          <cell r="C137" t="str">
            <v>DIVDS_ASSOC_JV</v>
          </cell>
          <cell r="D137" t="str">
            <v>JPY</v>
          </cell>
        </row>
        <row r="138">
          <cell r="B138" t="str">
            <v>Capex maintenance</v>
          </cell>
          <cell r="C138" t="str">
            <v>CAPEX_MAINTENANCE</v>
          </cell>
          <cell r="D138" t="str">
            <v>JPY</v>
          </cell>
        </row>
        <row r="139">
          <cell r="B139" t="str">
            <v>Capex expansion</v>
          </cell>
          <cell r="C139" t="str">
            <v>CAPEX_EXPANSION</v>
          </cell>
          <cell r="D139" t="str">
            <v>JPY</v>
          </cell>
        </row>
        <row r="140">
          <cell r="B140" t="str">
            <v>Non-PP&amp;E capex</v>
          </cell>
          <cell r="C140" t="str">
            <v>NONPPE_CAPEX</v>
          </cell>
          <cell r="D140" t="str">
            <v>JPY</v>
          </cell>
        </row>
        <row r="141">
          <cell r="B141" t="str">
            <v>Dividends paid to minorities</v>
          </cell>
          <cell r="C141" t="str">
            <v>DIVDS_PD_MINORITIES</v>
          </cell>
          <cell r="D141" t="str">
            <v>JPY</v>
          </cell>
        </row>
        <row r="142">
          <cell r="B142" t="str">
            <v>Capital expenditures (excl. leases)</v>
          </cell>
          <cell r="C142" t="str">
            <v>CAPEX_EX_LEASES</v>
          </cell>
          <cell r="D142" t="str">
            <v>JPY</v>
          </cell>
          <cell r="K142">
            <v>-6698</v>
          </cell>
          <cell r="L142">
            <v>-4278</v>
          </cell>
          <cell r="M142">
            <v>-6303</v>
          </cell>
          <cell r="N142">
            <v>-6831</v>
          </cell>
          <cell r="O142">
            <v>-7364</v>
          </cell>
          <cell r="P142">
            <v>-3061</v>
          </cell>
          <cell r="Q142">
            <v>-3124</v>
          </cell>
          <cell r="V142">
            <v>-5539</v>
          </cell>
          <cell r="AA142">
            <v>-9572</v>
          </cell>
          <cell r="AF142">
            <v>-18215</v>
          </cell>
          <cell r="AK142">
            <v>-15275</v>
          </cell>
          <cell r="AP142">
            <v>-32328</v>
          </cell>
          <cell r="AU142">
            <v>-17650</v>
          </cell>
          <cell r="AZ142">
            <v>-18930</v>
          </cell>
          <cell r="BE142">
            <v>-27527</v>
          </cell>
          <cell r="BJ142">
            <v>-22959</v>
          </cell>
          <cell r="BO142">
            <v>-32785</v>
          </cell>
          <cell r="BT142">
            <v>-36340</v>
          </cell>
          <cell r="BY142">
            <v>-52007</v>
          </cell>
          <cell r="CD142">
            <v>-57602</v>
          </cell>
          <cell r="CI142">
            <v>-39742</v>
          </cell>
          <cell r="CN142">
            <v>-34032</v>
          </cell>
          <cell r="CS142">
            <v>-28309</v>
          </cell>
          <cell r="CX142">
            <v>-32535</v>
          </cell>
          <cell r="DC142">
            <v>-70000</v>
          </cell>
          <cell r="DD142">
            <v>-72000</v>
          </cell>
          <cell r="DE142">
            <v>-73000</v>
          </cell>
          <cell r="DF142">
            <v>-69000</v>
          </cell>
          <cell r="DG142">
            <v>-66000</v>
          </cell>
        </row>
        <row r="143">
          <cell r="A143" t="str">
            <v>Other Items</v>
          </cell>
        </row>
        <row r="144">
          <cell r="B144" t="str">
            <v>Number of employees</v>
          </cell>
          <cell r="C144" t="str">
            <v>EMPLOYEES</v>
          </cell>
          <cell r="AZ144">
            <v>7.8220000000000001</v>
          </cell>
          <cell r="BE144">
            <v>7.9805000000000001</v>
          </cell>
          <cell r="BJ144">
            <v>8.6999999999999993</v>
          </cell>
          <cell r="BO144">
            <v>11.2</v>
          </cell>
          <cell r="BT144">
            <v>11.7</v>
          </cell>
          <cell r="BY144">
            <v>11.8</v>
          </cell>
        </row>
        <row r="145">
          <cell r="B145" t="str">
            <v>Media/advertising expense</v>
          </cell>
          <cell r="C145" t="str">
            <v>MEDIA_ADVERTISING</v>
          </cell>
          <cell r="D145" t="str">
            <v>JPY</v>
          </cell>
          <cell r="AZ145">
            <v>11000</v>
          </cell>
          <cell r="BE145">
            <v>12062.169910696302</v>
          </cell>
        </row>
        <row r="146">
          <cell r="A146" t="str">
            <v>COGS Breakdown</v>
          </cell>
        </row>
        <row r="147">
          <cell r="B147" t="str">
            <v>% of COGS from Corn</v>
          </cell>
          <cell r="C147" t="str">
            <v>COGS_CORN</v>
          </cell>
          <cell r="AZ147">
            <v>0</v>
          </cell>
          <cell r="BE147">
            <v>0</v>
          </cell>
        </row>
        <row r="148">
          <cell r="B148" t="str">
            <v>% of COGS from Wheat</v>
          </cell>
          <cell r="C148" t="str">
            <v>COGS_WHEAT</v>
          </cell>
          <cell r="AZ148">
            <v>0.2</v>
          </cell>
          <cell r="BE148">
            <v>0.2</v>
          </cell>
        </row>
        <row r="149">
          <cell r="B149" t="str">
            <v>% of COGS from Other agriculture</v>
          </cell>
          <cell r="C149" t="str">
            <v>COGS_OTH_AGRI</v>
          </cell>
          <cell r="AZ149">
            <v>0</v>
          </cell>
          <cell r="BE149">
            <v>0</v>
          </cell>
        </row>
        <row r="150">
          <cell r="B150" t="str">
            <v>% of COGS from Beef</v>
          </cell>
          <cell r="C150" t="str">
            <v>COGS_BEEF</v>
          </cell>
          <cell r="AZ150">
            <v>0</v>
          </cell>
          <cell r="BE150">
            <v>0</v>
          </cell>
        </row>
        <row r="151">
          <cell r="B151" t="str">
            <v>% of COGS from Chicken</v>
          </cell>
          <cell r="C151" t="str">
            <v>COGS_CHICKEN</v>
          </cell>
          <cell r="AZ151">
            <v>0</v>
          </cell>
          <cell r="BE151">
            <v>0</v>
          </cell>
        </row>
        <row r="152">
          <cell r="B152" t="str">
            <v>% of COGS from Pork</v>
          </cell>
          <cell r="C152" t="str">
            <v>COGS_PORK</v>
          </cell>
          <cell r="AZ152">
            <v>0</v>
          </cell>
          <cell r="BE152">
            <v>0</v>
          </cell>
        </row>
        <row r="153">
          <cell r="B153" t="str">
            <v>% of COGS from Sugar</v>
          </cell>
          <cell r="C153" t="str">
            <v>COGS_SUGAR</v>
          </cell>
          <cell r="AZ153">
            <v>0</v>
          </cell>
          <cell r="BE153">
            <v>0</v>
          </cell>
        </row>
        <row r="154">
          <cell r="B154" t="str">
            <v>% of COGS from Coffee</v>
          </cell>
          <cell r="C154" t="str">
            <v>COGS_COFFEE</v>
          </cell>
          <cell r="AZ154">
            <v>0</v>
          </cell>
          <cell r="BE154">
            <v>0</v>
          </cell>
        </row>
        <row r="155">
          <cell r="B155" t="str">
            <v>% of COGS from Dairy</v>
          </cell>
          <cell r="C155" t="str">
            <v>COGS_DAIRY</v>
          </cell>
          <cell r="AZ155">
            <v>0</v>
          </cell>
          <cell r="BE155">
            <v>0</v>
          </cell>
        </row>
        <row r="156">
          <cell r="B156" t="str">
            <v>% of COGS from Nuts</v>
          </cell>
          <cell r="C156" t="str">
            <v>COGS_NUTS</v>
          </cell>
          <cell r="AZ156">
            <v>0</v>
          </cell>
          <cell r="BE156">
            <v>0</v>
          </cell>
        </row>
        <row r="157">
          <cell r="B157" t="str">
            <v>% of COGS from Palm oil</v>
          </cell>
          <cell r="C157" t="str">
            <v>COGS_PALM_OIL</v>
          </cell>
          <cell r="AZ157">
            <v>0.1</v>
          </cell>
          <cell r="BE157">
            <v>0.1</v>
          </cell>
        </row>
        <row r="158">
          <cell r="B158" t="str">
            <v>% of COGS from Other edible oil</v>
          </cell>
          <cell r="C158" t="str">
            <v>COGS_OTH_EDIBLE_OIL</v>
          </cell>
          <cell r="AZ158">
            <v>0</v>
          </cell>
          <cell r="BE158">
            <v>0</v>
          </cell>
        </row>
        <row r="159">
          <cell r="B159" t="str">
            <v>% of COGS from Soybean</v>
          </cell>
          <cell r="C159" t="str">
            <v>COGS_SOYBEAN</v>
          </cell>
          <cell r="AZ159">
            <v>0</v>
          </cell>
          <cell r="BE159">
            <v>0</v>
          </cell>
        </row>
        <row r="160">
          <cell r="B160" t="str">
            <v>% of COGS from Tobacco leaf</v>
          </cell>
          <cell r="C160" t="str">
            <v>COGS_TOBACCO</v>
          </cell>
          <cell r="AZ160">
            <v>0</v>
          </cell>
          <cell r="BE160">
            <v>0</v>
          </cell>
        </row>
        <row r="161">
          <cell r="B161" t="str">
            <v>% of COGS from Energy</v>
          </cell>
          <cell r="C161" t="str">
            <v>COGS_ENERGY</v>
          </cell>
          <cell r="AZ161">
            <v>0.05</v>
          </cell>
          <cell r="BE161">
            <v>0.05</v>
          </cell>
        </row>
        <row r="162">
          <cell r="B162" t="str">
            <v>% of COGS from Raws - Pulp</v>
          </cell>
          <cell r="C162" t="str">
            <v>COGS_RAW_PULP</v>
          </cell>
          <cell r="AZ162">
            <v>0</v>
          </cell>
          <cell r="BE162">
            <v>0</v>
          </cell>
        </row>
        <row r="163">
          <cell r="B163" t="str">
            <v>% of COGS from Raws - Oil derivatives</v>
          </cell>
          <cell r="C163" t="str">
            <v>COGS_RAW_OIL_DERIV</v>
          </cell>
          <cell r="AZ163">
            <v>0</v>
          </cell>
          <cell r="BE163">
            <v>0</v>
          </cell>
        </row>
        <row r="164">
          <cell r="B164" t="str">
            <v>% of COGS from Raws - Other</v>
          </cell>
          <cell r="C164" t="str">
            <v>COGS_RAW_OTH</v>
          </cell>
          <cell r="AZ164">
            <v>0</v>
          </cell>
          <cell r="BE164">
            <v>0</v>
          </cell>
        </row>
        <row r="165">
          <cell r="B165" t="str">
            <v>% of COGS from Pack - Paper/pulp</v>
          </cell>
          <cell r="C165" t="str">
            <v>COGS_PACK_PAPER</v>
          </cell>
          <cell r="AZ165">
            <v>0</v>
          </cell>
          <cell r="BE165">
            <v>0</v>
          </cell>
        </row>
        <row r="166">
          <cell r="B166" t="str">
            <v>% of COGS from Pack - Glass</v>
          </cell>
          <cell r="C166" t="str">
            <v>COGS_PACK_GLASS</v>
          </cell>
          <cell r="AZ166">
            <v>0</v>
          </cell>
          <cell r="BE166">
            <v>0</v>
          </cell>
        </row>
        <row r="167">
          <cell r="B167" t="str">
            <v>% of COGS from Pack - Oil derivatives/plastics</v>
          </cell>
          <cell r="C167" t="str">
            <v>COGS_PACK_OIL_DERIV</v>
          </cell>
          <cell r="AZ167">
            <v>0</v>
          </cell>
          <cell r="BE167">
            <v>0</v>
          </cell>
        </row>
        <row r="168">
          <cell r="B168" t="str">
            <v>% of COGS from Pack - Tin</v>
          </cell>
          <cell r="C168" t="str">
            <v>COGS_PACK_TIN</v>
          </cell>
          <cell r="AZ168">
            <v>0</v>
          </cell>
          <cell r="BE168">
            <v>0</v>
          </cell>
        </row>
        <row r="169">
          <cell r="B169" t="str">
            <v>% of COGS from Pack - Aluminium</v>
          </cell>
          <cell r="C169" t="str">
            <v>COGS_PACK_ALUM</v>
          </cell>
          <cell r="AZ169">
            <v>0</v>
          </cell>
          <cell r="BE169">
            <v>0</v>
          </cell>
        </row>
        <row r="170">
          <cell r="B170" t="str">
            <v>% of COGS from Overhead / wages</v>
          </cell>
          <cell r="C170" t="str">
            <v>COGS_OH_WAGES</v>
          </cell>
          <cell r="AZ170">
            <v>0.1</v>
          </cell>
          <cell r="BE170">
            <v>0.1</v>
          </cell>
        </row>
        <row r="171">
          <cell r="A171" t="str">
            <v>Regional Sales Growth</v>
          </cell>
        </row>
        <row r="172">
          <cell r="B172" t="str">
            <v>North America sales growth</v>
          </cell>
          <cell r="C172" t="str">
            <v>NAMERICA_SALES_GROWTH</v>
          </cell>
          <cell r="AZ172">
            <v>7.2796934865900331E-2</v>
          </cell>
          <cell r="BE172">
            <v>0.23283125000000005</v>
          </cell>
          <cell r="BJ172">
            <v>0.14827035330261151</v>
          </cell>
          <cell r="BO172">
            <v>0.10380605840080048</v>
          </cell>
        </row>
        <row r="173">
          <cell r="B173" t="str">
            <v>LatAm sales growth</v>
          </cell>
          <cell r="C173" t="str">
            <v>LATAM_SALES_GROWTH</v>
          </cell>
          <cell r="AZ173">
            <v>-1.2986362456285039E-2</v>
          </cell>
          <cell r="BE173">
            <v>0.17299836275797387</v>
          </cell>
          <cell r="BJ173">
            <v>2.3030875849214372E-2</v>
          </cell>
          <cell r="BO173">
            <v>-0.11086214842412645</v>
          </cell>
        </row>
        <row r="174">
          <cell r="B174" t="str">
            <v>Europe sales growth</v>
          </cell>
          <cell r="C174" t="str">
            <v>EUROPE_SALES_GROWTH</v>
          </cell>
          <cell r="AZ174">
            <v>-6.8965517241379337E-2</v>
          </cell>
          <cell r="BE174">
            <v>1.2222222222222223</v>
          </cell>
          <cell r="BJ174">
            <v>-0.21666666666666667</v>
          </cell>
          <cell r="BO174">
            <v>-1</v>
          </cell>
        </row>
        <row r="175">
          <cell r="B175" t="str">
            <v>EEMEA sales growth</v>
          </cell>
          <cell r="C175" t="str">
            <v>EEMEA_SALES_GROWTH</v>
          </cell>
          <cell r="AZ175">
            <v>0</v>
          </cell>
          <cell r="BE175">
            <v>0</v>
          </cell>
          <cell r="BJ175">
            <v>0</v>
          </cell>
          <cell r="BO175">
            <v>0</v>
          </cell>
        </row>
        <row r="176">
          <cell r="B176" t="str">
            <v>Asia sales growth</v>
          </cell>
          <cell r="C176" t="str">
            <v>ASIA_SALES_GROWTH</v>
          </cell>
          <cell r="AZ176">
            <v>2.7313164028366366E-3</v>
          </cell>
          <cell r="BE176">
            <v>7.282860750030884E-2</v>
          </cell>
          <cell r="BJ176">
            <v>2.97280546786578E-2</v>
          </cell>
          <cell r="BO176">
            <v>9.9148410335831327E-2</v>
          </cell>
        </row>
        <row r="177">
          <cell r="A177" t="str">
            <v>Geographical Breakdown</v>
          </cell>
        </row>
        <row r="178">
          <cell r="B178" t="str">
            <v>Sales - % Canada</v>
          </cell>
          <cell r="C178" t="str">
            <v>SALES_CANADA</v>
          </cell>
        </row>
        <row r="179">
          <cell r="B179" t="str">
            <v>Sales - % United States</v>
          </cell>
          <cell r="C179" t="str">
            <v>SALES_US</v>
          </cell>
          <cell r="AZ179">
            <v>5.4652548575391723E-2</v>
          </cell>
          <cell r="BE179">
            <v>6.1758501768643004E-2</v>
          </cell>
          <cell r="BJ179">
            <v>6.8622401678082354E-2</v>
          </cell>
          <cell r="BO179">
            <v>6.9837899688764485E-2</v>
          </cell>
          <cell r="BT179">
            <v>6.1274764313642781E-2</v>
          </cell>
          <cell r="BY179">
            <v>6.2567293151321618E-2</v>
          </cell>
          <cell r="CD179">
            <v>7.3174526173934301E-2</v>
          </cell>
          <cell r="CI179">
            <v>7.5413646934357911E-2</v>
          </cell>
          <cell r="CN179">
            <v>8.2702191605924069E-2</v>
          </cell>
          <cell r="CS179">
            <v>8.3909188272619076E-2</v>
          </cell>
          <cell r="CX179">
            <v>0.11236492301807402</v>
          </cell>
          <cell r="DC179">
            <v>0.11946601280479499</v>
          </cell>
          <cell r="DD179">
            <v>0.12365242239251852</v>
          </cell>
          <cell r="DE179">
            <v>0.13484961471538653</v>
          </cell>
          <cell r="DF179">
            <v>0.13907603464870066</v>
          </cell>
          <cell r="DG179">
            <v>0.14210464707948028</v>
          </cell>
        </row>
        <row r="180">
          <cell r="B180" t="str">
            <v>Sales - % Other North Americas</v>
          </cell>
          <cell r="C180" t="str">
            <v>SALES_OTH_NO_AMER</v>
          </cell>
        </row>
        <row r="181">
          <cell r="B181" t="str">
            <v>Sales - % Argentina</v>
          </cell>
          <cell r="C181" t="str">
            <v>SALES_ARGENTINA</v>
          </cell>
        </row>
        <row r="182">
          <cell r="B182" t="str">
            <v>Sales - % Brazil</v>
          </cell>
          <cell r="C182" t="str">
            <v>SALES_BRAZIL</v>
          </cell>
          <cell r="AZ182">
            <v>0</v>
          </cell>
          <cell r="BE182">
            <v>0</v>
          </cell>
          <cell r="BJ182">
            <v>0</v>
          </cell>
          <cell r="BO182">
            <v>0</v>
          </cell>
          <cell r="BT182">
            <v>5.0432203988178693E-2</v>
          </cell>
          <cell r="BY182">
            <v>5.1704105344694037E-2</v>
          </cell>
          <cell r="CD182">
            <v>5.5434339133982581E-2</v>
          </cell>
          <cell r="CI182">
            <v>5.5024857159309756E-2</v>
          </cell>
          <cell r="CN182">
            <v>4.6519807076369227E-2</v>
          </cell>
          <cell r="CS182">
            <v>5.6442264823896568E-2</v>
          </cell>
          <cell r="CX182">
            <v>7.1813235153485699E-2</v>
          </cell>
          <cell r="DC182">
            <v>7.3695681787222453E-2</v>
          </cell>
          <cell r="DD182">
            <v>7.9231068969996099E-2</v>
          </cell>
          <cell r="DE182">
            <v>8.1158339547601294E-2</v>
          </cell>
          <cell r="DF182">
            <v>8.3253128007699712E-2</v>
          </cell>
          <cell r="DG182">
            <v>8.4981856490694133E-2</v>
          </cell>
        </row>
        <row r="183">
          <cell r="B183" t="str">
            <v>Sales - % Chile</v>
          </cell>
          <cell r="C183" t="str">
            <v>SALES_CHILE</v>
          </cell>
        </row>
        <row r="184">
          <cell r="B184" t="str">
            <v>Sales - % Colombia</v>
          </cell>
          <cell r="C184" t="str">
            <v>SALES_COLOMBIA</v>
          </cell>
        </row>
        <row r="185">
          <cell r="B185" t="str">
            <v>Sales - % Mexico</v>
          </cell>
          <cell r="C185" t="str">
            <v>SALES_MEXICO</v>
          </cell>
          <cell r="AZ185">
            <v>7.7629102212101384E-3</v>
          </cell>
          <cell r="BE185">
            <v>9.1750017321598955E-3</v>
          </cell>
          <cell r="BJ185">
            <v>9.1895326608531364E-3</v>
          </cell>
          <cell r="BO185">
            <v>7.9143316645655312E-3</v>
          </cell>
          <cell r="BT185">
            <v>6.5022922906905097E-3</v>
          </cell>
          <cell r="BY185">
            <v>7.0932262245107002E-3</v>
          </cell>
          <cell r="CD185">
            <v>9.495411952035843E-3</v>
          </cell>
          <cell r="CI185">
            <v>1.0883244161212582E-2</v>
          </cell>
          <cell r="CN185">
            <v>1.0813606436782315E-2</v>
          </cell>
          <cell r="CS185">
            <v>1.2930322927580324E-2</v>
          </cell>
          <cell r="CX185">
            <v>2.5102801950846323E-2</v>
          </cell>
          <cell r="DC185">
            <v>3.2011987467647461E-2</v>
          </cell>
          <cell r="DD185">
            <v>3.3251071567736067E-2</v>
          </cell>
          <cell r="DE185">
            <v>3.4054188416604521E-2</v>
          </cell>
          <cell r="DF185">
            <v>3.5129932627526471E-2</v>
          </cell>
          <cell r="DG185">
            <v>3.6169963712981389E-2</v>
          </cell>
        </row>
        <row r="186">
          <cell r="B186" t="str">
            <v>Sales - % Venezuela</v>
          </cell>
          <cell r="C186" t="str">
            <v>SALES_VENEZUELA</v>
          </cell>
        </row>
        <row r="187">
          <cell r="B187" t="str">
            <v>Sales - % Other Latin Americas</v>
          </cell>
          <cell r="C187" t="str">
            <v>SALES_OTH_LATAM</v>
          </cell>
        </row>
        <row r="188">
          <cell r="B188" t="str">
            <v>Sales - % Austria</v>
          </cell>
          <cell r="C188" t="str">
            <v>SALES_AUSTRIA</v>
          </cell>
        </row>
        <row r="189">
          <cell r="B189" t="str">
            <v>Sales - % Belgium</v>
          </cell>
          <cell r="C189" t="str">
            <v>SALES_BEL</v>
          </cell>
        </row>
        <row r="190">
          <cell r="B190" t="str">
            <v>Sales - % France</v>
          </cell>
          <cell r="C190" t="str">
            <v>SALES_FRA</v>
          </cell>
        </row>
        <row r="191">
          <cell r="B191" t="str">
            <v>Sales - % Germany</v>
          </cell>
          <cell r="C191" t="str">
            <v>SALES_GER</v>
          </cell>
        </row>
        <row r="192">
          <cell r="B192" t="str">
            <v>Sales - % Greece</v>
          </cell>
          <cell r="C192" t="str">
            <v>SALES_GRE</v>
          </cell>
        </row>
        <row r="193">
          <cell r="B193" t="str">
            <v>Sales - % Ireland</v>
          </cell>
          <cell r="C193" t="str">
            <v>SALES_IRE</v>
          </cell>
        </row>
        <row r="194">
          <cell r="B194" t="str">
            <v>Sales - % Italy</v>
          </cell>
          <cell r="C194" t="str">
            <v>SALES_ITA</v>
          </cell>
        </row>
        <row r="195">
          <cell r="B195" t="str">
            <v>Sales - % Netherlands</v>
          </cell>
          <cell r="C195" t="str">
            <v>SALES_NETH</v>
          </cell>
        </row>
        <row r="196">
          <cell r="B196" t="str">
            <v>Sales - % Norway</v>
          </cell>
          <cell r="C196" t="str">
            <v>SALES_NOR</v>
          </cell>
        </row>
        <row r="197">
          <cell r="B197" t="str">
            <v>Sales - % Portugal</v>
          </cell>
          <cell r="C197" t="str">
            <v>SALES_POR</v>
          </cell>
        </row>
        <row r="198">
          <cell r="B198" t="str">
            <v>Sales - % Spain</v>
          </cell>
          <cell r="C198" t="str">
            <v>SALES_SPA</v>
          </cell>
        </row>
        <row r="199">
          <cell r="B199" t="str">
            <v>Sales - % Sweden</v>
          </cell>
          <cell r="C199" t="str">
            <v>SALES_SWE</v>
          </cell>
        </row>
        <row r="200">
          <cell r="B200" t="str">
            <v>Sales - % Switzerland</v>
          </cell>
          <cell r="C200" t="str">
            <v>SALES_SWIT</v>
          </cell>
        </row>
        <row r="201">
          <cell r="B201" t="str">
            <v>Sales - % UK</v>
          </cell>
          <cell r="C201" t="str">
            <v>SALES_UK</v>
          </cell>
        </row>
        <row r="202">
          <cell r="B202" t="str">
            <v>Sales - % Other Western Europe</v>
          </cell>
          <cell r="C202" t="str">
            <v>SALES_OTH_WEST_EURO</v>
          </cell>
        </row>
        <row r="203">
          <cell r="B203" t="str">
            <v>Sales - % Poland</v>
          </cell>
          <cell r="C203" t="str">
            <v>SALES_POLAND</v>
          </cell>
        </row>
        <row r="204">
          <cell r="B204" t="str">
            <v>Sales - % Russia</v>
          </cell>
          <cell r="C204" t="str">
            <v>SALES_RUSSIA</v>
          </cell>
        </row>
        <row r="205">
          <cell r="B205" t="str">
            <v>Sales - % Turkey</v>
          </cell>
          <cell r="C205" t="str">
            <v>SALES_TURKEY</v>
          </cell>
        </row>
        <row r="206">
          <cell r="B206" t="str">
            <v>Sales - % Other CEE</v>
          </cell>
          <cell r="C206" t="str">
            <v>SALES_OTH_CEE</v>
          </cell>
        </row>
        <row r="207">
          <cell r="B207" t="str">
            <v>Sales - % Saudi Arabia</v>
          </cell>
          <cell r="C207" t="str">
            <v>SALES_SAUDI_ARABIA</v>
          </cell>
        </row>
        <row r="208">
          <cell r="B208" t="str">
            <v>Sales - % United Arab Emirates</v>
          </cell>
          <cell r="C208" t="str">
            <v>SALES_UAE</v>
          </cell>
        </row>
        <row r="209">
          <cell r="B209" t="str">
            <v>Sales - % Other Middle East</v>
          </cell>
          <cell r="C209" t="str">
            <v>SALES_OTH_ME</v>
          </cell>
        </row>
        <row r="210">
          <cell r="B210" t="str">
            <v>Sales - % Nigeria</v>
          </cell>
          <cell r="C210" t="str">
            <v>SALES_NIGERIA</v>
          </cell>
        </row>
        <row r="211">
          <cell r="B211" t="str">
            <v>Sales - % South Africa</v>
          </cell>
          <cell r="C211" t="str">
            <v>SALES_SO_AFRICA</v>
          </cell>
        </row>
        <row r="212">
          <cell r="B212" t="str">
            <v>Sales - % Other Africa</v>
          </cell>
          <cell r="C212" t="str">
            <v>SALES_OTH_AFRICA</v>
          </cell>
        </row>
        <row r="213">
          <cell r="B213" t="str">
            <v>Sales - % Hong Kong</v>
          </cell>
          <cell r="C213" t="str">
            <v>SALES_HONG_KONG</v>
          </cell>
        </row>
        <row r="214">
          <cell r="B214" t="str">
            <v>Sales - % Japan</v>
          </cell>
          <cell r="C214" t="str">
            <v>SALES_JAPAN</v>
          </cell>
          <cell r="AZ214">
            <v>0.85999482749162082</v>
          </cell>
          <cell r="BE214">
            <v>0.82371533930367324</v>
          </cell>
          <cell r="BJ214">
            <v>0.80820251404738463</v>
          </cell>
          <cell r="BO214">
            <v>0.7842609446167782</v>
          </cell>
          <cell r="BT214">
            <v>0.77799945533219694</v>
          </cell>
          <cell r="BY214">
            <v>0.76316808675445391</v>
          </cell>
          <cell r="CD214">
            <v>0.72707679208131548</v>
          </cell>
          <cell r="CI214">
            <v>0.72759070037259077</v>
          </cell>
          <cell r="CN214">
            <v>0.72179203211969012</v>
          </cell>
          <cell r="CS214">
            <v>0.70345185897683427</v>
          </cell>
          <cell r="CX214">
            <v>0.63696865735870711</v>
          </cell>
          <cell r="DC214">
            <v>0.61994278708622808</v>
          </cell>
          <cell r="DD214">
            <v>0.60657228211456038</v>
          </cell>
          <cell r="DE214">
            <v>0.59072831220482225</v>
          </cell>
          <cell r="DF214">
            <v>0.58072666025024067</v>
          </cell>
          <cell r="DG214">
            <v>0.57193023528034648</v>
          </cell>
        </row>
        <row r="215">
          <cell r="B215" t="str">
            <v>Sales - % Singapore</v>
          </cell>
          <cell r="C215" t="str">
            <v>SALES_SINGAPORE</v>
          </cell>
        </row>
        <row r="216">
          <cell r="B216" t="str">
            <v>Sales - % South Korea</v>
          </cell>
          <cell r="C216" t="str">
            <v>SALES_SK</v>
          </cell>
        </row>
        <row r="217">
          <cell r="B217" t="str">
            <v>Sales - % Taiwan</v>
          </cell>
          <cell r="C217" t="str">
            <v>SALES_TAIWAN</v>
          </cell>
        </row>
        <row r="218">
          <cell r="B218" t="str">
            <v>Sales - % Other Developed Asia</v>
          </cell>
          <cell r="C218" t="str">
            <v>SALES_OTH_DEV_ASIA</v>
          </cell>
        </row>
        <row r="219">
          <cell r="B219" t="str">
            <v>Sales - % China</v>
          </cell>
          <cell r="C219" t="str">
            <v>SALES_CHINA</v>
          </cell>
          <cell r="AZ219">
            <v>5.4337461761317478E-2</v>
          </cell>
          <cell r="BE219">
            <v>7.1596187922034385E-2</v>
          </cell>
          <cell r="BJ219">
            <v>7.993975554654463E-2</v>
          </cell>
          <cell r="BO219">
            <v>8.6950205518667584E-2</v>
          </cell>
          <cell r="BT219">
            <v>7.2824102558930029E-2</v>
          </cell>
          <cell r="BY219">
            <v>8.2494190549961266E-2</v>
          </cell>
          <cell r="CD219">
            <v>8.7807993188228406E-2</v>
          </cell>
          <cell r="CI219">
            <v>9.1885113216842729E-2</v>
          </cell>
          <cell r="CN219">
            <v>9.5191333058029237E-2</v>
          </cell>
          <cell r="CS219">
            <v>9.7377317358290541E-2</v>
          </cell>
          <cell r="CX219">
            <v>9.8809409964616998E-2</v>
          </cell>
          <cell r="DC219">
            <v>9.2902874267810923E-2</v>
          </cell>
          <cell r="DD219">
            <v>9.2999090791011818E-2</v>
          </cell>
          <cell r="DE219">
            <v>9.308973402933135E-2</v>
          </cell>
          <cell r="DF219">
            <v>9.3960538979788261E-2</v>
          </cell>
          <cell r="DG219">
            <v>9.4814467985485193E-2</v>
          </cell>
        </row>
        <row r="220">
          <cell r="B220" t="str">
            <v>Sales - % India</v>
          </cell>
          <cell r="C220" t="str">
            <v>SALES_INDIA</v>
          </cell>
        </row>
        <row r="221">
          <cell r="B221" t="str">
            <v>Sales - % Indonesia</v>
          </cell>
          <cell r="C221" t="str">
            <v>SALES_INDONESIA</v>
          </cell>
        </row>
        <row r="222">
          <cell r="B222" t="str">
            <v>Sales - % Thailand</v>
          </cell>
          <cell r="C222" t="str">
            <v>SALES_THAILAND</v>
          </cell>
        </row>
        <row r="223">
          <cell r="B223" t="str">
            <v>Sales - % Other Emerging Asia</v>
          </cell>
          <cell r="C223" t="str">
            <v>SALES_OTH_EMERG_ASIA</v>
          </cell>
        </row>
        <row r="224">
          <cell r="B224" t="str">
            <v>Sales - % Australia</v>
          </cell>
          <cell r="C224" t="str">
            <v>SALES_AUSTRA</v>
          </cell>
        </row>
        <row r="225">
          <cell r="B225" t="str">
            <v>Sales - % New Zealand</v>
          </cell>
          <cell r="C225" t="str">
            <v>SALES_NZ</v>
          </cell>
        </row>
        <row r="226">
          <cell r="B226" t="str">
            <v>Sales - % Others</v>
          </cell>
          <cell r="C226" t="str">
            <v>SALES_OTHER</v>
          </cell>
          <cell r="AZ226">
            <v>2.3252251950459879E-2</v>
          </cell>
          <cell r="BE226">
            <v>3.3754969273489532E-2</v>
          </cell>
          <cell r="BJ226">
            <v>3.4045796067135203E-2</v>
          </cell>
          <cell r="BO226">
            <v>5.1036618511224208E-2</v>
          </cell>
          <cell r="BT226">
            <v>3.096718151636102E-2</v>
          </cell>
          <cell r="BY226">
            <v>3.297309797505843E-2</v>
          </cell>
          <cell r="CD226">
            <v>4.7010937470503333E-2</v>
          </cell>
          <cell r="CI226">
            <v>3.9202438155686137E-2</v>
          </cell>
          <cell r="CN226">
            <v>4.2981029703205165E-2</v>
          </cell>
          <cell r="CS226">
            <v>4.5889047640779168E-2</v>
          </cell>
          <cell r="CX226">
            <v>5.4940972554269885E-2</v>
          </cell>
          <cell r="DC226">
            <v>6.1980656586296035E-2</v>
          </cell>
          <cell r="DD226">
            <v>6.4294064164177156E-2</v>
          </cell>
          <cell r="DE226">
            <v>6.6119811086253977E-2</v>
          </cell>
          <cell r="DF226">
            <v>6.7853705486044191E-2</v>
          </cell>
          <cell r="DG226">
            <v>6.9998829451012545E-2</v>
          </cell>
        </row>
        <row r="227">
          <cell r="B227" t="str">
            <v>% of CoGS from U.S. (GS estimate)</v>
          </cell>
          <cell r="C227" t="str">
            <v>COGS_PCT_US</v>
          </cell>
          <cell r="AZ227">
            <v>5.4652548575391723E-2</v>
          </cell>
          <cell r="BE227">
            <v>6.1758501768643004E-2</v>
          </cell>
          <cell r="BJ227">
            <v>6.8622401678082354E-2</v>
          </cell>
          <cell r="BO227">
            <v>6.9837899688764485E-2</v>
          </cell>
          <cell r="BT227">
            <v>6.1274764313642781E-2</v>
          </cell>
          <cell r="BY227">
            <v>6.2567293151321618E-2</v>
          </cell>
          <cell r="CD227">
            <v>7.3174526173934301E-2</v>
          </cell>
          <cell r="CI227">
            <v>7.5413646934357911E-2</v>
          </cell>
          <cell r="CN227">
            <v>8.2702191605924069E-2</v>
          </cell>
          <cell r="CS227">
            <v>8.3909188272619076E-2</v>
          </cell>
          <cell r="CX227">
            <v>0.11236492301807402</v>
          </cell>
          <cell r="DC227">
            <v>0.11946601280479499</v>
          </cell>
          <cell r="DD227">
            <v>0.12365242239251852</v>
          </cell>
          <cell r="DE227">
            <v>0.13484961471538653</v>
          </cell>
          <cell r="DF227">
            <v>0.13907603464870066</v>
          </cell>
          <cell r="DG227">
            <v>0.14210464707948028</v>
          </cell>
        </row>
        <row r="228">
          <cell r="B228" t="str">
            <v>% of CoGS from non-U.S. (GS estimate)</v>
          </cell>
          <cell r="C228" t="str">
            <v>COGS_PCT_ROW</v>
          </cell>
          <cell r="AZ228">
            <v>0.9453474514246083</v>
          </cell>
          <cell r="BE228">
            <v>0.93824149823135694</v>
          </cell>
          <cell r="BJ228">
            <v>0.93137759832191769</v>
          </cell>
          <cell r="BO228">
            <v>0.93016210031123547</v>
          </cell>
          <cell r="BT228">
            <v>0.93872523568635724</v>
          </cell>
          <cell r="BY228">
            <v>0.93743270684867841</v>
          </cell>
          <cell r="CD228">
            <v>0.92682547382606573</v>
          </cell>
          <cell r="CI228">
            <v>0.92458635306564207</v>
          </cell>
          <cell r="CN228">
            <v>0.91729780839407593</v>
          </cell>
          <cell r="CS228">
            <v>0.91609081172738094</v>
          </cell>
          <cell r="CX228">
            <v>0.88763507698192601</v>
          </cell>
          <cell r="DC228">
            <v>0.88053398719520504</v>
          </cell>
          <cell r="DD228">
            <v>0.8763475776074815</v>
          </cell>
          <cell r="DE228">
            <v>0.86515038528461341</v>
          </cell>
          <cell r="DF228">
            <v>0.86092396535129934</v>
          </cell>
          <cell r="DG228">
            <v>0.85789535292051977</v>
          </cell>
        </row>
        <row r="229">
          <cell r="B229" t="str">
            <v>% of SG&amp;A from U.S. (GS estimate)</v>
          </cell>
          <cell r="C229" t="str">
            <v>SGA_PCT_US</v>
          </cell>
          <cell r="AZ229">
            <v>5.4652548575391723E-2</v>
          </cell>
          <cell r="BE229">
            <v>6.1758501768643004E-2</v>
          </cell>
          <cell r="BJ229">
            <v>6.8622401678082354E-2</v>
          </cell>
          <cell r="BO229">
            <v>6.9837899688764485E-2</v>
          </cell>
          <cell r="BT229">
            <v>6.1274764313642781E-2</v>
          </cell>
          <cell r="BY229">
            <v>6.2567293151321618E-2</v>
          </cell>
          <cell r="CD229">
            <v>7.3174526173934301E-2</v>
          </cell>
          <cell r="CI229">
            <v>7.5413646934357911E-2</v>
          </cell>
          <cell r="CN229">
            <v>8.2702191605924069E-2</v>
          </cell>
          <cell r="CS229">
            <v>8.3909188272619076E-2</v>
          </cell>
          <cell r="CX229">
            <v>0.11236492301807402</v>
          </cell>
          <cell r="DC229">
            <v>0.11946601280479499</v>
          </cell>
          <cell r="DD229">
            <v>0.12365242239251852</v>
          </cell>
          <cell r="DE229">
            <v>0.13484961471538653</v>
          </cell>
          <cell r="DF229">
            <v>0.13907603464870066</v>
          </cell>
          <cell r="DG229">
            <v>0.14210464707948028</v>
          </cell>
        </row>
        <row r="230">
          <cell r="B230" t="str">
            <v>% of SG&amp;A from non-U.S. (GS estimate)</v>
          </cell>
          <cell r="C230" t="str">
            <v>SGA_PCT_ROW</v>
          </cell>
          <cell r="AZ230">
            <v>0.9453474514246083</v>
          </cell>
          <cell r="BE230">
            <v>0.93824149823135694</v>
          </cell>
          <cell r="BJ230">
            <v>0.93137759832191769</v>
          </cell>
          <cell r="BO230">
            <v>0.93016210031123547</v>
          </cell>
          <cell r="BT230">
            <v>0.93872523568635724</v>
          </cell>
          <cell r="BY230">
            <v>0.93743270684867841</v>
          </cell>
          <cell r="CD230">
            <v>0.92682547382606573</v>
          </cell>
          <cell r="CI230">
            <v>0.92458635306564207</v>
          </cell>
          <cell r="CN230">
            <v>0.91729780839407593</v>
          </cell>
          <cell r="CS230">
            <v>0.91609081172738094</v>
          </cell>
          <cell r="CX230">
            <v>0.88763507698192601</v>
          </cell>
          <cell r="DC230">
            <v>0.88053398719520504</v>
          </cell>
          <cell r="DD230">
            <v>0.8763475776074815</v>
          </cell>
          <cell r="DE230">
            <v>0.86515038528461341</v>
          </cell>
          <cell r="DF230">
            <v>0.86092396535129934</v>
          </cell>
          <cell r="DG230">
            <v>0.85789535292051977</v>
          </cell>
        </row>
        <row r="231">
          <cell r="B231" t="str">
            <v>Sales -% Consumer (C)</v>
          </cell>
          <cell r="C231" t="str">
            <v>SALES_CONS</v>
          </cell>
          <cell r="F231">
            <v>1</v>
          </cell>
          <cell r="G231">
            <v>1</v>
          </cell>
          <cell r="H231">
            <v>1</v>
          </cell>
          <cell r="I231">
            <v>1</v>
          </cell>
          <cell r="J231">
            <v>1</v>
          </cell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Y231">
            <v>1</v>
          </cell>
          <cell r="CD231">
            <v>1</v>
          </cell>
          <cell r="CI231">
            <v>1</v>
          </cell>
          <cell r="CN231">
            <v>1</v>
          </cell>
          <cell r="CS231">
            <v>1</v>
          </cell>
          <cell r="CX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</row>
        <row r="232">
          <cell r="B232" t="str">
            <v>Sales -% Industry (I)</v>
          </cell>
          <cell r="C232" t="str">
            <v>SALES_IND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Y232">
            <v>0</v>
          </cell>
          <cell r="CD232">
            <v>0</v>
          </cell>
          <cell r="CI232">
            <v>0</v>
          </cell>
          <cell r="CN232">
            <v>0</v>
          </cell>
          <cell r="CS232">
            <v>0</v>
          </cell>
          <cell r="CX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</row>
        <row r="233">
          <cell r="B233" t="str">
            <v>Sales -% Government (G)</v>
          </cell>
          <cell r="C233" t="str">
            <v>SALES_GOV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Y233">
            <v>0</v>
          </cell>
          <cell r="CD233">
            <v>0</v>
          </cell>
          <cell r="CI233">
            <v>0</v>
          </cell>
          <cell r="CN233">
            <v>0</v>
          </cell>
          <cell r="CS233">
            <v>0</v>
          </cell>
          <cell r="CX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</row>
        <row r="234">
          <cell r="B234" t="str">
            <v>Sales - % Industry Sub-Segment: Financial Services</v>
          </cell>
          <cell r="C234" t="str">
            <v>SALES_FINAN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Y234">
            <v>0</v>
          </cell>
          <cell r="CD234">
            <v>0</v>
          </cell>
          <cell r="CI234">
            <v>0</v>
          </cell>
          <cell r="CN234">
            <v>0</v>
          </cell>
          <cell r="CS234">
            <v>0</v>
          </cell>
          <cell r="CX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</row>
        <row r="235">
          <cell r="B235" t="str">
            <v>Sales - % Industry Sub-Segment: Oil &amp; Gas</v>
          </cell>
          <cell r="C235" t="str">
            <v>SALES_OIL_GAS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Y235">
            <v>0</v>
          </cell>
          <cell r="CD235">
            <v>0</v>
          </cell>
          <cell r="CI235">
            <v>0</v>
          </cell>
          <cell r="CN235">
            <v>0</v>
          </cell>
          <cell r="CS235">
            <v>0</v>
          </cell>
          <cell r="CX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</row>
        <row r="236">
          <cell r="B236" t="str">
            <v>Sales - % from Captive Financing Business</v>
          </cell>
          <cell r="C236" t="str">
            <v>REV_FIN_SEGMENT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Y236">
            <v>0</v>
          </cell>
          <cell r="CD236">
            <v>0</v>
          </cell>
          <cell r="CI236">
            <v>0</v>
          </cell>
          <cell r="CN236">
            <v>0</v>
          </cell>
          <cell r="CS236">
            <v>0</v>
          </cell>
          <cell r="CX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</row>
        <row r="237">
          <cell r="A237" t="str">
            <v>Commodities Exposure - Sales</v>
          </cell>
        </row>
        <row r="238">
          <cell r="B238" t="str">
            <v>Sales - % Wheat</v>
          </cell>
          <cell r="C238" t="str">
            <v>SALES_WHEAT</v>
          </cell>
        </row>
        <row r="239">
          <cell r="B239" t="str">
            <v>Sales - % Sugar</v>
          </cell>
          <cell r="C239" t="str">
            <v>SALES_SUGAR</v>
          </cell>
        </row>
        <row r="240">
          <cell r="B240" t="str">
            <v>Sales - % Soybean</v>
          </cell>
          <cell r="C240" t="str">
            <v>SALES_SOYBEAN</v>
          </cell>
        </row>
        <row r="241">
          <cell r="B241" t="str">
            <v>Sales - % Corn</v>
          </cell>
          <cell r="C241" t="str">
            <v>SALES_CORN</v>
          </cell>
        </row>
        <row r="242">
          <cell r="B242" t="str">
            <v>Sales - % Coffee</v>
          </cell>
          <cell r="C242" t="str">
            <v>SALES_COFFEE</v>
          </cell>
        </row>
        <row r="243">
          <cell r="B243" t="str">
            <v>Sales - % Cocoa</v>
          </cell>
          <cell r="C243" t="str">
            <v>SALES_COCOA</v>
          </cell>
        </row>
        <row r="244">
          <cell r="B244" t="str">
            <v>Sales - % Beef</v>
          </cell>
          <cell r="C244" t="str">
            <v>SALES_BEEF</v>
          </cell>
        </row>
        <row r="245">
          <cell r="B245" t="str">
            <v>Sales - % Pork</v>
          </cell>
          <cell r="C245" t="str">
            <v>SALES_PORK</v>
          </cell>
        </row>
        <row r="246">
          <cell r="B246" t="str">
            <v>Sales - % Chicken</v>
          </cell>
          <cell r="C246" t="str">
            <v>SALES_CHICKEN</v>
          </cell>
        </row>
        <row r="247">
          <cell r="B247" t="str">
            <v>Sales - % Dairy</v>
          </cell>
          <cell r="C247" t="str">
            <v>SALES_DAIRY</v>
          </cell>
        </row>
        <row r="248">
          <cell r="B248" t="str">
            <v>Sales - % Nuts</v>
          </cell>
          <cell r="C248" t="str">
            <v>SALES_NUTS</v>
          </cell>
        </row>
        <row r="249">
          <cell r="B249" t="str">
            <v>Sales - % Water</v>
          </cell>
          <cell r="C249" t="str">
            <v>SALES_WATER</v>
          </cell>
        </row>
        <row r="250">
          <cell r="B250" t="str">
            <v>Sales - % Other commodity</v>
          </cell>
          <cell r="C250" t="str">
            <v>SALES_OTH_COMMODITY</v>
          </cell>
        </row>
        <row r="251">
          <cell r="B251" t="str">
            <v>Sales - % Other (Non-Commodity) sales sources</v>
          </cell>
          <cell r="C251" t="str">
            <v>SALES_OTH_SALES_SOURCES</v>
          </cell>
        </row>
        <row r="252">
          <cell r="A252" t="str">
            <v>Commodities Exposure - Expense</v>
          </cell>
        </row>
        <row r="253">
          <cell r="B253" t="str">
            <v>Expense - % Oil/Petrol/Fuel</v>
          </cell>
          <cell r="C253" t="str">
            <v>EXP_OIL_PETRO_FUEL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Y253">
            <v>0</v>
          </cell>
          <cell r="CD253">
            <v>0</v>
          </cell>
          <cell r="CI253">
            <v>0</v>
          </cell>
          <cell r="CN253">
            <v>0</v>
          </cell>
          <cell r="CS253">
            <v>0</v>
          </cell>
          <cell r="CX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</row>
        <row r="254">
          <cell r="B254" t="str">
            <v>Expense - % Oil derivatives/NGLs/plastics</v>
          </cell>
          <cell r="C254" t="str">
            <v>EXP_OIL_DERIV_NGLS_PLASTICS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Y254">
            <v>0</v>
          </cell>
          <cell r="CD254">
            <v>0</v>
          </cell>
          <cell r="CI254">
            <v>0</v>
          </cell>
          <cell r="CN254">
            <v>0</v>
          </cell>
          <cell r="CS254">
            <v>0</v>
          </cell>
          <cell r="CX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</row>
        <row r="255">
          <cell r="B255" t="str">
            <v>Expense - % Aluminium</v>
          </cell>
          <cell r="C255" t="str">
            <v>EXP_ALUMINIUM</v>
          </cell>
        </row>
        <row r="256">
          <cell r="B256" t="str">
            <v>Expense - % Steel</v>
          </cell>
          <cell r="C256" t="str">
            <v>EXP_STEEL</v>
          </cell>
        </row>
        <row r="257">
          <cell r="B257" t="str">
            <v>Expense - % Tin</v>
          </cell>
          <cell r="C257" t="str">
            <v>EXP_TIN</v>
          </cell>
        </row>
        <row r="258">
          <cell r="B258" t="str">
            <v>Expense - % Paper/pulp</v>
          </cell>
          <cell r="C258" t="str">
            <v>EXP_PAPER_PULP</v>
          </cell>
        </row>
        <row r="259">
          <cell r="B259" t="str">
            <v>Expense - % Glass</v>
          </cell>
          <cell r="C259" t="str">
            <v>EXP_GLASS</v>
          </cell>
        </row>
        <row r="260">
          <cell r="B260" t="str">
            <v>Expense - % Wheat</v>
          </cell>
          <cell r="C260" t="str">
            <v>EXP_WHEAT</v>
          </cell>
        </row>
        <row r="261">
          <cell r="B261" t="str">
            <v>Expense - % Sugar</v>
          </cell>
          <cell r="C261" t="str">
            <v>EXP_SUGAR</v>
          </cell>
        </row>
        <row r="262">
          <cell r="B262" t="str">
            <v>Expense - % Soybean</v>
          </cell>
          <cell r="C262" t="str">
            <v>EXP_SOYBEAN</v>
          </cell>
        </row>
        <row r="263">
          <cell r="B263" t="str">
            <v>Expense - % Corn</v>
          </cell>
          <cell r="C263" t="str">
            <v>EXP_CORN</v>
          </cell>
        </row>
        <row r="264">
          <cell r="B264" t="str">
            <v>Expense - % Coffee</v>
          </cell>
          <cell r="C264" t="str">
            <v>EXP_COFFEE</v>
          </cell>
        </row>
        <row r="265">
          <cell r="B265" t="str">
            <v>Expense - % Cocoa</v>
          </cell>
          <cell r="C265" t="str">
            <v>EXP_COCOA</v>
          </cell>
        </row>
        <row r="266">
          <cell r="B266" t="str">
            <v>Expense - % Beef</v>
          </cell>
          <cell r="C266" t="str">
            <v>EXP_BEEF</v>
          </cell>
        </row>
        <row r="267">
          <cell r="B267" t="str">
            <v>Expense - % Pork</v>
          </cell>
          <cell r="C267" t="str">
            <v>EXP_PORK</v>
          </cell>
        </row>
        <row r="268">
          <cell r="B268" t="str">
            <v>Expense - % Chicken</v>
          </cell>
          <cell r="C268" t="str">
            <v>EXP_CHICKEN</v>
          </cell>
        </row>
        <row r="269">
          <cell r="B269" t="str">
            <v>Expense - % Dairy</v>
          </cell>
          <cell r="C269" t="str">
            <v>EXP_DAIRY</v>
          </cell>
        </row>
        <row r="270">
          <cell r="B270" t="str">
            <v>Expense - % Nuts</v>
          </cell>
          <cell r="C270" t="str">
            <v>EXP_NUTS</v>
          </cell>
        </row>
        <row r="271">
          <cell r="B271" t="str">
            <v>Expense - % Palm oil</v>
          </cell>
          <cell r="C271" t="str">
            <v>EXP_PALM_OIL</v>
          </cell>
        </row>
        <row r="272">
          <cell r="B272" t="str">
            <v>Expense - % Other edible oil</v>
          </cell>
          <cell r="C272" t="str">
            <v>EXP_OTH_EDIBLE_OIL</v>
          </cell>
        </row>
        <row r="273">
          <cell r="B273" t="str">
            <v>Expense - % Water</v>
          </cell>
          <cell r="C273" t="str">
            <v>EXP_WATER</v>
          </cell>
        </row>
        <row r="274">
          <cell r="B274" t="str">
            <v>Expense - % Other commodity</v>
          </cell>
          <cell r="C274" t="str">
            <v>EXP_OTH_COMMODITY</v>
          </cell>
        </row>
        <row r="275">
          <cell r="B275" t="str">
            <v>Expense - % Other (Non-Commodity) cost</v>
          </cell>
          <cell r="C275" t="str">
            <v>EXP_OTH_COST</v>
          </cell>
        </row>
        <row r="276">
          <cell r="A276" t="str">
            <v>FX Exposure - Sales</v>
          </cell>
        </row>
        <row r="277">
          <cell r="B277" t="str">
            <v>Sales - % FX: British Pounds/Pence</v>
          </cell>
          <cell r="C277" t="str">
            <v>SALES_FX_GPB</v>
          </cell>
          <cell r="AZ277">
            <v>0</v>
          </cell>
        </row>
        <row r="278">
          <cell r="B278" t="str">
            <v>Sales - % FX: Euro</v>
          </cell>
          <cell r="C278" t="str">
            <v>SALES_FX_EUR</v>
          </cell>
          <cell r="AZ278">
            <v>7.0534205170940953E-3</v>
          </cell>
        </row>
        <row r="279">
          <cell r="B279" t="str">
            <v>Sales - % FX: New Russian Ruble</v>
          </cell>
          <cell r="C279" t="str">
            <v>SALES_FX_RUB</v>
          </cell>
          <cell r="AZ279">
            <v>0</v>
          </cell>
        </row>
        <row r="280">
          <cell r="B280" t="str">
            <v>Sales - % FX: U.S. Dollar</v>
          </cell>
          <cell r="C280" t="str">
            <v>SALES_FX_USD</v>
          </cell>
          <cell r="AZ280">
            <v>5.4652548575391723E-2</v>
          </cell>
          <cell r="BE280">
            <v>6.1758501768643004E-2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6.8622401678082354E-2</v>
          </cell>
          <cell r="BO280">
            <v>6.9837899688764485E-2</v>
          </cell>
          <cell r="BT280">
            <v>6.1274764313642781E-2</v>
          </cell>
          <cell r="BY280">
            <v>6.2567293151321618E-2</v>
          </cell>
          <cell r="CD280">
            <v>7.3174526173934301E-2</v>
          </cell>
          <cell r="CI280">
            <v>7.5413646934357911E-2</v>
          </cell>
          <cell r="CN280">
            <v>8.2702191605924069E-2</v>
          </cell>
          <cell r="CS280">
            <v>8.3909188272619076E-2</v>
          </cell>
          <cell r="CX280">
            <v>0.11236492301807402</v>
          </cell>
          <cell r="DC280">
            <v>0.11946601280479499</v>
          </cell>
          <cell r="DD280">
            <v>0.12365242239251852</v>
          </cell>
          <cell r="DE280">
            <v>0.13484961471538653</v>
          </cell>
          <cell r="DF280">
            <v>0.13907603464870066</v>
          </cell>
          <cell r="DG280">
            <v>0.14210464707948028</v>
          </cell>
        </row>
        <row r="281">
          <cell r="B281" t="str">
            <v>Sales - % FX: Brazilian Real</v>
          </cell>
          <cell r="C281" t="str">
            <v>SALES_FX_BRL</v>
          </cell>
          <cell r="AZ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O281">
            <v>0</v>
          </cell>
          <cell r="BT281">
            <v>5.0432203988178693E-2</v>
          </cell>
          <cell r="BY281">
            <v>5.1704105344694037E-2</v>
          </cell>
          <cell r="CD281">
            <v>5.5434339133982581E-2</v>
          </cell>
          <cell r="CI281">
            <v>5.5024857159309756E-2</v>
          </cell>
          <cell r="CN281">
            <v>4.6519807076369227E-2</v>
          </cell>
          <cell r="CS281">
            <v>5.6442264823896568E-2</v>
          </cell>
          <cell r="CX281">
            <v>7.1813235153485699E-2</v>
          </cell>
          <cell r="DC281">
            <v>7.3695681787222453E-2</v>
          </cell>
          <cell r="DD281">
            <v>7.9231068969996099E-2</v>
          </cell>
          <cell r="DE281">
            <v>8.1158339547601294E-2</v>
          </cell>
          <cell r="DF281">
            <v>8.3253128007699712E-2</v>
          </cell>
          <cell r="DG281">
            <v>8.4981856490694133E-2</v>
          </cell>
        </row>
        <row r="282">
          <cell r="B282" t="str">
            <v>Sales - % FX: Japanese Yen</v>
          </cell>
          <cell r="C282" t="str">
            <v>SALES_FX_YEN</v>
          </cell>
          <cell r="AZ282">
            <v>0.85999482749162082</v>
          </cell>
          <cell r="BE282">
            <v>0.82371533930367324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0.80820251404738463</v>
          </cell>
          <cell r="BO282">
            <v>0.7842609446167782</v>
          </cell>
          <cell r="BT282">
            <v>0.77799945533219694</v>
          </cell>
          <cell r="BY282">
            <v>0.76316808675445391</v>
          </cell>
          <cell r="CD282">
            <v>0.72707679208131548</v>
          </cell>
          <cell r="CI282">
            <v>0.72759070037259077</v>
          </cell>
          <cell r="CN282">
            <v>0.72179203211969012</v>
          </cell>
          <cell r="CS282">
            <v>0.70345185897683427</v>
          </cell>
          <cell r="CX282">
            <v>0.63696865735870711</v>
          </cell>
          <cell r="DC282">
            <v>0.61994278708622808</v>
          </cell>
          <cell r="DD282">
            <v>0.60657228211456038</v>
          </cell>
          <cell r="DE282">
            <v>0.59072831220482225</v>
          </cell>
          <cell r="DF282">
            <v>0.58072666025024067</v>
          </cell>
          <cell r="DG282">
            <v>0.57193023528034648</v>
          </cell>
        </row>
        <row r="283">
          <cell r="B283" t="str">
            <v>Sales - % FX: Chinese Renminbi</v>
          </cell>
          <cell r="C283" t="str">
            <v>SALES_FX_CNY</v>
          </cell>
          <cell r="AZ283">
            <v>5.4337461761317478E-2</v>
          </cell>
          <cell r="BE283">
            <v>7.1596187922034385E-2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7.993975554654463E-2</v>
          </cell>
          <cell r="BO283">
            <v>8.6950205518667584E-2</v>
          </cell>
          <cell r="BT283">
            <v>7.2824102558930029E-2</v>
          </cell>
          <cell r="BY283">
            <v>8.2494190549961266E-2</v>
          </cell>
          <cell r="CD283">
            <v>8.7807993188228406E-2</v>
          </cell>
          <cell r="CI283">
            <v>9.1885113216842729E-2</v>
          </cell>
          <cell r="CN283">
            <v>9.5191333058029237E-2</v>
          </cell>
          <cell r="CS283">
            <v>9.7377317358290541E-2</v>
          </cell>
          <cell r="CX283">
            <v>9.8809409964616998E-2</v>
          </cell>
          <cell r="DC283">
            <v>9.2902874267810923E-2</v>
          </cell>
          <cell r="DD283">
            <v>9.2999090791011818E-2</v>
          </cell>
          <cell r="DE283">
            <v>9.308973402933135E-2</v>
          </cell>
          <cell r="DF283">
            <v>9.3960538979788261E-2</v>
          </cell>
          <cell r="DG283">
            <v>9.4814467985485193E-2</v>
          </cell>
        </row>
        <row r="284">
          <cell r="B284" t="str">
            <v>Sales - % FX: Indian Rupee</v>
          </cell>
          <cell r="C284" t="str">
            <v>SALES_FX_INR</v>
          </cell>
          <cell r="AZ284">
            <v>0</v>
          </cell>
        </row>
        <row r="285">
          <cell r="B285" t="str">
            <v>Sales - % FX: Indonesian Rupiah</v>
          </cell>
          <cell r="C285" t="str">
            <v>SALES_FX_IDR</v>
          </cell>
          <cell r="AZ285">
            <v>0</v>
          </cell>
        </row>
        <row r="286">
          <cell r="B286" t="str">
            <v>Sales - % FX: Thai Baht</v>
          </cell>
          <cell r="C286" t="str">
            <v>SALES_FX_THB</v>
          </cell>
          <cell r="AZ286">
            <v>0</v>
          </cell>
        </row>
        <row r="287">
          <cell r="B287" t="str">
            <v>Sales - % FX: Australian Dollar</v>
          </cell>
          <cell r="C287" t="str">
            <v>SALES_FX_AUD</v>
          </cell>
          <cell r="AZ287">
            <v>0</v>
          </cell>
        </row>
        <row r="288">
          <cell r="B288" t="str">
            <v>Sales - % FX: Other Currency</v>
          </cell>
          <cell r="C288" t="str">
            <v>SALES_FX_OTH</v>
          </cell>
          <cell r="AZ288">
            <v>2.3961741654575874E-2</v>
          </cell>
          <cell r="BE288">
            <v>4.2929971005649437E-2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4.3235328727988409E-2</v>
          </cell>
          <cell r="BO288">
            <v>5.8950950175789663E-2</v>
          </cell>
          <cell r="BT288">
            <v>3.7469473807051568E-2</v>
          </cell>
          <cell r="BY288">
            <v>4.0066324199569125E-2</v>
          </cell>
          <cell r="CD288">
            <v>5.6506349422539182E-2</v>
          </cell>
          <cell r="CI288">
            <v>5.0085682316898916E-2</v>
          </cell>
          <cell r="CN288">
            <v>5.3794636139987473E-2</v>
          </cell>
          <cell r="CS288">
            <v>5.8819370568359508E-2</v>
          </cell>
          <cell r="CX288">
            <v>8.0043774505116239E-2</v>
          </cell>
          <cell r="DC288">
            <v>9.3992644053943475E-2</v>
          </cell>
          <cell r="DD288">
            <v>9.7545135731913257E-2</v>
          </cell>
          <cell r="DE288">
            <v>0.10017399950285855</v>
          </cell>
          <cell r="DF288">
            <v>0.1029836381135707</v>
          </cell>
          <cell r="DG288">
            <v>0.10616879316399386</v>
          </cell>
        </row>
        <row r="289">
          <cell r="A289" t="str">
            <v>Items to be removed</v>
          </cell>
        </row>
        <row r="290">
          <cell r="B290" t="str">
            <v>Sales - Total % Americas</v>
          </cell>
          <cell r="C290" t="str">
            <v>SALES_TOT_AM</v>
          </cell>
          <cell r="AZ290">
            <v>6.7640214735190066E-2</v>
          </cell>
          <cell r="BE290">
            <v>7.5722546171173091E-2</v>
          </cell>
          <cell r="BJ290">
            <v>8.2446123066271415E-2</v>
          </cell>
          <cell r="BO290">
            <v>8.1170421250869776E-2</v>
          </cell>
        </row>
        <row r="291">
          <cell r="B291" t="str">
            <v>Sales - % Other Americas</v>
          </cell>
          <cell r="C291" t="str">
            <v>SALES_OTH_AM</v>
          </cell>
          <cell r="AZ291">
            <v>1.2987666159798355E-2</v>
          </cell>
          <cell r="BE291">
            <v>1.3964044402530089E-2</v>
          </cell>
          <cell r="BJ291">
            <v>1.3823721388189058E-2</v>
          </cell>
          <cell r="BO291">
            <v>1.1332521562105289E-2</v>
          </cell>
        </row>
        <row r="292">
          <cell r="B292" t="str">
            <v>Sales - Total % EMEA</v>
          </cell>
          <cell r="C292" t="str">
            <v>SALES_TOT_EMEA</v>
          </cell>
          <cell r="AZ292">
            <v>7.0534205170940953E-3</v>
          </cell>
          <cell r="BE292">
            <v>1.4367128011110579E-2</v>
          </cell>
          <cell r="BJ292">
            <v>1.0890343509239413E-2</v>
          </cell>
          <cell r="BO292">
            <v>0</v>
          </cell>
        </row>
        <row r="293">
          <cell r="B293" t="str">
            <v>Sales - % Western Europe-Ex UK</v>
          </cell>
          <cell r="C293" t="str">
            <v>SALES_EU_EX_UK</v>
          </cell>
        </row>
        <row r="294">
          <cell r="B294" t="str">
            <v>Sales - % Central &amp; Eastern Europe</v>
          </cell>
          <cell r="C294" t="str">
            <v>SALES_CEE</v>
          </cell>
        </row>
        <row r="295">
          <cell r="B295" t="str">
            <v>Sales - % Middle East</v>
          </cell>
          <cell r="C295" t="str">
            <v>SALES_ME</v>
          </cell>
        </row>
        <row r="296">
          <cell r="B296" t="str">
            <v>Sales - % Total Africa</v>
          </cell>
          <cell r="C296" t="str">
            <v>SALES_TOT_AFRICA</v>
          </cell>
        </row>
        <row r="297">
          <cell r="B297" t="str">
            <v>Sales - % Other EMEA</v>
          </cell>
          <cell r="C297" t="str">
            <v>SALES_OTH_EMEA</v>
          </cell>
        </row>
        <row r="298">
          <cell r="B298" t="str">
            <v>Sales - Total % Asia (incl Australia &amp; New Zealand)</v>
          </cell>
          <cell r="C298" t="str">
            <v>SALES_TOT_ASIA</v>
          </cell>
          <cell r="AZ298">
            <v>0.92530636474771588</v>
          </cell>
          <cell r="BE298">
            <v>0.90991032581771636</v>
          </cell>
          <cell r="BJ298">
            <v>0.90666353342448913</v>
          </cell>
          <cell r="BO298">
            <v>0.91882957874913029</v>
          </cell>
        </row>
        <row r="299">
          <cell r="B299" t="str">
            <v>Sales - % Other Asia</v>
          </cell>
          <cell r="C299" t="str">
            <v>SALES_OTH_AEJ</v>
          </cell>
          <cell r="AZ299">
            <v>1.097407549477758E-2</v>
          </cell>
          <cell r="BE299">
            <v>1.459879859200878E-2</v>
          </cell>
          <cell r="BJ299">
            <v>1.8521263830559909E-2</v>
          </cell>
          <cell r="BO299">
            <v>4.7618428613684483E-2</v>
          </cell>
        </row>
        <row r="300">
          <cell r="A300" t="str">
            <v>Analyst Defined Items</v>
          </cell>
        </row>
        <row r="301">
          <cell r="B301" t="str">
            <v>Currency contribution to % sales growth</v>
          </cell>
          <cell r="C301" t="str">
            <v>SALES_FX</v>
          </cell>
        </row>
        <row r="302">
          <cell r="A302" t="str">
            <v>Analyst Defined Items</v>
          </cell>
        </row>
        <row r="303">
          <cell r="B303" t="str">
            <v>Currency contribution to % sales growth</v>
          </cell>
          <cell r="AZ303">
            <v>0</v>
          </cell>
          <cell r="BE303">
            <v>0</v>
          </cell>
        </row>
        <row r="304">
          <cell r="B304" t="str">
            <v>Inorganic sales contribution to % sales growth</v>
          </cell>
          <cell r="C304" t="str">
            <v>SALES_INORGANIC</v>
          </cell>
        </row>
        <row r="305">
          <cell r="B305" t="str">
            <v>Inorganic sales contribution to % sales growth</v>
          </cell>
          <cell r="AZ305">
            <v>2.8336732272809971E-3</v>
          </cell>
          <cell r="BE305">
            <v>5.8395562784387886E-2</v>
          </cell>
        </row>
        <row r="306">
          <cell r="B306" t="str">
            <v>Pricing contribution to % sales growth</v>
          </cell>
          <cell r="C306" t="str">
            <v>SALES_PRICE</v>
          </cell>
        </row>
        <row r="307">
          <cell r="B307" t="str">
            <v>Pricing contribution to % sales growth</v>
          </cell>
          <cell r="AZ307">
            <v>0</v>
          </cell>
          <cell r="BE307">
            <v>0</v>
          </cell>
        </row>
        <row r="308">
          <cell r="B308" t="str">
            <v>Volume contribution to % sales growth</v>
          </cell>
          <cell r="C308" t="str">
            <v>SALES_VOLUME</v>
          </cell>
        </row>
        <row r="309">
          <cell r="B309" t="str">
            <v>Volume contribution to % sales growth</v>
          </cell>
          <cell r="AZ309">
            <v>2.7327694507058966E-3</v>
          </cell>
          <cell r="BE309">
            <v>3.2585724752217951E-2</v>
          </cell>
        </row>
        <row r="310">
          <cell r="A310" t="str">
            <v>Security: Nissin Foods Holdings</v>
          </cell>
        </row>
        <row r="311">
          <cell r="A311" t="str">
            <v>Reference Data</v>
          </cell>
        </row>
        <row r="312">
          <cell r="B312" t="str">
            <v>Ticker</v>
          </cell>
          <cell r="C312" t="str">
            <v>Ticker</v>
          </cell>
          <cell r="E312" t="str">
            <v>2897.T</v>
          </cell>
        </row>
        <row r="313">
          <cell r="B313" t="str">
            <v>Security Name</v>
          </cell>
          <cell r="C313" t="str">
            <v>Security Name</v>
          </cell>
          <cell r="E313" t="str">
            <v>Nissin Foods Holdings</v>
          </cell>
        </row>
        <row r="314">
          <cell r="B314" t="str">
            <v>Interim Type</v>
          </cell>
          <cell r="C314" t="str">
            <v>Interim Type</v>
          </cell>
          <cell r="E314" t="str">
            <v>Q</v>
          </cell>
        </row>
        <row r="315">
          <cell r="B315" t="str">
            <v>Publishing Currency</v>
          </cell>
          <cell r="C315" t="str">
            <v>PUB_CURRENCY_ISO</v>
          </cell>
          <cell r="E315" t="str">
            <v>JPY</v>
          </cell>
        </row>
        <row r="316">
          <cell r="B316" t="str">
            <v>Pricing Currency</v>
          </cell>
          <cell r="C316" t="str">
            <v>PRICE_CURRENCY_ISO</v>
          </cell>
          <cell r="E316" t="str">
            <v>JPY</v>
          </cell>
        </row>
        <row r="317">
          <cell r="B317" t="str">
            <v>Reporting Currency</v>
          </cell>
          <cell r="C317" t="str">
            <v>CURRENCY_ISO</v>
          </cell>
          <cell r="E317" t="str">
            <v>JPY</v>
          </cell>
        </row>
        <row r="318">
          <cell r="A318" t="str">
            <v>General Information</v>
          </cell>
        </row>
        <row r="319">
          <cell r="B319" t="str">
            <v>Japan Investment List</v>
          </cell>
          <cell r="C319" t="str">
            <v>JAPAN_LIST</v>
          </cell>
          <cell r="E319" t="str">
            <v>Buy</v>
          </cell>
        </row>
        <row r="320">
          <cell r="B320" t="str">
            <v>Japan Conviction List</v>
          </cell>
          <cell r="C320" t="str">
            <v>NOT IN USE</v>
          </cell>
        </row>
        <row r="321">
          <cell r="B321" t="str">
            <v>Japan Conviction List</v>
          </cell>
        </row>
        <row r="322">
          <cell r="B322" t="str">
            <v>Legal rating</v>
          </cell>
          <cell r="C322" t="str">
            <v>LEGAL_RATING</v>
          </cell>
        </row>
        <row r="323">
          <cell r="B323" t="str">
            <v>Target price</v>
          </cell>
          <cell r="C323" t="str">
            <v>TARGET_PRICE</v>
          </cell>
          <cell r="D323" t="str">
            <v>JPY</v>
          </cell>
          <cell r="E323">
            <v>6000</v>
          </cell>
        </row>
        <row r="324">
          <cell r="B324" t="str">
            <v>Target price period</v>
          </cell>
          <cell r="C324" t="str">
            <v>TP_PERIOD</v>
          </cell>
          <cell r="E324" t="str">
            <v>12 months</v>
          </cell>
        </row>
        <row r="325">
          <cell r="B325" t="str">
            <v>Fundamental value</v>
          </cell>
          <cell r="C325" t="str">
            <v>TARGET_PRICE_FUNDAMENTAL</v>
          </cell>
          <cell r="D325" t="str">
            <v>JPY</v>
          </cell>
        </row>
        <row r="326">
          <cell r="B326" t="str">
            <v>M&amp;A value</v>
          </cell>
          <cell r="C326" t="str">
            <v>TARGET_PRICE_MA</v>
          </cell>
          <cell r="D326" t="str">
            <v>JPY</v>
          </cell>
        </row>
        <row r="327">
          <cell r="B327" t="str">
            <v>Current shares outstanding (mn)</v>
          </cell>
          <cell r="C327" t="str">
            <v>NUM_SH</v>
          </cell>
          <cell r="E327">
            <v>302.79926957851245</v>
          </cell>
        </row>
        <row r="328">
          <cell r="B328" t="str">
            <v>Free float</v>
          </cell>
          <cell r="C328" t="str">
            <v>FREE_FLOAT</v>
          </cell>
        </row>
        <row r="329">
          <cell r="B329" t="str">
            <v>Catalyst 1 date</v>
          </cell>
          <cell r="C329" t="str">
            <v>CATALYST1_DATE</v>
          </cell>
        </row>
        <row r="330">
          <cell r="B330" t="str">
            <v>Catalyst 1 description</v>
          </cell>
          <cell r="C330" t="str">
            <v>CATALYST1_EVENT</v>
          </cell>
        </row>
        <row r="331">
          <cell r="B331" t="str">
            <v>Catalyst 2 date</v>
          </cell>
          <cell r="C331" t="str">
            <v>CATALYST2_DATE</v>
          </cell>
        </row>
        <row r="332">
          <cell r="B332" t="str">
            <v>Catalyst 2 description</v>
          </cell>
          <cell r="C332" t="str">
            <v>CATALYST2_EVENT</v>
          </cell>
        </row>
        <row r="333">
          <cell r="B333" t="str">
            <v>Catalyst 3 date</v>
          </cell>
          <cell r="C333" t="str">
            <v>CATALYST3_DATE</v>
          </cell>
        </row>
        <row r="334">
          <cell r="B334" t="str">
            <v>Catalyst 3 description</v>
          </cell>
          <cell r="C334" t="str">
            <v>CATALYST3_EVENT</v>
          </cell>
        </row>
        <row r="335">
          <cell r="B335" t="str">
            <v>Catalyst 4 date</v>
          </cell>
          <cell r="C335" t="str">
            <v>CATALYST4_DATE</v>
          </cell>
        </row>
        <row r="336">
          <cell r="B336" t="str">
            <v>Catalyst 4 description</v>
          </cell>
          <cell r="C336" t="str">
            <v>CATALYST4_EVENT</v>
          </cell>
        </row>
        <row r="337">
          <cell r="B337" t="str">
            <v>Catalyst 5 date</v>
          </cell>
          <cell r="C337" t="str">
            <v>CATALYST5_DATE</v>
          </cell>
        </row>
        <row r="338">
          <cell r="B338" t="str">
            <v>Catalyst 5 description</v>
          </cell>
          <cell r="C338" t="str">
            <v>CATALYST5_EVENT</v>
          </cell>
        </row>
        <row r="339">
          <cell r="B339" t="str">
            <v>Target price multiple</v>
          </cell>
          <cell r="C339" t="str">
            <v>PRI_TARG_MULT</v>
          </cell>
        </row>
        <row r="340">
          <cell r="B340" t="str">
            <v>Target price methodology</v>
          </cell>
          <cell r="C340" t="str">
            <v>PRI_TARG_METH</v>
          </cell>
          <cell r="E340" t="str">
            <v>EV/NOPAT</v>
          </cell>
        </row>
        <row r="341">
          <cell r="B341" t="str">
            <v>Dividend policy</v>
          </cell>
          <cell r="C341" t="str">
            <v>DIV_POLICY</v>
          </cell>
          <cell r="E341" t="str">
            <v>Payout ratio of c40%, progressive dividend</v>
          </cell>
        </row>
        <row r="342">
          <cell r="A342" t="str">
            <v>Publishing Items</v>
          </cell>
        </row>
        <row r="343">
          <cell r="B343" t="str">
            <v>Book value per share, BVPS (Pub)</v>
          </cell>
          <cell r="C343" t="str">
            <v>BVPS_PUB</v>
          </cell>
          <cell r="D343" t="str">
            <v>JPY</v>
          </cell>
          <cell r="F343">
            <v>483.56330914514166</v>
          </cell>
          <cell r="G343">
            <v>471.15543473363272</v>
          </cell>
          <cell r="H343">
            <v>479.32843704159848</v>
          </cell>
          <cell r="I343">
            <v>489.83515641756287</v>
          </cell>
          <cell r="J343">
            <v>523.76473732358897</v>
          </cell>
          <cell r="K343">
            <v>558.55248017740962</v>
          </cell>
          <cell r="L343">
            <v>592.33921477866772</v>
          </cell>
          <cell r="M343">
            <v>587.56397281302543</v>
          </cell>
          <cell r="N343">
            <v>593.24405252243128</v>
          </cell>
          <cell r="O343">
            <v>621.77259283086073</v>
          </cell>
          <cell r="P343">
            <v>657.45353553580253</v>
          </cell>
          <cell r="Q343">
            <v>671.2081693438148</v>
          </cell>
          <cell r="V343">
            <v>736.81639859488871</v>
          </cell>
          <cell r="AA343">
            <v>738.68621220755279</v>
          </cell>
          <cell r="AF343">
            <v>731.26449048343977</v>
          </cell>
          <cell r="AK343">
            <v>756.14007852724865</v>
          </cell>
          <cell r="AP343">
            <v>819.51626465376319</v>
          </cell>
          <cell r="AU343">
            <v>850.43006924087729</v>
          </cell>
          <cell r="AZ343">
            <v>930.13617928141934</v>
          </cell>
          <cell r="BE343">
            <v>1009.8407265436269</v>
          </cell>
          <cell r="BJ343">
            <v>1098.5961008612346</v>
          </cell>
          <cell r="BO343">
            <v>1116.71746052188</v>
          </cell>
          <cell r="BT343">
            <v>1097.3917395880219</v>
          </cell>
          <cell r="BY343">
            <v>1178.9445369920568</v>
          </cell>
          <cell r="CD343">
            <v>1045.7989206919642</v>
          </cell>
          <cell r="CI343">
            <v>1049.6840911569545</v>
          </cell>
          <cell r="CN343">
            <v>1228.7910698462717</v>
          </cell>
          <cell r="CS343">
            <v>1326.553235984514</v>
          </cell>
          <cell r="CX343">
            <v>1415.6969545272618</v>
          </cell>
          <cell r="DC343">
            <v>1530.3867827853053</v>
          </cell>
          <cell r="DD343">
            <v>1655.0625473044602</v>
          </cell>
          <cell r="DE343">
            <v>1783.4314182485984</v>
          </cell>
          <cell r="DF343">
            <v>1920.8890532456287</v>
          </cell>
          <cell r="DG343">
            <v>2064.5271891677162</v>
          </cell>
        </row>
        <row r="344">
          <cell r="B344" t="str">
            <v>DPS, dividend per share (Pub)</v>
          </cell>
          <cell r="C344" t="str">
            <v>DPS_PUB</v>
          </cell>
          <cell r="D344" t="str">
            <v>JPY</v>
          </cell>
          <cell r="F344">
            <v>8</v>
          </cell>
          <cell r="G344">
            <v>8</v>
          </cell>
          <cell r="H344">
            <v>8.6666666666666661</v>
          </cell>
          <cell r="I344">
            <v>8</v>
          </cell>
          <cell r="J344">
            <v>8</v>
          </cell>
          <cell r="K344">
            <v>9</v>
          </cell>
          <cell r="L344">
            <v>8</v>
          </cell>
          <cell r="M344">
            <v>10</v>
          </cell>
          <cell r="N344">
            <v>10</v>
          </cell>
          <cell r="O344">
            <v>10</v>
          </cell>
          <cell r="P344">
            <v>10</v>
          </cell>
          <cell r="Q344">
            <v>10</v>
          </cell>
          <cell r="V344">
            <v>16.666666666666668</v>
          </cell>
          <cell r="AA344">
            <v>16.666666666666668</v>
          </cell>
          <cell r="AF344">
            <v>16.666666666666668</v>
          </cell>
          <cell r="AK344">
            <v>20</v>
          </cell>
          <cell r="AP344">
            <v>23.333333333333332</v>
          </cell>
          <cell r="AQ344">
            <v>0</v>
          </cell>
          <cell r="AR344">
            <v>12.5</v>
          </cell>
          <cell r="AS344">
            <v>0</v>
          </cell>
          <cell r="AT344">
            <v>12.5</v>
          </cell>
          <cell r="AU344">
            <v>25</v>
          </cell>
          <cell r="AV344">
            <v>0</v>
          </cell>
          <cell r="AW344">
            <v>12.5</v>
          </cell>
          <cell r="AX344">
            <v>0</v>
          </cell>
          <cell r="AY344">
            <v>12.5</v>
          </cell>
          <cell r="AZ344">
            <v>25</v>
          </cell>
          <cell r="BA344">
            <v>0</v>
          </cell>
          <cell r="BB344">
            <v>12.5</v>
          </cell>
          <cell r="BC344">
            <v>0</v>
          </cell>
          <cell r="BD344">
            <v>12.5</v>
          </cell>
          <cell r="BE344">
            <v>25</v>
          </cell>
          <cell r="BJ344">
            <v>25</v>
          </cell>
          <cell r="BO344">
            <v>26.666666666666668</v>
          </cell>
          <cell r="BT344">
            <v>28.333333333333332</v>
          </cell>
          <cell r="BY344">
            <v>30</v>
          </cell>
          <cell r="CD344">
            <v>36.666666666666664</v>
          </cell>
          <cell r="CI344">
            <v>36.666666666666664</v>
          </cell>
          <cell r="CN344">
            <v>40</v>
          </cell>
          <cell r="CS344">
            <v>43.333333333333336</v>
          </cell>
          <cell r="CX344">
            <v>46.666666666666664</v>
          </cell>
          <cell r="DC344">
            <v>70</v>
          </cell>
          <cell r="DD344">
            <v>74</v>
          </cell>
          <cell r="DE344">
            <v>80</v>
          </cell>
          <cell r="DF344">
            <v>84</v>
          </cell>
          <cell r="DG344">
            <v>90</v>
          </cell>
        </row>
        <row r="345">
          <cell r="B345" t="str">
            <v>Special dividend per share</v>
          </cell>
          <cell r="C345" t="str">
            <v>DPS_SPECIAL_PUB</v>
          </cell>
          <cell r="D345" t="str">
            <v>JPY</v>
          </cell>
        </row>
        <row r="346">
          <cell r="B346" t="str">
            <v>EBITDA (Pub)</v>
          </cell>
          <cell r="C346" t="str">
            <v>EBITDA_PUB</v>
          </cell>
          <cell r="D346" t="str">
            <v>JPY</v>
          </cell>
          <cell r="F346">
            <v>20728</v>
          </cell>
          <cell r="G346">
            <v>21764</v>
          </cell>
          <cell r="H346">
            <v>23736</v>
          </cell>
          <cell r="I346">
            <v>24675</v>
          </cell>
          <cell r="J346">
            <v>29950</v>
          </cell>
          <cell r="K346">
            <v>35708</v>
          </cell>
          <cell r="L346">
            <v>34867</v>
          </cell>
          <cell r="M346">
            <v>32039</v>
          </cell>
          <cell r="N346">
            <v>33859</v>
          </cell>
          <cell r="O346">
            <v>30281</v>
          </cell>
          <cell r="P346">
            <v>35636</v>
          </cell>
          <cell r="Q346">
            <v>37955</v>
          </cell>
          <cell r="V346">
            <v>39921</v>
          </cell>
          <cell r="AA346">
            <v>35197</v>
          </cell>
          <cell r="AF346">
            <v>31525</v>
          </cell>
          <cell r="AK346">
            <v>36918</v>
          </cell>
          <cell r="AP346">
            <v>47364</v>
          </cell>
          <cell r="AU346">
            <v>41166</v>
          </cell>
          <cell r="AZ346">
            <v>38298</v>
          </cell>
          <cell r="BE346">
            <v>42221</v>
          </cell>
          <cell r="BJ346">
            <v>39741</v>
          </cell>
          <cell r="BO346">
            <v>44733.75</v>
          </cell>
          <cell r="BT346">
            <v>45850.554499999969</v>
          </cell>
          <cell r="BY346">
            <v>53927.25549999997</v>
          </cell>
          <cell r="CD346">
            <v>49272</v>
          </cell>
          <cell r="CI346">
            <v>68076.771000000008</v>
          </cell>
          <cell r="CN346">
            <v>79247.55</v>
          </cell>
          <cell r="CS346">
            <v>78890.853000000003</v>
          </cell>
          <cell r="CX346">
            <v>89890</v>
          </cell>
          <cell r="DC346">
            <v>114700</v>
          </cell>
          <cell r="DD346">
            <v>122600</v>
          </cell>
          <cell r="DE346">
            <v>129300</v>
          </cell>
          <cell r="DF346">
            <v>136900</v>
          </cell>
          <cell r="DG346">
            <v>144000</v>
          </cell>
        </row>
        <row r="347">
          <cell r="B347" t="str">
            <v>EPS (Pub)</v>
          </cell>
          <cell r="C347" t="str">
            <v>EPS_PUB</v>
          </cell>
          <cell r="D347" t="str">
            <v>JPY</v>
          </cell>
          <cell r="F347">
            <v>17.337794989409833</v>
          </cell>
          <cell r="G347">
            <v>19.064497879775512</v>
          </cell>
          <cell r="H347">
            <v>21.124645169042221</v>
          </cell>
          <cell r="I347">
            <v>24.723984026309608</v>
          </cell>
          <cell r="J347">
            <v>43.351115770863522</v>
          </cell>
          <cell r="K347">
            <v>40.58400803364087</v>
          </cell>
          <cell r="L347">
            <v>39.757942827853313</v>
          </cell>
          <cell r="M347">
            <v>31.214287021854709</v>
          </cell>
          <cell r="N347">
            <v>36.566632459548018</v>
          </cell>
          <cell r="O347">
            <v>35.623177761946557</v>
          </cell>
          <cell r="P347">
            <v>42.115944609827686</v>
          </cell>
          <cell r="Q347">
            <v>38.414719202295146</v>
          </cell>
          <cell r="V347">
            <v>47.660367437512306</v>
          </cell>
          <cell r="AA347">
            <v>34.145758156132679</v>
          </cell>
          <cell r="AF347">
            <v>39.92367628246123</v>
          </cell>
          <cell r="AK347">
            <v>54.973841600294321</v>
          </cell>
          <cell r="AP347">
            <v>58.900473509465215</v>
          </cell>
          <cell r="AQ347">
            <v>26.788421176014243</v>
          </cell>
          <cell r="AR347">
            <v>3.3457148905212706</v>
          </cell>
          <cell r="AS347">
            <v>16.138321104660275</v>
          </cell>
          <cell r="AT347">
            <v>6.3338724644982829</v>
          </cell>
          <cell r="AU347">
            <v>52.606329635694074</v>
          </cell>
          <cell r="AV347">
            <v>8.4793449766204976</v>
          </cell>
          <cell r="AW347">
            <v>10.2853274778843</v>
          </cell>
          <cell r="AX347">
            <v>24.42765275997521</v>
          </cell>
          <cell r="AY347">
            <v>13.845865843022482</v>
          </cell>
          <cell r="AZ347">
            <v>57.038191057502488</v>
          </cell>
          <cell r="BA347">
            <v>15.892983814712306</v>
          </cell>
          <cell r="BB347">
            <v>9.9471025245649436</v>
          </cell>
          <cell r="BC347">
            <v>30.485495119372036</v>
          </cell>
          <cell r="BD347">
            <v>1.9476844104043245</v>
          </cell>
          <cell r="BE347">
            <v>58.27326586905361</v>
          </cell>
          <cell r="BF347">
            <v>12.207855538823807</v>
          </cell>
          <cell r="BG347">
            <v>12.340911185023522</v>
          </cell>
          <cell r="BH347">
            <v>32.982680297733779</v>
          </cell>
          <cell r="BI347">
            <v>-1.572475818723899</v>
          </cell>
          <cell r="BJ347">
            <v>55.958971202857214</v>
          </cell>
          <cell r="BK347">
            <v>16.557049501267514</v>
          </cell>
          <cell r="BL347">
            <v>16.371357274832999</v>
          </cell>
          <cell r="BM347">
            <v>37.150621826341009</v>
          </cell>
          <cell r="BN347">
            <v>11.759492962565988</v>
          </cell>
          <cell r="BO347">
            <v>81.838521565007511</v>
          </cell>
          <cell r="BP347">
            <v>9.3887886676932446</v>
          </cell>
          <cell r="BQ347">
            <v>28.864731537734702</v>
          </cell>
          <cell r="BR347">
            <v>24.045069843411852</v>
          </cell>
          <cell r="BS347">
            <v>11.477621903634336</v>
          </cell>
          <cell r="BT347">
            <v>73.776211952474142</v>
          </cell>
          <cell r="BU347">
            <v>18.430297426680045</v>
          </cell>
          <cell r="BV347">
            <v>26.74746135138297</v>
          </cell>
          <cell r="BW347">
            <v>44.163676241262202</v>
          </cell>
          <cell r="BX347">
            <v>3.8312897168387585</v>
          </cell>
          <cell r="BY347">
            <v>93.172724736163971</v>
          </cell>
          <cell r="BZ347">
            <v>26.47666666666667</v>
          </cell>
          <cell r="CA347">
            <v>22.013333333333332</v>
          </cell>
          <cell r="CB347">
            <v>30.593333333333323</v>
          </cell>
          <cell r="CC347">
            <v>-17.134672930388014</v>
          </cell>
          <cell r="CD347">
            <v>61.948660402945315</v>
          </cell>
          <cell r="CE347">
            <v>18.563333333333333</v>
          </cell>
          <cell r="CF347">
            <v>24.54</v>
          </cell>
          <cell r="CG347">
            <v>38.973333333333336</v>
          </cell>
          <cell r="CH347">
            <v>11.748861767552427</v>
          </cell>
          <cell r="CI347">
            <v>93.825528434219095</v>
          </cell>
          <cell r="CJ347">
            <v>38.703333333333333</v>
          </cell>
          <cell r="CK347">
            <v>31.61</v>
          </cell>
          <cell r="CL347">
            <v>45.779999999999987</v>
          </cell>
          <cell r="CM347">
            <v>14.549961507713746</v>
          </cell>
          <cell r="CN347">
            <v>130.64329484104707</v>
          </cell>
          <cell r="CO347">
            <v>25.34</v>
          </cell>
          <cell r="CP347">
            <v>29.81</v>
          </cell>
          <cell r="CQ347">
            <v>44.11666666666666</v>
          </cell>
          <cell r="CR347">
            <v>15.228110192965104</v>
          </cell>
          <cell r="CS347">
            <v>114.49477685963176</v>
          </cell>
          <cell r="CT347">
            <v>24.61</v>
          </cell>
          <cell r="CU347">
            <v>32.346666666666671</v>
          </cell>
          <cell r="CV347">
            <v>57.584087244648984</v>
          </cell>
          <cell r="CW347">
            <v>32.398630677390173</v>
          </cell>
          <cell r="CX347">
            <v>146.93938458870582</v>
          </cell>
          <cell r="CY347">
            <v>45.863333333333337</v>
          </cell>
          <cell r="CZ347">
            <v>59.41666666666665</v>
          </cell>
          <cell r="DA347">
            <v>57.229511644888355</v>
          </cell>
          <cell r="DB347">
            <v>32.600154039060556</v>
          </cell>
          <cell r="DC347">
            <v>195.10966568394889</v>
          </cell>
          <cell r="DD347">
            <v>208.81632804565959</v>
          </cell>
          <cell r="DE347">
            <v>217.98382112353264</v>
          </cell>
          <cell r="DF347">
            <v>230.56382335721219</v>
          </cell>
          <cell r="DG347">
            <v>242.24317046928456</v>
          </cell>
        </row>
        <row r="348">
          <cell r="B348" t="str">
            <v>EV adjustment (Pub)</v>
          </cell>
          <cell r="C348" t="str">
            <v>EV_ADJ_PUB</v>
          </cell>
          <cell r="D348" t="str">
            <v>JPY</v>
          </cell>
        </row>
        <row r="349">
          <cell r="B349" t="str">
            <v>Net debt (Pub)</v>
          </cell>
          <cell r="C349" t="str">
            <v>NET_DEBT_PUB</v>
          </cell>
          <cell r="D349" t="str">
            <v>JPY</v>
          </cell>
          <cell r="F349">
            <v>-88121</v>
          </cell>
          <cell r="G349">
            <v>-81879</v>
          </cell>
          <cell r="H349">
            <v>-70429</v>
          </cell>
          <cell r="I349">
            <v>-66831</v>
          </cell>
          <cell r="J349">
            <v>-107914</v>
          </cell>
          <cell r="K349">
            <v>-102559</v>
          </cell>
          <cell r="L349">
            <v>-66731</v>
          </cell>
          <cell r="M349">
            <v>-88954</v>
          </cell>
          <cell r="N349">
            <v>-79715</v>
          </cell>
          <cell r="O349">
            <v>-73403</v>
          </cell>
          <cell r="P349">
            <v>-71046</v>
          </cell>
          <cell r="Q349">
            <v>-99257</v>
          </cell>
          <cell r="V349">
            <v>-79514</v>
          </cell>
          <cell r="AA349">
            <v>-91616</v>
          </cell>
          <cell r="AF349">
            <v>-73533</v>
          </cell>
          <cell r="AK349">
            <v>-78058</v>
          </cell>
          <cell r="AP349">
            <v>-58820</v>
          </cell>
          <cell r="AU349">
            <v>-63795</v>
          </cell>
          <cell r="AZ349">
            <v>-61462</v>
          </cell>
          <cell r="BE349">
            <v>-78875</v>
          </cell>
          <cell r="BJ349">
            <v>-100187</v>
          </cell>
          <cell r="BO349">
            <v>-59416</v>
          </cell>
          <cell r="BT349">
            <v>-37757</v>
          </cell>
          <cell r="BY349">
            <v>-38801</v>
          </cell>
          <cell r="CD349">
            <v>-9020</v>
          </cell>
          <cell r="CI349">
            <v>9525</v>
          </cell>
          <cell r="CN349">
            <v>-20763</v>
          </cell>
          <cell r="CS349">
            <v>-37635</v>
          </cell>
          <cell r="CX349">
            <v>-51168</v>
          </cell>
          <cell r="DC349">
            <v>-29800</v>
          </cell>
          <cell r="DD349">
            <v>-11800</v>
          </cell>
          <cell r="DE349">
            <v>3800</v>
          </cell>
          <cell r="DF349">
            <v>10400</v>
          </cell>
          <cell r="DG349">
            <v>10000</v>
          </cell>
        </row>
        <row r="350">
          <cell r="B350" t="str">
            <v>Net Debt (ex leases) (Pub)</v>
          </cell>
          <cell r="C350" t="str">
            <v>NET_DEBT_EX_LEASES_PUB</v>
          </cell>
          <cell r="D350" t="str">
            <v>JPY</v>
          </cell>
          <cell r="F350">
            <v>-88121</v>
          </cell>
          <cell r="G350">
            <v>-81879</v>
          </cell>
          <cell r="H350">
            <v>-70429</v>
          </cell>
          <cell r="I350">
            <v>-66831</v>
          </cell>
          <cell r="J350">
            <v>-107914</v>
          </cell>
          <cell r="K350">
            <v>-102559</v>
          </cell>
          <cell r="L350">
            <v>-66731</v>
          </cell>
          <cell r="M350">
            <v>-88954</v>
          </cell>
          <cell r="N350">
            <v>-79715</v>
          </cell>
          <cell r="O350">
            <v>-73403</v>
          </cell>
          <cell r="P350">
            <v>-71046</v>
          </cell>
          <cell r="Q350">
            <v>-99257</v>
          </cell>
          <cell r="V350">
            <v>-79514</v>
          </cell>
          <cell r="AA350">
            <v>-91616</v>
          </cell>
          <cell r="AF350">
            <v>-73533</v>
          </cell>
          <cell r="AK350">
            <v>-78058</v>
          </cell>
          <cell r="AP350">
            <v>-58820</v>
          </cell>
          <cell r="AU350">
            <v>-63795</v>
          </cell>
          <cell r="AZ350">
            <v>-61462</v>
          </cell>
          <cell r="BE350">
            <v>-78875</v>
          </cell>
          <cell r="BJ350">
            <v>-100187</v>
          </cell>
          <cell r="BO350">
            <v>-59416</v>
          </cell>
          <cell r="BT350">
            <v>-37757</v>
          </cell>
          <cell r="BY350">
            <v>-38801</v>
          </cell>
          <cell r="CD350">
            <v>-14725</v>
          </cell>
          <cell r="CI350">
            <v>-11902</v>
          </cell>
          <cell r="CN350">
            <v>-42364</v>
          </cell>
          <cell r="CS350">
            <v>-57090</v>
          </cell>
          <cell r="CX350">
            <v>-51168</v>
          </cell>
          <cell r="DC350">
            <v>-29800</v>
          </cell>
          <cell r="DD350">
            <v>-11800</v>
          </cell>
          <cell r="DE350">
            <v>3800</v>
          </cell>
          <cell r="DF350">
            <v>10400</v>
          </cell>
          <cell r="DG350">
            <v>10000</v>
          </cell>
        </row>
        <row r="351">
          <cell r="B351" t="str">
            <v>Consensus equivalent net debt</v>
          </cell>
          <cell r="C351" t="str">
            <v>CEEE_NDEBT</v>
          </cell>
          <cell r="D351" t="str">
            <v>JPY</v>
          </cell>
        </row>
        <row r="352">
          <cell r="B352" t="str">
            <v>Net income (Pub)</v>
          </cell>
          <cell r="C352" t="str">
            <v>NI_PUB</v>
          </cell>
          <cell r="D352" t="str">
            <v>JPY</v>
          </cell>
          <cell r="F352">
            <v>6917</v>
          </cell>
          <cell r="G352">
            <v>7616</v>
          </cell>
          <cell r="H352">
            <v>8439</v>
          </cell>
          <cell r="I352">
            <v>9683</v>
          </cell>
          <cell r="J352">
            <v>16870</v>
          </cell>
          <cell r="K352">
            <v>15519</v>
          </cell>
          <cell r="L352">
            <v>15203</v>
          </cell>
          <cell r="M352">
            <v>11936</v>
          </cell>
          <cell r="N352">
            <v>14422</v>
          </cell>
          <cell r="O352">
            <v>14050</v>
          </cell>
          <cell r="P352">
            <v>16611</v>
          </cell>
          <cell r="Q352">
            <v>15388</v>
          </cell>
          <cell r="V352">
            <v>18968</v>
          </cell>
          <cell r="AA352">
            <v>13590</v>
          </cell>
          <cell r="AF352">
            <v>15890</v>
          </cell>
          <cell r="AK352">
            <v>20496</v>
          </cell>
          <cell r="AP352">
            <v>20756</v>
          </cell>
          <cell r="AQ352">
            <v>9440</v>
          </cell>
          <cell r="AR352">
            <v>1179</v>
          </cell>
          <cell r="AS352">
            <v>5687</v>
          </cell>
          <cell r="AT352">
            <v>2232</v>
          </cell>
          <cell r="AU352">
            <v>18538</v>
          </cell>
          <cell r="AV352">
            <v>2803</v>
          </cell>
          <cell r="AW352">
            <v>3400</v>
          </cell>
          <cell r="AX352">
            <v>8075</v>
          </cell>
          <cell r="AY352">
            <v>4577</v>
          </cell>
          <cell r="AZ352">
            <v>18855</v>
          </cell>
          <cell r="BA352">
            <v>5255</v>
          </cell>
          <cell r="BB352">
            <v>3289</v>
          </cell>
          <cell r="BC352">
            <v>10080</v>
          </cell>
          <cell r="BD352">
            <v>644</v>
          </cell>
          <cell r="BE352">
            <v>19268</v>
          </cell>
          <cell r="BF352">
            <v>4037</v>
          </cell>
          <cell r="BG352">
            <v>4081</v>
          </cell>
          <cell r="BH352">
            <v>10907</v>
          </cell>
          <cell r="BI352">
            <v>-520</v>
          </cell>
          <cell r="BJ352">
            <v>18505</v>
          </cell>
          <cell r="BK352">
            <v>5439</v>
          </cell>
          <cell r="BL352">
            <v>5378</v>
          </cell>
          <cell r="BM352">
            <v>12204</v>
          </cell>
          <cell r="BN352">
            <v>3863</v>
          </cell>
          <cell r="BO352">
            <v>26884</v>
          </cell>
          <cell r="BP352">
            <v>2998</v>
          </cell>
          <cell r="BQ352">
            <v>9217</v>
          </cell>
          <cell r="BR352">
            <v>7678</v>
          </cell>
          <cell r="BS352">
            <v>3665</v>
          </cell>
          <cell r="BT352">
            <v>23558</v>
          </cell>
          <cell r="BU352">
            <v>5757</v>
          </cell>
          <cell r="BV352">
            <v>8355</v>
          </cell>
          <cell r="BW352">
            <v>13795.235000000001</v>
          </cell>
          <cell r="BX352">
            <v>1196.7649999999994</v>
          </cell>
          <cell r="BY352">
            <v>29104</v>
          </cell>
          <cell r="BZ352">
            <v>8271</v>
          </cell>
          <cell r="CA352">
            <v>6879</v>
          </cell>
          <cell r="CB352">
            <v>9558</v>
          </cell>
          <cell r="CC352">
            <v>-5352</v>
          </cell>
          <cell r="CD352">
            <v>19356</v>
          </cell>
          <cell r="CE352">
            <v>5800</v>
          </cell>
          <cell r="CF352">
            <v>7669</v>
          </cell>
          <cell r="CG352">
            <v>12179</v>
          </cell>
          <cell r="CH352">
            <v>3668</v>
          </cell>
          <cell r="CI352">
            <v>29316</v>
          </cell>
          <cell r="CJ352">
            <v>12095</v>
          </cell>
          <cell r="CK352">
            <v>9878</v>
          </cell>
          <cell r="CL352">
            <v>14308</v>
          </cell>
          <cell r="CM352">
            <v>4547</v>
          </cell>
          <cell r="CN352">
            <v>40828</v>
          </cell>
          <cell r="CO352">
            <v>7894</v>
          </cell>
          <cell r="CP352">
            <v>9228</v>
          </cell>
          <cell r="CQ352">
            <v>13625</v>
          </cell>
          <cell r="CR352">
            <v>4665</v>
          </cell>
          <cell r="CS352">
            <v>35412</v>
          </cell>
          <cell r="CT352">
            <v>7530</v>
          </cell>
          <cell r="CU352">
            <v>9852</v>
          </cell>
          <cell r="CV352">
            <v>17541</v>
          </cell>
          <cell r="CW352">
            <v>9837</v>
          </cell>
          <cell r="CX352">
            <v>44760</v>
          </cell>
          <cell r="CY352">
            <v>14031</v>
          </cell>
          <cell r="CZ352">
            <v>17979</v>
          </cell>
          <cell r="DA352">
            <v>17400</v>
          </cell>
          <cell r="DB352">
            <v>9790</v>
          </cell>
          <cell r="DC352">
            <v>59200</v>
          </cell>
          <cell r="DD352">
            <v>63100</v>
          </cell>
          <cell r="DE352">
            <v>65600</v>
          </cell>
          <cell r="DF352">
            <v>69100</v>
          </cell>
          <cell r="DG352">
            <v>72300</v>
          </cell>
        </row>
        <row r="353">
          <cell r="B353" t="str">
            <v>EBIT, operating profit (Pub)</v>
          </cell>
          <cell r="C353" t="str">
            <v>EBIT_PUB</v>
          </cell>
          <cell r="D353" t="str">
            <v>JPY</v>
          </cell>
          <cell r="F353">
            <v>19766</v>
          </cell>
          <cell r="G353">
            <v>20881</v>
          </cell>
          <cell r="H353">
            <v>22851</v>
          </cell>
          <cell r="I353">
            <v>23849</v>
          </cell>
          <cell r="J353">
            <v>24674</v>
          </cell>
          <cell r="K353">
            <v>27631</v>
          </cell>
          <cell r="L353">
            <v>27283</v>
          </cell>
          <cell r="M353">
            <v>24816</v>
          </cell>
          <cell r="N353">
            <v>26400</v>
          </cell>
          <cell r="O353">
            <v>23203</v>
          </cell>
          <cell r="P353">
            <v>28962</v>
          </cell>
          <cell r="Q353">
            <v>31979</v>
          </cell>
          <cell r="V353">
            <v>33734</v>
          </cell>
          <cell r="AA353">
            <v>27671</v>
          </cell>
          <cell r="AF353">
            <v>23552</v>
          </cell>
          <cell r="AK353">
            <v>27341</v>
          </cell>
          <cell r="AP353">
            <v>34537</v>
          </cell>
          <cell r="AQ353">
            <v>9832</v>
          </cell>
          <cell r="AR353">
            <v>2201</v>
          </cell>
          <cell r="AS353">
            <v>8789</v>
          </cell>
          <cell r="AT353">
            <v>5389</v>
          </cell>
          <cell r="AU353">
            <v>26211</v>
          </cell>
          <cell r="AV353">
            <v>4579</v>
          </cell>
          <cell r="AW353">
            <v>4318</v>
          </cell>
          <cell r="AX353">
            <v>10253</v>
          </cell>
          <cell r="AY353">
            <v>4804</v>
          </cell>
          <cell r="AZ353">
            <v>23954</v>
          </cell>
          <cell r="BA353">
            <v>5936</v>
          </cell>
          <cell r="BB353">
            <v>4032</v>
          </cell>
          <cell r="BC353">
            <v>11778</v>
          </cell>
          <cell r="BD353">
            <v>5959</v>
          </cell>
          <cell r="BE353">
            <v>27705</v>
          </cell>
          <cell r="BF353">
            <v>5050</v>
          </cell>
          <cell r="BG353">
            <v>4353</v>
          </cell>
          <cell r="BH353">
            <v>10761</v>
          </cell>
          <cell r="BI353">
            <v>4138</v>
          </cell>
          <cell r="BJ353">
            <v>24302</v>
          </cell>
          <cell r="BK353">
            <v>5603</v>
          </cell>
          <cell r="BL353">
            <v>6795</v>
          </cell>
          <cell r="BM353">
            <v>9869</v>
          </cell>
          <cell r="BN353">
            <v>4133</v>
          </cell>
          <cell r="BO353">
            <v>26400</v>
          </cell>
          <cell r="BP353">
            <v>6824</v>
          </cell>
          <cell r="BQ353">
            <v>4911</v>
          </cell>
          <cell r="BR353">
            <v>9983</v>
          </cell>
          <cell r="BS353">
            <v>6900</v>
          </cell>
          <cell r="BT353">
            <v>28618</v>
          </cell>
          <cell r="BU353">
            <v>7121</v>
          </cell>
          <cell r="BV353">
            <v>8219</v>
          </cell>
          <cell r="BW353">
            <v>11557</v>
          </cell>
          <cell r="BX353">
            <v>7216</v>
          </cell>
          <cell r="BY353">
            <v>34113</v>
          </cell>
          <cell r="BZ353">
            <v>12833</v>
          </cell>
          <cell r="CA353">
            <v>9704</v>
          </cell>
          <cell r="CB353">
            <v>12235</v>
          </cell>
          <cell r="CC353">
            <v>-5804</v>
          </cell>
          <cell r="CD353">
            <v>28968</v>
          </cell>
          <cell r="CE353">
            <v>8627</v>
          </cell>
          <cell r="CF353">
            <v>11094</v>
          </cell>
          <cell r="CG353">
            <v>15812</v>
          </cell>
          <cell r="CH353">
            <v>5720</v>
          </cell>
          <cell r="CI353">
            <v>41253</v>
          </cell>
          <cell r="CJ353">
            <v>17452</v>
          </cell>
          <cell r="CK353">
            <v>14388</v>
          </cell>
          <cell r="CL353">
            <v>18126</v>
          </cell>
          <cell r="CM353">
            <v>2416</v>
          </cell>
          <cell r="CN353">
            <v>52382</v>
          </cell>
          <cell r="CO353">
            <v>13248</v>
          </cell>
          <cell r="CP353">
            <v>13588</v>
          </cell>
          <cell r="CQ353">
            <v>15752</v>
          </cell>
          <cell r="CR353">
            <v>6971</v>
          </cell>
          <cell r="CS353">
            <v>49559</v>
          </cell>
          <cell r="CT353">
            <v>13426</v>
          </cell>
          <cell r="CU353">
            <v>14898</v>
          </cell>
          <cell r="CV353">
            <v>23028</v>
          </cell>
          <cell r="CW353">
            <v>8840</v>
          </cell>
          <cell r="CX353">
            <v>60192</v>
          </cell>
          <cell r="CY353">
            <v>22186</v>
          </cell>
          <cell r="CZ353">
            <v>25423</v>
          </cell>
          <cell r="DA353">
            <v>22800</v>
          </cell>
          <cell r="DB353">
            <v>13691</v>
          </cell>
          <cell r="DC353">
            <v>84100</v>
          </cell>
          <cell r="DD353">
            <v>89800</v>
          </cell>
          <cell r="DE353">
            <v>93700</v>
          </cell>
          <cell r="DF353">
            <v>98800</v>
          </cell>
          <cell r="DG353">
            <v>103200</v>
          </cell>
        </row>
        <row r="354">
          <cell r="B354" t="str">
            <v>Pre-tax profit (Pub)</v>
          </cell>
          <cell r="C354" t="str">
            <v>PTP_PUB</v>
          </cell>
          <cell r="D354" t="str">
            <v>JPY</v>
          </cell>
          <cell r="F354">
            <v>20711</v>
          </cell>
          <cell r="G354">
            <v>22394</v>
          </cell>
          <cell r="H354">
            <v>21667</v>
          </cell>
          <cell r="I354">
            <v>16387</v>
          </cell>
          <cell r="J354">
            <v>19067</v>
          </cell>
          <cell r="K354">
            <v>27652</v>
          </cell>
          <cell r="L354">
            <v>24896</v>
          </cell>
          <cell r="M354">
            <v>20074</v>
          </cell>
          <cell r="N354">
            <v>25520</v>
          </cell>
          <cell r="O354">
            <v>24705</v>
          </cell>
          <cell r="P354">
            <v>27072</v>
          </cell>
          <cell r="Q354">
            <v>29811</v>
          </cell>
          <cell r="V354">
            <v>33578</v>
          </cell>
          <cell r="AA354">
            <v>27688</v>
          </cell>
          <cell r="AF354">
            <v>23372</v>
          </cell>
          <cell r="AK354">
            <v>31154</v>
          </cell>
          <cell r="AP354">
            <v>34683</v>
          </cell>
          <cell r="AU354">
            <v>31620</v>
          </cell>
          <cell r="AZ354">
            <v>29392</v>
          </cell>
          <cell r="BE354">
            <v>31725</v>
          </cell>
          <cell r="BJ354">
            <v>29014</v>
          </cell>
          <cell r="BO354">
            <v>36978</v>
          </cell>
          <cell r="BT354">
            <v>35517</v>
          </cell>
          <cell r="BY354">
            <v>37525</v>
          </cell>
          <cell r="CD354">
            <v>31166</v>
          </cell>
          <cell r="CI354">
            <v>42650</v>
          </cell>
          <cell r="CN354">
            <v>56233</v>
          </cell>
          <cell r="CS354">
            <v>49182</v>
          </cell>
          <cell r="CX354">
            <v>57950</v>
          </cell>
          <cell r="DC354">
            <v>81600</v>
          </cell>
          <cell r="DD354">
            <v>86600</v>
          </cell>
          <cell r="DE354">
            <v>89900</v>
          </cell>
          <cell r="DF354">
            <v>94400</v>
          </cell>
          <cell r="DG354">
            <v>98600</v>
          </cell>
        </row>
        <row r="355">
          <cell r="B355" t="str">
            <v>Sales, revenue (Pub)</v>
          </cell>
          <cell r="C355" t="str">
            <v>REVS_PUB</v>
          </cell>
          <cell r="D355" t="str">
            <v>JPY</v>
          </cell>
          <cell r="F355">
            <v>265639</v>
          </cell>
          <cell r="G355">
            <v>275936</v>
          </cell>
          <cell r="H355">
            <v>287835</v>
          </cell>
          <cell r="I355">
            <v>297551</v>
          </cell>
          <cell r="J355">
            <v>290877</v>
          </cell>
          <cell r="K355">
            <v>292540</v>
          </cell>
          <cell r="L355">
            <v>301081</v>
          </cell>
          <cell r="M355">
            <v>308462</v>
          </cell>
          <cell r="N355">
            <v>315279</v>
          </cell>
          <cell r="O355">
            <v>320032</v>
          </cell>
          <cell r="P355">
            <v>316972</v>
          </cell>
          <cell r="Q355">
            <v>321700</v>
          </cell>
          <cell r="V355">
            <v>358238</v>
          </cell>
          <cell r="AA355">
            <v>385469</v>
          </cell>
          <cell r="AF355">
            <v>362057</v>
          </cell>
          <cell r="AK355">
            <v>371178</v>
          </cell>
          <cell r="AP355">
            <v>374932</v>
          </cell>
          <cell r="AQ355">
            <v>91104</v>
          </cell>
          <cell r="AR355">
            <v>88930</v>
          </cell>
          <cell r="AS355">
            <v>105091</v>
          </cell>
          <cell r="AT355">
            <v>95549</v>
          </cell>
          <cell r="AU355">
            <v>380674</v>
          </cell>
          <cell r="AV355">
            <v>89648</v>
          </cell>
          <cell r="AW355">
            <v>88750</v>
          </cell>
          <cell r="AX355">
            <v>107370</v>
          </cell>
          <cell r="AY355">
            <v>97025</v>
          </cell>
          <cell r="AZ355">
            <v>382793</v>
          </cell>
          <cell r="BA355">
            <v>94854</v>
          </cell>
          <cell r="BB355">
            <v>98404</v>
          </cell>
          <cell r="BC355">
            <v>118465</v>
          </cell>
          <cell r="BD355">
            <v>105897</v>
          </cell>
          <cell r="BE355">
            <v>417620</v>
          </cell>
          <cell r="BF355">
            <v>98396</v>
          </cell>
          <cell r="BG355">
            <v>103578</v>
          </cell>
          <cell r="BH355">
            <v>121975</v>
          </cell>
          <cell r="BI355">
            <v>107626</v>
          </cell>
          <cell r="BJ355">
            <v>431575</v>
          </cell>
          <cell r="BK355">
            <v>104396</v>
          </cell>
          <cell r="BL355">
            <v>113546</v>
          </cell>
          <cell r="BM355">
            <v>129594</v>
          </cell>
          <cell r="BN355">
            <v>120548</v>
          </cell>
          <cell r="BO355">
            <v>468084</v>
          </cell>
          <cell r="BP355">
            <v>115481</v>
          </cell>
          <cell r="BQ355">
            <v>120363</v>
          </cell>
          <cell r="BR355">
            <v>133994</v>
          </cell>
          <cell r="BS355">
            <v>125877</v>
          </cell>
          <cell r="BT355">
            <v>495715</v>
          </cell>
          <cell r="BU355">
            <v>119045</v>
          </cell>
          <cell r="BV355">
            <v>128300</v>
          </cell>
          <cell r="BW355">
            <v>139426</v>
          </cell>
          <cell r="BX355">
            <v>129629</v>
          </cell>
          <cell r="BY355">
            <v>516400</v>
          </cell>
          <cell r="BZ355">
            <v>103399</v>
          </cell>
          <cell r="CA355">
            <v>111263</v>
          </cell>
          <cell r="CB355">
            <v>122103</v>
          </cell>
          <cell r="CC355">
            <v>114219</v>
          </cell>
          <cell r="CD355">
            <v>450984</v>
          </cell>
          <cell r="CE355">
            <v>105894</v>
          </cell>
          <cell r="CF355">
            <v>115467</v>
          </cell>
          <cell r="CG355">
            <v>126683</v>
          </cell>
          <cell r="CH355">
            <v>120835</v>
          </cell>
          <cell r="CI355">
            <v>468879</v>
          </cell>
          <cell r="CJ355">
            <v>120561</v>
          </cell>
          <cell r="CK355">
            <v>120570</v>
          </cell>
          <cell r="CL355">
            <v>132728</v>
          </cell>
          <cell r="CM355">
            <v>132248</v>
          </cell>
          <cell r="CN355">
            <v>506107</v>
          </cell>
          <cell r="CO355">
            <v>132457</v>
          </cell>
          <cell r="CP355">
            <v>142580</v>
          </cell>
          <cell r="CQ355">
            <v>149758</v>
          </cell>
          <cell r="CR355">
            <v>144927</v>
          </cell>
          <cell r="CS355">
            <v>569722</v>
          </cell>
          <cell r="CT355">
            <v>149263</v>
          </cell>
          <cell r="CU355">
            <v>167691</v>
          </cell>
          <cell r="CV355">
            <v>184513</v>
          </cell>
          <cell r="CW355">
            <v>167781</v>
          </cell>
          <cell r="CX355">
            <v>669248</v>
          </cell>
          <cell r="CY355">
            <v>166470</v>
          </cell>
          <cell r="CZ355">
            <v>183900</v>
          </cell>
          <cell r="DA355">
            <v>198200</v>
          </cell>
          <cell r="DB355">
            <v>185530</v>
          </cell>
          <cell r="DC355">
            <v>734100</v>
          </cell>
          <cell r="DD355">
            <v>769900</v>
          </cell>
          <cell r="DE355">
            <v>804600</v>
          </cell>
          <cell r="DF355">
            <v>831200</v>
          </cell>
          <cell r="DG355">
            <v>854300</v>
          </cell>
        </row>
        <row r="356">
          <cell r="B356" t="str">
            <v>Total shareholders' equity (Pub)</v>
          </cell>
          <cell r="C356" t="str">
            <v>EQ_PUB</v>
          </cell>
          <cell r="D356" t="str">
            <v>JPY</v>
          </cell>
          <cell r="F356">
            <v>194520</v>
          </cell>
          <cell r="G356">
            <v>189743</v>
          </cell>
          <cell r="H356">
            <v>193389</v>
          </cell>
          <cell r="I356">
            <v>194270</v>
          </cell>
          <cell r="J356">
            <v>205895</v>
          </cell>
          <cell r="K356">
            <v>217991</v>
          </cell>
          <cell r="L356">
            <v>230930</v>
          </cell>
          <cell r="M356">
            <v>230581</v>
          </cell>
          <cell r="N356">
            <v>233707</v>
          </cell>
          <cell r="O356">
            <v>244439</v>
          </cell>
          <cell r="P356">
            <v>258138</v>
          </cell>
          <cell r="Q356">
            <v>263199</v>
          </cell>
          <cell r="V356">
            <v>288476</v>
          </cell>
          <cell r="AA356">
            <v>288844</v>
          </cell>
          <cell r="AF356">
            <v>285569</v>
          </cell>
          <cell r="AK356">
            <v>271951</v>
          </cell>
          <cell r="AP356">
            <v>277595</v>
          </cell>
          <cell r="AU356">
            <v>286657</v>
          </cell>
          <cell r="AZ356">
            <v>315026</v>
          </cell>
          <cell r="BE356">
            <v>342300</v>
          </cell>
          <cell r="BJ356">
            <v>369852</v>
          </cell>
          <cell r="BO356">
            <v>371688</v>
          </cell>
          <cell r="BT356">
            <v>353517</v>
          </cell>
          <cell r="BY356">
            <v>391776</v>
          </cell>
          <cell r="CD356">
            <v>352545</v>
          </cell>
          <cell r="CI356">
            <v>354063</v>
          </cell>
          <cell r="CN356">
            <v>421435</v>
          </cell>
          <cell r="CS356">
            <v>444590</v>
          </cell>
          <cell r="CX356">
            <v>467949</v>
          </cell>
          <cell r="DC356">
            <v>502300</v>
          </cell>
          <cell r="DD356">
            <v>539400</v>
          </cell>
          <cell r="DE356">
            <v>577300</v>
          </cell>
          <cell r="DF356">
            <v>617600</v>
          </cell>
          <cell r="DG356">
            <v>659400</v>
          </cell>
        </row>
        <row r="357">
          <cell r="B357" t="str">
            <v>Recurring profit (Pub)</v>
          </cell>
          <cell r="C357" t="str">
            <v>REC_PFT_PUB</v>
          </cell>
          <cell r="D357" t="str">
            <v>JPY</v>
          </cell>
          <cell r="F357">
            <v>21259</v>
          </cell>
          <cell r="G357">
            <v>22848</v>
          </cell>
          <cell r="H357">
            <v>23329</v>
          </cell>
          <cell r="I357">
            <v>24043</v>
          </cell>
          <cell r="J357">
            <v>26887</v>
          </cell>
          <cell r="K357">
            <v>30329</v>
          </cell>
          <cell r="L357">
            <v>33137</v>
          </cell>
          <cell r="M357">
            <v>29993</v>
          </cell>
          <cell r="N357">
            <v>28676</v>
          </cell>
          <cell r="O357">
            <v>25620</v>
          </cell>
          <cell r="P357">
            <v>33183</v>
          </cell>
          <cell r="Q357">
            <v>39526</v>
          </cell>
          <cell r="V357">
            <v>37843</v>
          </cell>
          <cell r="AA357">
            <v>32798</v>
          </cell>
          <cell r="AF357">
            <v>28748</v>
          </cell>
          <cell r="AK357">
            <v>32794</v>
          </cell>
          <cell r="AP357">
            <v>36418</v>
          </cell>
          <cell r="AU357">
            <v>28099</v>
          </cell>
          <cell r="AZ357">
            <v>30964</v>
          </cell>
          <cell r="BE357">
            <v>34840</v>
          </cell>
          <cell r="BJ357">
            <v>32980</v>
          </cell>
          <cell r="BO357">
            <v>30733</v>
          </cell>
          <cell r="BT357">
            <v>32864</v>
          </cell>
          <cell r="BY357">
            <v>40588</v>
          </cell>
          <cell r="CD357">
            <v>35132</v>
          </cell>
          <cell r="CI357">
            <v>47192</v>
          </cell>
        </row>
        <row r="358">
          <cell r="B358" t="str">
            <v>Operating profits</v>
          </cell>
          <cell r="C358" t="str">
            <v>OPS_PFT</v>
          </cell>
          <cell r="D358" t="str">
            <v>JPY</v>
          </cell>
          <cell r="F358">
            <v>19766</v>
          </cell>
          <cell r="G358">
            <v>20881</v>
          </cell>
          <cell r="H358">
            <v>22851</v>
          </cell>
          <cell r="I358">
            <v>23849</v>
          </cell>
          <cell r="J358">
            <v>24674</v>
          </cell>
          <cell r="K358">
            <v>27631</v>
          </cell>
          <cell r="L358">
            <v>27283</v>
          </cell>
          <cell r="M358">
            <v>24816</v>
          </cell>
          <cell r="N358">
            <v>26400</v>
          </cell>
          <cell r="O358">
            <v>23203</v>
          </cell>
          <cell r="P358">
            <v>28962</v>
          </cell>
          <cell r="Q358">
            <v>31979</v>
          </cell>
          <cell r="V358">
            <v>33734</v>
          </cell>
          <cell r="AA358">
            <v>27671</v>
          </cell>
          <cell r="AF358">
            <v>23552</v>
          </cell>
          <cell r="AK358">
            <v>27341</v>
          </cell>
          <cell r="AP358">
            <v>34537</v>
          </cell>
          <cell r="AU358">
            <v>26211</v>
          </cell>
          <cell r="AZ358">
            <v>23954</v>
          </cell>
          <cell r="BE358">
            <v>27705</v>
          </cell>
          <cell r="BJ358">
            <v>24302</v>
          </cell>
          <cell r="BO358">
            <v>26400</v>
          </cell>
          <cell r="BT358">
            <v>28618</v>
          </cell>
          <cell r="BY358">
            <v>34113</v>
          </cell>
          <cell r="CD358">
            <v>28968</v>
          </cell>
          <cell r="CI358">
            <v>41253</v>
          </cell>
          <cell r="CN358">
            <v>52382</v>
          </cell>
          <cell r="CS358">
            <v>49559</v>
          </cell>
          <cell r="CX358">
            <v>60192</v>
          </cell>
          <cell r="DC358">
            <v>84100</v>
          </cell>
          <cell r="DD358">
            <v>89800</v>
          </cell>
          <cell r="DE358">
            <v>93700</v>
          </cell>
          <cell r="DF358">
            <v>98800</v>
          </cell>
          <cell r="DG358">
            <v>103200</v>
          </cell>
        </row>
        <row r="359">
          <cell r="B359" t="str">
            <v>Pre-tax profit (reported)</v>
          </cell>
          <cell r="C359" t="str">
            <v>PTP_REP</v>
          </cell>
          <cell r="D359" t="str">
            <v>JPY</v>
          </cell>
          <cell r="F359">
            <v>20711</v>
          </cell>
          <cell r="G359">
            <v>22394</v>
          </cell>
          <cell r="H359">
            <v>21667</v>
          </cell>
          <cell r="I359">
            <v>16387</v>
          </cell>
          <cell r="J359">
            <v>19067</v>
          </cell>
          <cell r="K359">
            <v>27652</v>
          </cell>
          <cell r="L359">
            <v>24896</v>
          </cell>
          <cell r="M359">
            <v>20074</v>
          </cell>
          <cell r="N359">
            <v>25520</v>
          </cell>
          <cell r="O359">
            <v>24705</v>
          </cell>
          <cell r="P359">
            <v>27072</v>
          </cell>
          <cell r="Q359">
            <v>29811</v>
          </cell>
          <cell r="V359">
            <v>33578</v>
          </cell>
          <cell r="AA359">
            <v>27688</v>
          </cell>
          <cell r="AF359">
            <v>23372</v>
          </cell>
          <cell r="AK359">
            <v>31154</v>
          </cell>
          <cell r="AP359">
            <v>34683</v>
          </cell>
          <cell r="AU359">
            <v>31620</v>
          </cell>
          <cell r="AZ359">
            <v>29392</v>
          </cell>
          <cell r="BE359">
            <v>31725</v>
          </cell>
          <cell r="BJ359">
            <v>29014</v>
          </cell>
          <cell r="BO359">
            <v>36978</v>
          </cell>
          <cell r="BT359">
            <v>35517</v>
          </cell>
          <cell r="BY359">
            <v>37525</v>
          </cell>
          <cell r="CD359">
            <v>31166</v>
          </cell>
          <cell r="CI359">
            <v>42650</v>
          </cell>
          <cell r="CN359">
            <v>56233</v>
          </cell>
          <cell r="CS359">
            <v>49182</v>
          </cell>
          <cell r="CX359">
            <v>57950</v>
          </cell>
          <cell r="DC359">
            <v>81600</v>
          </cell>
          <cell r="DD359">
            <v>86600</v>
          </cell>
          <cell r="DE359">
            <v>89900</v>
          </cell>
          <cell r="DF359">
            <v>94400</v>
          </cell>
          <cell r="DG359">
            <v>98600</v>
          </cell>
        </row>
        <row r="360">
          <cell r="B360" t="str">
            <v>Revenue (Company Estimate) (Pub)</v>
          </cell>
          <cell r="C360" t="str">
            <v>REVS_COEST_PUB</v>
          </cell>
          <cell r="D360" t="str">
            <v>JPY</v>
          </cell>
          <cell r="BJ360">
            <v>440000</v>
          </cell>
          <cell r="BO360">
            <v>468000</v>
          </cell>
          <cell r="CD360">
            <v>735700</v>
          </cell>
          <cell r="CN360">
            <v>500000</v>
          </cell>
          <cell r="CS360">
            <v>540000</v>
          </cell>
          <cell r="CX360">
            <v>600000</v>
          </cell>
          <cell r="DC360">
            <v>720000</v>
          </cell>
        </row>
        <row r="361">
          <cell r="B361" t="str">
            <v>EBITDA (Co Est)</v>
          </cell>
          <cell r="C361" t="str">
            <v>EBITDA_COEST_PUB</v>
          </cell>
          <cell r="D361" t="str">
            <v>JPY</v>
          </cell>
        </row>
        <row r="362">
          <cell r="B362" t="str">
            <v>Operating profit (Co Est)</v>
          </cell>
          <cell r="C362" t="str">
            <v>EBIT_COEST_PUB</v>
          </cell>
          <cell r="D362" t="str">
            <v>JPY</v>
          </cell>
          <cell r="BJ362">
            <v>26000</v>
          </cell>
          <cell r="BO362">
            <v>26000</v>
          </cell>
          <cell r="CD362">
            <v>84300</v>
          </cell>
          <cell r="CN362">
            <v>53000</v>
          </cell>
          <cell r="CS362">
            <v>47000</v>
          </cell>
          <cell r="CX362">
            <v>57000</v>
          </cell>
          <cell r="DC362">
            <v>80000</v>
          </cell>
        </row>
        <row r="363">
          <cell r="B363" t="str">
            <v>Pre-tax profit (Co Est)</v>
          </cell>
          <cell r="C363" t="str">
            <v>PTP_COEST_PUB</v>
          </cell>
          <cell r="D363" t="str">
            <v>JPY</v>
          </cell>
        </row>
        <row r="364">
          <cell r="B364" t="str">
            <v>Recurring profit (Company Estimate)</v>
          </cell>
          <cell r="C364" t="str">
            <v>REC_PFT_COEST_PUB</v>
          </cell>
          <cell r="D364" t="str">
            <v>JPY</v>
          </cell>
          <cell r="BJ364">
            <v>31000</v>
          </cell>
          <cell r="BO364">
            <v>31500</v>
          </cell>
          <cell r="BY364">
            <v>98900</v>
          </cell>
        </row>
        <row r="365">
          <cell r="B365" t="str">
            <v>Net income (Company Estimate) (Pub)</v>
          </cell>
          <cell r="C365" t="str">
            <v>NI_COEST_PUB</v>
          </cell>
          <cell r="D365" t="str">
            <v>JPY</v>
          </cell>
          <cell r="BJ365">
            <v>20000</v>
          </cell>
          <cell r="BO365">
            <v>25000</v>
          </cell>
          <cell r="CD365">
            <v>59400</v>
          </cell>
          <cell r="CN365">
            <v>37500</v>
          </cell>
          <cell r="CS365">
            <v>32000</v>
          </cell>
          <cell r="CX365">
            <v>32500</v>
          </cell>
          <cell r="DC365">
            <v>54500</v>
          </cell>
        </row>
        <row r="366">
          <cell r="B366" t="str">
            <v>EPS (Co Est)</v>
          </cell>
          <cell r="C366" t="str">
            <v>EPS_COEST_PUB</v>
          </cell>
          <cell r="D366" t="str">
            <v>JPY</v>
          </cell>
          <cell r="BJ366">
            <v>181.45</v>
          </cell>
          <cell r="BO366">
            <v>226.79</v>
          </cell>
          <cell r="DC366">
            <v>66.666666666666671</v>
          </cell>
        </row>
        <row r="367">
          <cell r="B367" t="str">
            <v>Sales, revenue (consensus) (Pub)</v>
          </cell>
          <cell r="C367" t="str">
            <v>REVS_CONS_PUB</v>
          </cell>
          <cell r="D367" t="str">
            <v>JPY</v>
          </cell>
        </row>
        <row r="368">
          <cell r="B368" t="str">
            <v>Recurring profit (consensus) (Pub)</v>
          </cell>
          <cell r="C368" t="str">
            <v>REC_PFT_CONS_PUB</v>
          </cell>
          <cell r="D368" t="str">
            <v>JPY</v>
          </cell>
        </row>
        <row r="369">
          <cell r="B369" t="str">
            <v>EPS (consensus)</v>
          </cell>
          <cell r="C369" t="str">
            <v>EPS_CONS_PUB</v>
          </cell>
          <cell r="D369" t="str">
            <v>JPY</v>
          </cell>
        </row>
        <row r="370">
          <cell r="B370" t="str">
            <v>Dividend per share (Consensus)</v>
          </cell>
          <cell r="C370" t="str">
            <v>DPS_CONS_PUB</v>
          </cell>
          <cell r="D370" t="str">
            <v>JPY</v>
          </cell>
        </row>
        <row r="371">
          <cell r="B371" t="str">
            <v>OP Impact of Yen 10 appr vs USD</v>
          </cell>
          <cell r="C371" t="str">
            <v>OP_IMPACT_YEN_APPR_USD_PUB</v>
          </cell>
          <cell r="D371" t="str">
            <v>JPY</v>
          </cell>
        </row>
        <row r="372">
          <cell r="B372" t="str">
            <v>OP Impact of Yen 10 appr vs EUR</v>
          </cell>
          <cell r="C372" t="str">
            <v>OP_IMPACT_YEN_APPR_EUR_PUB</v>
          </cell>
          <cell r="D372" t="str">
            <v>JPY</v>
          </cell>
        </row>
        <row r="373">
          <cell r="B373" t="str">
            <v>NI Impact of Yen 10 appr vs USD</v>
          </cell>
          <cell r="C373" t="str">
            <v>NI_IMPACT_YEN_APPR_USD_PUB</v>
          </cell>
          <cell r="D373" t="str">
            <v>JPY</v>
          </cell>
        </row>
        <row r="374">
          <cell r="B374" t="str">
            <v>NI Impact of Yen 10 appr vs EUR</v>
          </cell>
          <cell r="C374" t="str">
            <v>NI_IMPACT_YEN_APPR_EUR_PUB</v>
          </cell>
          <cell r="D374" t="str">
            <v>JPY</v>
          </cell>
        </row>
        <row r="375">
          <cell r="A375" t="str">
            <v>Income Statement</v>
          </cell>
        </row>
        <row r="376">
          <cell r="B376" t="str">
            <v>Provision for income tax</v>
          </cell>
          <cell r="C376" t="str">
            <v>PROV_INC_TAX</v>
          </cell>
          <cell r="D376" t="str">
            <v>JPY</v>
          </cell>
          <cell r="F376">
            <v>-13710</v>
          </cell>
          <cell r="G376">
            <v>-14559</v>
          </cell>
          <cell r="H376">
            <v>-13333</v>
          </cell>
          <cell r="I376">
            <v>-6738</v>
          </cell>
          <cell r="J376">
            <v>-1926</v>
          </cell>
          <cell r="K376">
            <v>-12172</v>
          </cell>
          <cell r="L376">
            <v>-9577</v>
          </cell>
          <cell r="M376">
            <v>-8663</v>
          </cell>
          <cell r="N376">
            <v>-11294</v>
          </cell>
          <cell r="O376">
            <v>-10872</v>
          </cell>
          <cell r="P376">
            <v>-10245</v>
          </cell>
          <cell r="Q376">
            <v>-14468</v>
          </cell>
          <cell r="V376">
            <v>-14548</v>
          </cell>
          <cell r="AA376">
            <v>-14279</v>
          </cell>
          <cell r="AF376">
            <v>-7386</v>
          </cell>
          <cell r="AK376">
            <v>-10270</v>
          </cell>
          <cell r="AP376">
            <v>-13598</v>
          </cell>
          <cell r="AU376">
            <v>-12889</v>
          </cell>
          <cell r="AZ376">
            <v>-10194</v>
          </cell>
          <cell r="BE376">
            <v>-12437</v>
          </cell>
          <cell r="BJ376">
            <v>-10295</v>
          </cell>
          <cell r="BO376">
            <v>-10092</v>
          </cell>
          <cell r="BT376">
            <v>-11789</v>
          </cell>
          <cell r="BY376">
            <v>-8407</v>
          </cell>
          <cell r="CD376">
            <v>-11243</v>
          </cell>
          <cell r="CI376">
            <v>-11529</v>
          </cell>
          <cell r="CN376">
            <v>-12894</v>
          </cell>
          <cell r="CS376">
            <v>-10928</v>
          </cell>
          <cell r="CX376">
            <v>-9570</v>
          </cell>
          <cell r="DC376">
            <v>-18800</v>
          </cell>
          <cell r="DD376">
            <v>-19900</v>
          </cell>
          <cell r="DE376">
            <v>-20700</v>
          </cell>
          <cell r="DF376">
            <v>-21700</v>
          </cell>
          <cell r="DG376">
            <v>-22700</v>
          </cell>
        </row>
        <row r="377">
          <cell r="B377" t="str">
            <v>Minority interest</v>
          </cell>
          <cell r="C377" t="str">
            <v>INC_MINORITY</v>
          </cell>
          <cell r="D377" t="str">
            <v>JPY</v>
          </cell>
          <cell r="F377">
            <v>-84</v>
          </cell>
          <cell r="G377">
            <v>-219</v>
          </cell>
          <cell r="H377">
            <v>105</v>
          </cell>
          <cell r="I377">
            <v>34</v>
          </cell>
          <cell r="J377">
            <v>-271</v>
          </cell>
          <cell r="K377">
            <v>39</v>
          </cell>
          <cell r="L377">
            <v>-116</v>
          </cell>
          <cell r="M377">
            <v>525</v>
          </cell>
          <cell r="N377">
            <v>196</v>
          </cell>
          <cell r="O377">
            <v>217</v>
          </cell>
          <cell r="P377">
            <v>-216</v>
          </cell>
          <cell r="Q377">
            <v>45</v>
          </cell>
          <cell r="V377">
            <v>-62</v>
          </cell>
          <cell r="AA377">
            <v>181</v>
          </cell>
          <cell r="AF377">
            <v>-96</v>
          </cell>
          <cell r="AK377">
            <v>-388</v>
          </cell>
          <cell r="AP377">
            <v>-329</v>
          </cell>
          <cell r="AU377">
            <v>-193</v>
          </cell>
          <cell r="AZ377">
            <v>-343</v>
          </cell>
          <cell r="BE377">
            <v>-20</v>
          </cell>
          <cell r="BJ377">
            <v>-214</v>
          </cell>
          <cell r="BO377">
            <v>-2</v>
          </cell>
          <cell r="BT377">
            <v>-170</v>
          </cell>
          <cell r="BY377">
            <v>-14</v>
          </cell>
          <cell r="CD377">
            <v>-567</v>
          </cell>
          <cell r="CI377">
            <v>-1805</v>
          </cell>
          <cell r="CN377">
            <v>-2511</v>
          </cell>
          <cell r="CS377">
            <v>-2842</v>
          </cell>
          <cell r="CX377">
            <v>-3620</v>
          </cell>
          <cell r="DC377">
            <v>-3600</v>
          </cell>
          <cell r="DD377">
            <v>-3600</v>
          </cell>
          <cell r="DE377">
            <v>-3600</v>
          </cell>
          <cell r="DF377">
            <v>-3600</v>
          </cell>
          <cell r="DG377">
            <v>-3600</v>
          </cell>
        </row>
        <row r="378">
          <cell r="B378" t="str">
            <v>Net income (pre-preferred dividends)</v>
          </cell>
          <cell r="C378" t="str">
            <v>NI_PRE_PREF</v>
          </cell>
          <cell r="D378" t="str">
            <v>JPY</v>
          </cell>
          <cell r="F378">
            <v>6917</v>
          </cell>
          <cell r="G378">
            <v>7616</v>
          </cell>
          <cell r="H378">
            <v>8439</v>
          </cell>
          <cell r="I378">
            <v>9683</v>
          </cell>
          <cell r="J378">
            <v>16870</v>
          </cell>
          <cell r="K378">
            <v>15519</v>
          </cell>
          <cell r="L378">
            <v>15203</v>
          </cell>
          <cell r="M378">
            <v>11936</v>
          </cell>
          <cell r="N378">
            <v>14422</v>
          </cell>
          <cell r="O378">
            <v>14050</v>
          </cell>
          <cell r="P378">
            <v>16611</v>
          </cell>
          <cell r="Q378">
            <v>15388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18968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13590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15890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20496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20756</v>
          </cell>
          <cell r="AU378">
            <v>18538</v>
          </cell>
          <cell r="AZ378">
            <v>18855</v>
          </cell>
          <cell r="BE378">
            <v>19268</v>
          </cell>
          <cell r="BJ378">
            <v>18505</v>
          </cell>
          <cell r="BO378">
            <v>26884</v>
          </cell>
          <cell r="BT378">
            <v>23558</v>
          </cell>
          <cell r="BY378">
            <v>29104</v>
          </cell>
          <cell r="CD378">
            <v>19356</v>
          </cell>
          <cell r="CI378">
            <v>29316</v>
          </cell>
          <cell r="CN378">
            <v>40828</v>
          </cell>
          <cell r="CS378">
            <v>35412</v>
          </cell>
          <cell r="CX378">
            <v>44760</v>
          </cell>
          <cell r="DC378">
            <v>59200</v>
          </cell>
          <cell r="DD378">
            <v>63100</v>
          </cell>
          <cell r="DE378">
            <v>65600</v>
          </cell>
          <cell r="DF378">
            <v>69100</v>
          </cell>
          <cell r="DG378">
            <v>72300</v>
          </cell>
        </row>
        <row r="379">
          <cell r="B379" t="str">
            <v>Preferred dividends</v>
          </cell>
          <cell r="C379" t="str">
            <v>PREF_DIV</v>
          </cell>
          <cell r="D379" t="str">
            <v>JPY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V379">
            <v>0</v>
          </cell>
          <cell r="AA379">
            <v>0</v>
          </cell>
          <cell r="AF379">
            <v>0</v>
          </cell>
          <cell r="AK379">
            <v>0</v>
          </cell>
          <cell r="AP379">
            <v>0</v>
          </cell>
          <cell r="AU379">
            <v>0</v>
          </cell>
          <cell r="AZ379">
            <v>0</v>
          </cell>
          <cell r="BE379">
            <v>0</v>
          </cell>
          <cell r="BJ379">
            <v>0</v>
          </cell>
          <cell r="BO379">
            <v>0</v>
          </cell>
          <cell r="BT379">
            <v>0</v>
          </cell>
          <cell r="BY379">
            <v>0</v>
          </cell>
          <cell r="CD379">
            <v>0</v>
          </cell>
          <cell r="CI379">
            <v>0</v>
          </cell>
          <cell r="CN379">
            <v>0</v>
          </cell>
          <cell r="CS379">
            <v>0</v>
          </cell>
          <cell r="CX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</row>
        <row r="380">
          <cell r="B380" t="str">
            <v>Net income (pre-exceptionals)</v>
          </cell>
          <cell r="C380" t="str">
            <v>NET_EARNING</v>
          </cell>
          <cell r="D380" t="str">
            <v>JPY</v>
          </cell>
          <cell r="F380">
            <v>6917</v>
          </cell>
          <cell r="G380">
            <v>7616</v>
          </cell>
          <cell r="H380">
            <v>8439</v>
          </cell>
          <cell r="I380">
            <v>9683</v>
          </cell>
          <cell r="J380">
            <v>16870</v>
          </cell>
          <cell r="K380">
            <v>15519</v>
          </cell>
          <cell r="L380">
            <v>15203</v>
          </cell>
          <cell r="M380">
            <v>11936</v>
          </cell>
          <cell r="N380">
            <v>14422</v>
          </cell>
          <cell r="O380">
            <v>14050</v>
          </cell>
          <cell r="P380">
            <v>16611</v>
          </cell>
          <cell r="Q380">
            <v>15388</v>
          </cell>
          <cell r="V380">
            <v>18968</v>
          </cell>
          <cell r="AA380">
            <v>13590</v>
          </cell>
          <cell r="AF380">
            <v>15890</v>
          </cell>
          <cell r="AK380">
            <v>20496</v>
          </cell>
          <cell r="AP380">
            <v>20756</v>
          </cell>
          <cell r="AQ380">
            <v>9440</v>
          </cell>
          <cell r="AR380">
            <v>1179</v>
          </cell>
          <cell r="AS380">
            <v>5687</v>
          </cell>
          <cell r="AT380">
            <v>2232</v>
          </cell>
          <cell r="AU380">
            <v>18538</v>
          </cell>
          <cell r="AV380">
            <v>2803</v>
          </cell>
          <cell r="AW380">
            <v>3400</v>
          </cell>
          <cell r="AX380">
            <v>8075</v>
          </cell>
          <cell r="AY380">
            <v>4577</v>
          </cell>
          <cell r="AZ380">
            <v>18855</v>
          </cell>
          <cell r="BA380">
            <v>5255</v>
          </cell>
          <cell r="BB380">
            <v>3289</v>
          </cell>
          <cell r="BC380">
            <v>10080</v>
          </cell>
          <cell r="BD380">
            <v>644</v>
          </cell>
          <cell r="BE380">
            <v>19268</v>
          </cell>
          <cell r="BF380">
            <v>4037</v>
          </cell>
          <cell r="BG380">
            <v>4081</v>
          </cell>
          <cell r="BH380">
            <v>10907</v>
          </cell>
          <cell r="BI380">
            <v>-520</v>
          </cell>
          <cell r="BJ380">
            <v>18505</v>
          </cell>
          <cell r="BK380">
            <v>5439</v>
          </cell>
          <cell r="BL380">
            <v>5378</v>
          </cell>
          <cell r="BM380">
            <v>12204</v>
          </cell>
          <cell r="BN380">
            <v>3863</v>
          </cell>
          <cell r="BO380">
            <v>26884</v>
          </cell>
          <cell r="BP380">
            <v>2998</v>
          </cell>
          <cell r="BQ380">
            <v>9217</v>
          </cell>
          <cell r="BR380">
            <v>7678</v>
          </cell>
          <cell r="BS380">
            <v>3665</v>
          </cell>
          <cell r="BT380">
            <v>23558</v>
          </cell>
          <cell r="BU380">
            <v>5757</v>
          </cell>
          <cell r="BV380">
            <v>8355</v>
          </cell>
          <cell r="BW380">
            <v>13795.235000000001</v>
          </cell>
          <cell r="BX380">
            <v>1196.7649999999994</v>
          </cell>
          <cell r="BY380">
            <v>29104</v>
          </cell>
          <cell r="BZ380">
            <v>8271</v>
          </cell>
          <cell r="CA380">
            <v>6879</v>
          </cell>
          <cell r="CB380">
            <v>9558</v>
          </cell>
          <cell r="CC380">
            <v>-5352</v>
          </cell>
          <cell r="CD380">
            <v>19356</v>
          </cell>
          <cell r="CE380">
            <v>5800</v>
          </cell>
          <cell r="CF380">
            <v>7669</v>
          </cell>
          <cell r="CG380">
            <v>12179</v>
          </cell>
          <cell r="CH380">
            <v>3668</v>
          </cell>
          <cell r="CI380">
            <v>29316</v>
          </cell>
          <cell r="CJ380">
            <v>12095</v>
          </cell>
          <cell r="CK380">
            <v>9878</v>
          </cell>
          <cell r="CL380">
            <v>14308</v>
          </cell>
          <cell r="CM380">
            <v>4547</v>
          </cell>
          <cell r="CN380">
            <v>40828</v>
          </cell>
          <cell r="CS380">
            <v>35412</v>
          </cell>
          <cell r="CX380">
            <v>44760</v>
          </cell>
          <cell r="DC380">
            <v>59200</v>
          </cell>
          <cell r="DD380">
            <v>63100</v>
          </cell>
          <cell r="DE380">
            <v>65600</v>
          </cell>
          <cell r="DF380">
            <v>69100</v>
          </cell>
          <cell r="DG380">
            <v>72300</v>
          </cell>
        </row>
        <row r="381">
          <cell r="B381" t="str">
            <v>Post-tax exceptionals</v>
          </cell>
          <cell r="C381" t="str">
            <v>TAX_EXC</v>
          </cell>
          <cell r="D381" t="str">
            <v>JPY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V381">
            <v>0</v>
          </cell>
          <cell r="AA381">
            <v>0</v>
          </cell>
          <cell r="AF381">
            <v>0</v>
          </cell>
          <cell r="AK381">
            <v>0</v>
          </cell>
          <cell r="AP381">
            <v>0</v>
          </cell>
          <cell r="AU381">
            <v>0</v>
          </cell>
          <cell r="AZ381">
            <v>0</v>
          </cell>
          <cell r="BE381">
            <v>0</v>
          </cell>
          <cell r="BJ381">
            <v>0</v>
          </cell>
          <cell r="BO381">
            <v>0</v>
          </cell>
          <cell r="BT381">
            <v>0</v>
          </cell>
          <cell r="BY381">
            <v>0</v>
          </cell>
          <cell r="CD381">
            <v>0</v>
          </cell>
          <cell r="CI381">
            <v>0</v>
          </cell>
          <cell r="CN381">
            <v>0</v>
          </cell>
          <cell r="CS381">
            <v>0</v>
          </cell>
          <cell r="CX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</row>
        <row r="382">
          <cell r="B382" t="str">
            <v>Net income (post-exceptionals)</v>
          </cell>
          <cell r="C382" t="str">
            <v>NET_INC</v>
          </cell>
          <cell r="D382" t="str">
            <v>JPY</v>
          </cell>
          <cell r="F382">
            <v>6917</v>
          </cell>
          <cell r="G382">
            <v>7616</v>
          </cell>
          <cell r="H382">
            <v>8439</v>
          </cell>
          <cell r="I382">
            <v>9683</v>
          </cell>
          <cell r="J382">
            <v>16870</v>
          </cell>
          <cell r="K382">
            <v>15519</v>
          </cell>
          <cell r="L382">
            <v>15203</v>
          </cell>
          <cell r="M382">
            <v>11936</v>
          </cell>
          <cell r="N382">
            <v>14422</v>
          </cell>
          <cell r="O382">
            <v>14050</v>
          </cell>
          <cell r="P382">
            <v>16611</v>
          </cell>
          <cell r="Q382">
            <v>15388</v>
          </cell>
          <cell r="V382">
            <v>18968</v>
          </cell>
          <cell r="AA382">
            <v>13590</v>
          </cell>
          <cell r="AF382">
            <v>15890</v>
          </cell>
          <cell r="AK382">
            <v>20496</v>
          </cell>
          <cell r="AP382">
            <v>20756</v>
          </cell>
          <cell r="AU382">
            <v>18538</v>
          </cell>
          <cell r="AZ382">
            <v>18855</v>
          </cell>
          <cell r="BE382">
            <v>19268</v>
          </cell>
          <cell r="BJ382">
            <v>18505</v>
          </cell>
          <cell r="BO382">
            <v>26884</v>
          </cell>
          <cell r="BT382">
            <v>23558</v>
          </cell>
          <cell r="BY382">
            <v>29104</v>
          </cell>
          <cell r="CD382">
            <v>19356</v>
          </cell>
          <cell r="CI382">
            <v>29316</v>
          </cell>
          <cell r="CN382">
            <v>40828</v>
          </cell>
          <cell r="CS382">
            <v>35412</v>
          </cell>
          <cell r="CX382">
            <v>44760</v>
          </cell>
          <cell r="DC382">
            <v>59200</v>
          </cell>
          <cell r="DD382">
            <v>63100</v>
          </cell>
          <cell r="DE382">
            <v>65600</v>
          </cell>
          <cell r="DF382">
            <v>69100</v>
          </cell>
          <cell r="DG382">
            <v>72300</v>
          </cell>
        </row>
        <row r="383">
          <cell r="B383" t="str">
            <v>EPS (pre-exceptionals, basic)</v>
          </cell>
          <cell r="C383" t="str">
            <v>EPS</v>
          </cell>
          <cell r="D383" t="str">
            <v>JPY</v>
          </cell>
          <cell r="F383">
            <v>17.337794989409833</v>
          </cell>
          <cell r="G383">
            <v>19.064497879775512</v>
          </cell>
          <cell r="H383">
            <v>21.124645169042221</v>
          </cell>
          <cell r="I383">
            <v>24.723984026309608</v>
          </cell>
          <cell r="J383">
            <v>43.351115770863522</v>
          </cell>
          <cell r="K383">
            <v>40.58400803364087</v>
          </cell>
          <cell r="L383">
            <v>39.757942827853313</v>
          </cell>
          <cell r="M383">
            <v>31.650319128343426</v>
          </cell>
          <cell r="N383">
            <v>38.939018397619698</v>
          </cell>
          <cell r="O383">
            <v>37.934935510609634</v>
          </cell>
          <cell r="P383">
            <v>44.849987039917053</v>
          </cell>
          <cell r="Q383">
            <v>42.250757371870982</v>
          </cell>
          <cell r="V383">
            <v>51.712182793209557</v>
          </cell>
          <cell r="AA383">
            <v>37.051935968561892</v>
          </cell>
          <cell r="AF383">
            <v>43.323838596469471</v>
          </cell>
          <cell r="AK383">
            <v>61.744193391055909</v>
          </cell>
          <cell r="AP383">
            <v>62.518774872135687</v>
          </cell>
          <cell r="AU383">
            <v>55.988838837299255</v>
          </cell>
          <cell r="AZ383">
            <v>57.038191057502488</v>
          </cell>
          <cell r="BE383">
            <v>58.27326586905361</v>
          </cell>
          <cell r="BJ383">
            <v>55.958971202857214</v>
          </cell>
          <cell r="BO383">
            <v>81.838521565007511</v>
          </cell>
          <cell r="BT383">
            <v>73.776211952474142</v>
          </cell>
          <cell r="BY383">
            <v>93.172724736163971</v>
          </cell>
          <cell r="CD383">
            <v>61.948660402945315</v>
          </cell>
          <cell r="CI383">
            <v>93.825528434219095</v>
          </cell>
          <cell r="CN383">
            <v>130.64329484104707</v>
          </cell>
          <cell r="CS383">
            <v>114.49477685963176</v>
          </cell>
          <cell r="CX383">
            <v>146.93938458870582</v>
          </cell>
          <cell r="DC383">
            <v>195.10966568394889</v>
          </cell>
          <cell r="DD383">
            <v>208.81632804565959</v>
          </cell>
          <cell r="DE383">
            <v>217.98382112353264</v>
          </cell>
          <cell r="DF383">
            <v>230.56382335721219</v>
          </cell>
          <cell r="DG383">
            <v>242.24317046928456</v>
          </cell>
        </row>
        <row r="384">
          <cell r="B384" t="str">
            <v>EPS (pre-exceptionals, diluted)</v>
          </cell>
          <cell r="C384" t="str">
            <v>EPS_FUL_DIL</v>
          </cell>
          <cell r="D384" t="str">
            <v>JPY</v>
          </cell>
          <cell r="F384">
            <v>17.337794989409833</v>
          </cell>
          <cell r="G384">
            <v>19.064497879775512</v>
          </cell>
          <cell r="H384">
            <v>21.124645169042221</v>
          </cell>
          <cell r="I384">
            <v>24.723984026309608</v>
          </cell>
          <cell r="J384">
            <v>43.351115770863522</v>
          </cell>
          <cell r="K384">
            <v>40.58400803364087</v>
          </cell>
          <cell r="L384">
            <v>39.757942827853313</v>
          </cell>
          <cell r="M384">
            <v>31.214287021854709</v>
          </cell>
          <cell r="N384">
            <v>36.566632459548018</v>
          </cell>
          <cell r="O384">
            <v>35.623177761946557</v>
          </cell>
          <cell r="P384">
            <v>42.115944609827686</v>
          </cell>
          <cell r="Q384">
            <v>38.414719202295146</v>
          </cell>
          <cell r="V384">
            <v>47.660367437512306</v>
          </cell>
          <cell r="AA384">
            <v>34.145758156132679</v>
          </cell>
          <cell r="AF384">
            <v>39.92367628246123</v>
          </cell>
          <cell r="AK384">
            <v>54.973841600294321</v>
          </cell>
          <cell r="AP384">
            <v>58.900473509465215</v>
          </cell>
          <cell r="AQ384">
            <v>26.788421176014243</v>
          </cell>
          <cell r="AR384">
            <v>3.3457148905212706</v>
          </cell>
          <cell r="AS384">
            <v>16.138321104660275</v>
          </cell>
          <cell r="AT384">
            <v>6.3338724644982829</v>
          </cell>
          <cell r="AU384">
            <v>52.606329635694074</v>
          </cell>
          <cell r="AV384">
            <v>8.4793449766204976</v>
          </cell>
          <cell r="AW384">
            <v>10.2853274778843</v>
          </cell>
          <cell r="AX384">
            <v>24.42765275997521</v>
          </cell>
          <cell r="AY384">
            <v>13.845865843022482</v>
          </cell>
          <cell r="AZ384">
            <v>57.038191057502488</v>
          </cell>
          <cell r="BA384">
            <v>15.892983814712306</v>
          </cell>
          <cell r="BB384">
            <v>9.9471025245649436</v>
          </cell>
          <cell r="BC384">
            <v>30.485495119372036</v>
          </cell>
          <cell r="BD384">
            <v>1.9476844104043245</v>
          </cell>
          <cell r="BE384">
            <v>58.27326586905361</v>
          </cell>
          <cell r="BF384">
            <v>12.207855538823807</v>
          </cell>
          <cell r="BG384">
            <v>12.340911185023522</v>
          </cell>
          <cell r="BH384">
            <v>32.982680297733779</v>
          </cell>
          <cell r="BI384">
            <v>-1.572475818723899</v>
          </cell>
          <cell r="BJ384">
            <v>55.958971202857214</v>
          </cell>
          <cell r="BK384">
            <v>16.557049501267514</v>
          </cell>
          <cell r="BL384">
            <v>16.371357274832999</v>
          </cell>
          <cell r="BM384">
            <v>37.150621826341009</v>
          </cell>
          <cell r="BN384">
            <v>11.759492962565988</v>
          </cell>
          <cell r="BO384">
            <v>81.838521565007511</v>
          </cell>
          <cell r="BP384">
            <v>9.3887886676932446</v>
          </cell>
          <cell r="BQ384">
            <v>28.864731537734702</v>
          </cell>
          <cell r="BR384">
            <v>24.045069843411852</v>
          </cell>
          <cell r="BS384">
            <v>11.477621903634336</v>
          </cell>
          <cell r="BT384">
            <v>73.776211952474142</v>
          </cell>
          <cell r="BU384">
            <v>18.430297426680045</v>
          </cell>
          <cell r="BV384">
            <v>26.74746135138297</v>
          </cell>
          <cell r="BW384">
            <v>44.163676241262202</v>
          </cell>
          <cell r="BX384">
            <v>3.8312897168387585</v>
          </cell>
          <cell r="BY384">
            <v>93.172724736163971</v>
          </cell>
          <cell r="BZ384">
            <v>26.47666666666667</v>
          </cell>
          <cell r="CA384">
            <v>22.013333333333332</v>
          </cell>
          <cell r="CB384">
            <v>30.590271550493455</v>
          </cell>
          <cell r="CC384">
            <v>-17.129015833672419</v>
          </cell>
          <cell r="CD384">
            <v>61.948660402945315</v>
          </cell>
          <cell r="CE384">
            <v>26.47666666666667</v>
          </cell>
          <cell r="CF384">
            <v>22.013333333333332</v>
          </cell>
          <cell r="CG384">
            <v>38.978752585630865</v>
          </cell>
          <cell r="CH384">
            <v>11.739392764930948</v>
          </cell>
          <cell r="CI384">
            <v>93.825528434219095</v>
          </cell>
          <cell r="CJ384">
            <v>38.7021321422177</v>
          </cell>
          <cell r="CK384">
            <v>31.60807451846436</v>
          </cell>
          <cell r="CL384">
            <v>45.783390383699945</v>
          </cell>
          <cell r="CM384">
            <v>14.549697796665058</v>
          </cell>
          <cell r="CN384">
            <v>130.64329484104707</v>
          </cell>
          <cell r="CS384">
            <v>114.49477685963176</v>
          </cell>
          <cell r="CX384">
            <v>146.93938458870582</v>
          </cell>
          <cell r="DC384">
            <v>195.10966568394889</v>
          </cell>
          <cell r="DD384">
            <v>208.81632804565959</v>
          </cell>
          <cell r="DE384">
            <v>217.98382112353264</v>
          </cell>
          <cell r="DF384">
            <v>230.56382335721219</v>
          </cell>
          <cell r="DG384">
            <v>242.24317046928456</v>
          </cell>
        </row>
        <row r="385">
          <cell r="B385" t="str">
            <v>EPS (post-exceptionals, basic)</v>
          </cell>
          <cell r="C385" t="str">
            <v>EPS_POST_BASIC</v>
          </cell>
          <cell r="D385" t="str">
            <v>JPY</v>
          </cell>
          <cell r="F385">
            <v>17.337794989409833</v>
          </cell>
          <cell r="G385">
            <v>19.064497879775512</v>
          </cell>
          <cell r="H385">
            <v>21.124645169042221</v>
          </cell>
          <cell r="I385">
            <v>24.723984026309608</v>
          </cell>
          <cell r="J385">
            <v>43.351115770863522</v>
          </cell>
          <cell r="K385">
            <v>40.58400803364087</v>
          </cell>
          <cell r="L385">
            <v>39.757942827853313</v>
          </cell>
          <cell r="M385">
            <v>31.650319128343426</v>
          </cell>
          <cell r="N385">
            <v>38.939018397619698</v>
          </cell>
          <cell r="O385">
            <v>37.934935510609634</v>
          </cell>
          <cell r="P385">
            <v>44.849987039917053</v>
          </cell>
          <cell r="Q385">
            <v>42.250757371870982</v>
          </cell>
          <cell r="V385">
            <v>51.712182793209557</v>
          </cell>
          <cell r="AA385">
            <v>37.051935968561892</v>
          </cell>
          <cell r="AF385">
            <v>43.323838596469471</v>
          </cell>
          <cell r="AK385">
            <v>61.744193391055909</v>
          </cell>
          <cell r="AP385">
            <v>62.518774872135687</v>
          </cell>
          <cell r="AU385">
            <v>55.988838837299255</v>
          </cell>
          <cell r="AZ385">
            <v>57.038191057502488</v>
          </cell>
          <cell r="BE385">
            <v>58.27326586905361</v>
          </cell>
          <cell r="BJ385">
            <v>55.958971202857214</v>
          </cell>
          <cell r="BO385">
            <v>81.838521565007511</v>
          </cell>
          <cell r="BT385">
            <v>73.776211952474142</v>
          </cell>
          <cell r="BY385">
            <v>93.172724736163971</v>
          </cell>
          <cell r="CD385">
            <v>61.948660402945315</v>
          </cell>
          <cell r="CI385">
            <v>93.825528434219095</v>
          </cell>
          <cell r="CN385">
            <v>130.64329484104707</v>
          </cell>
          <cell r="CS385">
            <v>114.49477685963176</v>
          </cell>
          <cell r="CX385">
            <v>146.93938458870582</v>
          </cell>
          <cell r="DC385">
            <v>195.10966568394889</v>
          </cell>
          <cell r="DD385">
            <v>208.81632804565959</v>
          </cell>
          <cell r="DE385">
            <v>217.98382112353264</v>
          </cell>
          <cell r="DF385">
            <v>230.56382335721219</v>
          </cell>
          <cell r="DG385">
            <v>242.24317046928456</v>
          </cell>
        </row>
        <row r="386">
          <cell r="B386" t="str">
            <v>EPS (post-exceptionals, diluted)</v>
          </cell>
          <cell r="C386" t="str">
            <v>FULLY_DIL_EPS</v>
          </cell>
          <cell r="D386" t="str">
            <v>JPY</v>
          </cell>
          <cell r="F386">
            <v>17.337794989409833</v>
          </cell>
          <cell r="G386">
            <v>19.064497879775512</v>
          </cell>
          <cell r="H386">
            <v>21.124645169042221</v>
          </cell>
          <cell r="I386">
            <v>24.723984026309608</v>
          </cell>
          <cell r="J386">
            <v>43.351115770863522</v>
          </cell>
          <cell r="K386">
            <v>40.58400803364087</v>
          </cell>
          <cell r="L386">
            <v>39.757942827853313</v>
          </cell>
          <cell r="M386">
            <v>31.214287021854709</v>
          </cell>
          <cell r="N386">
            <v>36.566632459548018</v>
          </cell>
          <cell r="O386">
            <v>35.623177761946557</v>
          </cell>
          <cell r="P386">
            <v>42.115944609827686</v>
          </cell>
          <cell r="Q386">
            <v>38.414719202295146</v>
          </cell>
          <cell r="V386">
            <v>47.660367437512306</v>
          </cell>
          <cell r="AA386">
            <v>34.145758156132679</v>
          </cell>
          <cell r="AF386">
            <v>39.92367628246123</v>
          </cell>
          <cell r="AK386">
            <v>54.973841600294321</v>
          </cell>
          <cell r="AP386">
            <v>58.900473509465215</v>
          </cell>
          <cell r="AU386">
            <v>52.606329635694074</v>
          </cell>
          <cell r="AZ386">
            <v>57.038191057502488</v>
          </cell>
          <cell r="BE386">
            <v>58.27326586905361</v>
          </cell>
          <cell r="BJ386">
            <v>55.958971202857214</v>
          </cell>
          <cell r="BO386">
            <v>81.838521565007511</v>
          </cell>
          <cell r="BT386">
            <v>73.776211952474142</v>
          </cell>
          <cell r="BY386">
            <v>93.172724736163971</v>
          </cell>
          <cell r="CD386">
            <v>61.948660402945315</v>
          </cell>
          <cell r="CI386">
            <v>93.825528434219095</v>
          </cell>
          <cell r="CN386">
            <v>130.64329484104707</v>
          </cell>
          <cell r="CS386">
            <v>114.49477685963176</v>
          </cell>
          <cell r="CX386">
            <v>146.93938458870582</v>
          </cell>
          <cell r="DC386">
            <v>195.10966568394889</v>
          </cell>
          <cell r="DD386">
            <v>208.81632804565959</v>
          </cell>
          <cell r="DE386">
            <v>217.98382112353264</v>
          </cell>
          <cell r="DF386">
            <v>230.56382335721219</v>
          </cell>
          <cell r="DG386">
            <v>242.24317046928456</v>
          </cell>
        </row>
        <row r="387">
          <cell r="B387" t="str">
            <v>Common dividends paid</v>
          </cell>
          <cell r="C387" t="str">
            <v>COMMON_DIV_PAID</v>
          </cell>
          <cell r="D387" t="str">
            <v>JPY</v>
          </cell>
          <cell r="F387">
            <v>-3187</v>
          </cell>
          <cell r="G387">
            <v>-3191</v>
          </cell>
          <cell r="H387">
            <v>-3195</v>
          </cell>
          <cell r="I387">
            <v>-3462</v>
          </cell>
          <cell r="J387">
            <v>-3133</v>
          </cell>
          <cell r="K387">
            <v>-3133</v>
          </cell>
          <cell r="L387">
            <v>-3466</v>
          </cell>
          <cell r="M387">
            <v>-3071</v>
          </cell>
          <cell r="N387">
            <v>-3783</v>
          </cell>
          <cell r="O387">
            <v>-3715</v>
          </cell>
          <cell r="P387">
            <v>-3715</v>
          </cell>
          <cell r="Q387">
            <v>-5565</v>
          </cell>
          <cell r="V387">
            <v>-6070</v>
          </cell>
          <cell r="AA387">
            <v>-4890</v>
          </cell>
          <cell r="AF387">
            <v>-6112</v>
          </cell>
          <cell r="AK387">
            <v>-5947</v>
          </cell>
          <cell r="AP387">
            <v>-7746</v>
          </cell>
          <cell r="AU387">
            <v>-8280</v>
          </cell>
          <cell r="AZ387">
            <v>-8263</v>
          </cell>
          <cell r="BE387">
            <v>-8266</v>
          </cell>
          <cell r="BJ387">
            <v>-8267</v>
          </cell>
          <cell r="BO387">
            <v>-8730</v>
          </cell>
          <cell r="BT387">
            <v>-9011</v>
          </cell>
          <cell r="BY387">
            <v>-9371</v>
          </cell>
          <cell r="CD387">
            <v>-11457</v>
          </cell>
          <cell r="CI387">
            <v>-11458</v>
          </cell>
          <cell r="CN387">
            <v>-12500</v>
          </cell>
          <cell r="CS387">
            <v>-13359</v>
          </cell>
          <cell r="CX387">
            <v>-14188</v>
          </cell>
          <cell r="DC387">
            <v>-21200</v>
          </cell>
          <cell r="DD387">
            <v>-22400</v>
          </cell>
          <cell r="DE387">
            <v>-24100</v>
          </cell>
          <cell r="DF387">
            <v>-25200</v>
          </cell>
          <cell r="DG387">
            <v>-26900</v>
          </cell>
        </row>
        <row r="388">
          <cell r="B388" t="str">
            <v>DPS, dividend per share</v>
          </cell>
          <cell r="C388" t="str">
            <v>DPS</v>
          </cell>
          <cell r="D388" t="str">
            <v>JPY</v>
          </cell>
          <cell r="F388">
            <v>8</v>
          </cell>
          <cell r="G388">
            <v>8</v>
          </cell>
          <cell r="H388">
            <v>8.6666666666666661</v>
          </cell>
          <cell r="I388">
            <v>8</v>
          </cell>
          <cell r="J388">
            <v>8</v>
          </cell>
          <cell r="K388">
            <v>9</v>
          </cell>
          <cell r="L388">
            <v>8</v>
          </cell>
          <cell r="M388">
            <v>10</v>
          </cell>
          <cell r="N388">
            <v>10</v>
          </cell>
          <cell r="O388">
            <v>10</v>
          </cell>
          <cell r="P388">
            <v>10</v>
          </cell>
          <cell r="Q388">
            <v>10</v>
          </cell>
          <cell r="V388">
            <v>16.666666666666668</v>
          </cell>
          <cell r="AA388">
            <v>16.666666666666668</v>
          </cell>
          <cell r="AF388">
            <v>16.666666666666668</v>
          </cell>
          <cell r="AK388">
            <v>20</v>
          </cell>
          <cell r="AP388">
            <v>23.333333333333332</v>
          </cell>
          <cell r="AU388">
            <v>25</v>
          </cell>
          <cell r="AZ388">
            <v>25</v>
          </cell>
          <cell r="BE388">
            <v>25</v>
          </cell>
          <cell r="BJ388">
            <v>25</v>
          </cell>
          <cell r="BO388">
            <v>26.666666666666668</v>
          </cell>
          <cell r="BT388">
            <v>28.333333333333332</v>
          </cell>
          <cell r="BY388">
            <v>30</v>
          </cell>
          <cell r="CD388">
            <v>36.666666666666664</v>
          </cell>
          <cell r="CI388">
            <v>36.666666666666664</v>
          </cell>
          <cell r="CN388">
            <v>40</v>
          </cell>
          <cell r="CS388">
            <v>43.333333333333336</v>
          </cell>
          <cell r="CX388">
            <v>46.666666666666664</v>
          </cell>
          <cell r="DC388">
            <v>70</v>
          </cell>
          <cell r="DD388">
            <v>74</v>
          </cell>
          <cell r="DE388">
            <v>80</v>
          </cell>
          <cell r="DF388">
            <v>84</v>
          </cell>
          <cell r="DG388">
            <v>90</v>
          </cell>
        </row>
        <row r="389">
          <cell r="B389" t="str">
            <v>Weighted average shares outstanding, basic</v>
          </cell>
          <cell r="C389" t="str">
            <v>SH</v>
          </cell>
          <cell r="F389">
            <v>398.95500000000004</v>
          </cell>
          <cell r="G389">
            <v>399.48599999999999</v>
          </cell>
          <cell r="H389">
            <v>399.48599999999999</v>
          </cell>
          <cell r="I389">
            <v>391.64400000000001</v>
          </cell>
          <cell r="J389">
            <v>389.14800000000002</v>
          </cell>
          <cell r="K389">
            <v>382.392</v>
          </cell>
          <cell r="L389">
            <v>382.38900000000001</v>
          </cell>
          <cell r="M389">
            <v>377.12099999999998</v>
          </cell>
          <cell r="N389">
            <v>370.37400000000002</v>
          </cell>
          <cell r="O389">
            <v>370.37099999999998</v>
          </cell>
          <cell r="P389">
            <v>370.36799999999999</v>
          </cell>
          <cell r="Q389">
            <v>364.20648900000003</v>
          </cell>
          <cell r="V389">
            <v>366.79944600000005</v>
          </cell>
          <cell r="AA389">
            <v>366.78245400000003</v>
          </cell>
          <cell r="AF389">
            <v>366.772671</v>
          </cell>
          <cell r="AK389">
            <v>331.95024299999994</v>
          </cell>
          <cell r="AP389">
            <v>331.99626899999998</v>
          </cell>
          <cell r="AU389">
            <v>331.10170499999998</v>
          </cell>
          <cell r="AZ389">
            <v>330.56798700000002</v>
          </cell>
          <cell r="BE389">
            <v>330.64904999999999</v>
          </cell>
          <cell r="BJ389">
            <v>330.68871000000001</v>
          </cell>
          <cell r="BO389">
            <v>328.50055800000001</v>
          </cell>
          <cell r="BT389">
            <v>319.31701800000002</v>
          </cell>
          <cell r="BY389">
            <v>312.36609300000003</v>
          </cell>
          <cell r="CD389">
            <v>312.45227699999998</v>
          </cell>
          <cell r="CI389">
            <v>312.45227699999998</v>
          </cell>
          <cell r="CN389">
            <v>312.51508200000001</v>
          </cell>
          <cell r="CS389">
            <v>309.28921800000001</v>
          </cell>
          <cell r="CX389">
            <v>304.61540400000001</v>
          </cell>
          <cell r="DC389">
            <v>303.41910428925621</v>
          </cell>
          <cell r="DD389">
            <v>302.17943486776863</v>
          </cell>
          <cell r="DE389">
            <v>300.93976544628106</v>
          </cell>
          <cell r="DF389">
            <v>299.70009602479342</v>
          </cell>
          <cell r="DG389">
            <v>298.46042660330579</v>
          </cell>
        </row>
        <row r="390">
          <cell r="B390" t="str">
            <v>Diluted average shares outstanding (mn)</v>
          </cell>
          <cell r="C390" t="str">
            <v>DILUTE_SHARES</v>
          </cell>
          <cell r="F390">
            <v>398.95500000000004</v>
          </cell>
          <cell r="G390">
            <v>399.48599999999999</v>
          </cell>
          <cell r="H390">
            <v>399.48599999999999</v>
          </cell>
          <cell r="I390">
            <v>391.64400000000001</v>
          </cell>
          <cell r="J390">
            <v>389.14800000000002</v>
          </cell>
          <cell r="K390">
            <v>382.392</v>
          </cell>
          <cell r="L390">
            <v>382.38900000000001</v>
          </cell>
          <cell r="M390">
            <v>382.38900000000001</v>
          </cell>
          <cell r="N390">
            <v>394.40328599999998</v>
          </cell>
          <cell r="O390">
            <v>394.40613899999994</v>
          </cell>
          <cell r="P390">
            <v>394.41119399999997</v>
          </cell>
          <cell r="Q390">
            <v>400.57562099999996</v>
          </cell>
          <cell r="V390">
            <v>397.982664</v>
          </cell>
          <cell r="AA390">
            <v>397.99965599999996</v>
          </cell>
          <cell r="AF390">
            <v>398.00943900000004</v>
          </cell>
          <cell r="AK390">
            <v>372.83186699999999</v>
          </cell>
          <cell r="AP390">
            <v>352.39105499999999</v>
          </cell>
          <cell r="AQ390">
            <v>352.39105499999999</v>
          </cell>
          <cell r="AR390">
            <v>352.39105499999999</v>
          </cell>
          <cell r="AS390">
            <v>352.39105499999999</v>
          </cell>
          <cell r="AT390">
            <v>352.39105499999999</v>
          </cell>
          <cell r="AU390">
            <v>352.39105499999999</v>
          </cell>
          <cell r="AV390">
            <v>330.56798700000002</v>
          </cell>
          <cell r="AW390">
            <v>330.56798700000002</v>
          </cell>
          <cell r="AX390">
            <v>330.56798700000002</v>
          </cell>
          <cell r="AY390">
            <v>330.56798700000002</v>
          </cell>
          <cell r="AZ390">
            <v>330.56798700000002</v>
          </cell>
          <cell r="BA390">
            <v>330.64904999999999</v>
          </cell>
          <cell r="BB390">
            <v>330.64904999999999</v>
          </cell>
          <cell r="BC390">
            <v>330.64904999999999</v>
          </cell>
          <cell r="BD390">
            <v>330.64904999999999</v>
          </cell>
          <cell r="BE390">
            <v>330.64904999999999</v>
          </cell>
          <cell r="BF390">
            <v>330.68871000000001</v>
          </cell>
          <cell r="BG390">
            <v>330.68871000000001</v>
          </cell>
          <cell r="BH390">
            <v>330.68871000000001</v>
          </cell>
          <cell r="BI390">
            <v>330.68871000000001</v>
          </cell>
          <cell r="BJ390">
            <v>330.68871000000001</v>
          </cell>
          <cell r="BK390">
            <v>328.50055800000001</v>
          </cell>
          <cell r="BL390">
            <v>328.50055800000001</v>
          </cell>
          <cell r="BM390">
            <v>328.50055800000001</v>
          </cell>
          <cell r="BN390">
            <v>328.50055800000001</v>
          </cell>
          <cell r="BO390">
            <v>328.50055800000001</v>
          </cell>
          <cell r="BP390">
            <v>319.31701800000002</v>
          </cell>
          <cell r="BQ390">
            <v>319.31701800000002</v>
          </cell>
          <cell r="BR390">
            <v>319.31701800000002</v>
          </cell>
          <cell r="BS390">
            <v>319.31701800000002</v>
          </cell>
          <cell r="BT390">
            <v>319.31701800000002</v>
          </cell>
          <cell r="BU390">
            <v>312.36609300000003</v>
          </cell>
          <cell r="BV390">
            <v>312.36609300000003</v>
          </cell>
          <cell r="BW390">
            <v>312.36609300000003</v>
          </cell>
          <cell r="BX390">
            <v>312.36609300000003</v>
          </cell>
          <cell r="BY390">
            <v>312.36609300000003</v>
          </cell>
          <cell r="BZ390">
            <v>312.45227699999998</v>
          </cell>
          <cell r="CA390">
            <v>312.45227699999998</v>
          </cell>
          <cell r="CB390">
            <v>312.45227699999998</v>
          </cell>
          <cell r="CC390">
            <v>312.45227699999998</v>
          </cell>
          <cell r="CD390">
            <v>312.45227699999998</v>
          </cell>
          <cell r="CE390">
            <v>312.45227699999998</v>
          </cell>
          <cell r="CF390">
            <v>312.45227699999998</v>
          </cell>
          <cell r="CG390">
            <v>312.45227699999998</v>
          </cell>
          <cell r="CH390">
            <v>312.45227699999998</v>
          </cell>
          <cell r="CI390">
            <v>312.45227699999998</v>
          </cell>
          <cell r="CJ390">
            <v>312.51508200000001</v>
          </cell>
          <cell r="CK390">
            <v>312.51508200000001</v>
          </cell>
          <cell r="CL390">
            <v>312.51508200000001</v>
          </cell>
          <cell r="CM390">
            <v>312.51508200000001</v>
          </cell>
          <cell r="CN390">
            <v>312.51508200000001</v>
          </cell>
          <cell r="CS390">
            <v>309.28921800000001</v>
          </cell>
          <cell r="CX390">
            <v>304.61540400000001</v>
          </cell>
          <cell r="DC390">
            <v>303.41910428925621</v>
          </cell>
          <cell r="DD390">
            <v>302.17943486776863</v>
          </cell>
          <cell r="DE390">
            <v>300.93976544628106</v>
          </cell>
          <cell r="DF390">
            <v>299.70009602479342</v>
          </cell>
          <cell r="DG390">
            <v>298.46042660330579</v>
          </cell>
        </row>
        <row r="391">
          <cell r="B391" t="str">
            <v>Period-end shares outstanding</v>
          </cell>
          <cell r="C391" t="str">
            <v>NON_OP_ADD</v>
          </cell>
          <cell r="F391">
            <v>398.95500000000004</v>
          </cell>
          <cell r="G391">
            <v>399.48599999999999</v>
          </cell>
          <cell r="H391">
            <v>399.48599999999999</v>
          </cell>
          <cell r="I391">
            <v>391.64400000000001</v>
          </cell>
          <cell r="J391">
            <v>389.14800000000002</v>
          </cell>
          <cell r="K391">
            <v>382.392</v>
          </cell>
          <cell r="L391">
            <v>382.38900000000001</v>
          </cell>
          <cell r="M391">
            <v>382.38900000000001</v>
          </cell>
          <cell r="N391">
            <v>382.38900000000001</v>
          </cell>
          <cell r="O391">
            <v>382.38900000000001</v>
          </cell>
          <cell r="P391">
            <v>382.38900000000001</v>
          </cell>
          <cell r="Q391">
            <v>382.39105499999999</v>
          </cell>
          <cell r="V391">
            <v>382.39105499999999</v>
          </cell>
          <cell r="AA391">
            <v>382.39105499999999</v>
          </cell>
          <cell r="AF391">
            <v>382.39105499999999</v>
          </cell>
          <cell r="AK391">
            <v>352.39105499999999</v>
          </cell>
          <cell r="AP391">
            <v>332.00439299999999</v>
          </cell>
          <cell r="AU391">
            <v>330.51747599999999</v>
          </cell>
          <cell r="AZ391">
            <v>330.57524999999998</v>
          </cell>
          <cell r="BE391">
            <v>330.66501599999998</v>
          </cell>
          <cell r="BJ391">
            <v>330.695694</v>
          </cell>
          <cell r="BO391">
            <v>324.07660199999998</v>
          </cell>
          <cell r="BT391">
            <v>312.27134999999998</v>
          </cell>
          <cell r="BY391">
            <v>312.40316100000001</v>
          </cell>
          <cell r="CD391">
            <v>312.47020199999997</v>
          </cell>
          <cell r="CI391">
            <v>312.47020199999997</v>
          </cell>
          <cell r="CN391">
            <v>312.51529199999999</v>
          </cell>
          <cell r="CS391">
            <v>307.307682</v>
          </cell>
          <cell r="CX391">
            <v>304.03893900000003</v>
          </cell>
          <cell r="DC391">
            <v>302.79926957851245</v>
          </cell>
          <cell r="DD391">
            <v>301.55960015702482</v>
          </cell>
          <cell r="DE391">
            <v>300.31993073553724</v>
          </cell>
          <cell r="DF391">
            <v>299.08026131404961</v>
          </cell>
          <cell r="DG391">
            <v>297.84059189256203</v>
          </cell>
        </row>
        <row r="392">
          <cell r="A392" t="str">
            <v>Additional Income Statement Items</v>
          </cell>
        </row>
        <row r="393">
          <cell r="B393" t="str">
            <v>Marginal tax rate</v>
          </cell>
          <cell r="C393" t="str">
            <v>MARGIN_TAX_RATE</v>
          </cell>
          <cell r="F393">
            <v>0.66196707063879101</v>
          </cell>
          <cell r="G393">
            <v>0.65012949897293915</v>
          </cell>
          <cell r="H393">
            <v>0.61535976369594314</v>
          </cell>
          <cell r="I393">
            <v>0.41117959358027706</v>
          </cell>
          <cell r="J393">
            <v>0.10101222006608276</v>
          </cell>
          <cell r="K393">
            <v>0.44018515839722261</v>
          </cell>
          <cell r="L393">
            <v>0.38468026992287918</v>
          </cell>
          <cell r="M393">
            <v>0.43155325296403307</v>
          </cell>
          <cell r="N393">
            <v>0.44255485893416929</v>
          </cell>
          <cell r="O393">
            <v>0.44007285974499089</v>
          </cell>
          <cell r="P393">
            <v>0.37843528368794327</v>
          </cell>
          <cell r="Q393">
            <v>0.48532420918452918</v>
          </cell>
          <cell r="V393">
            <v>0.43325987253558879</v>
          </cell>
          <cell r="AA393">
            <v>0.51571077723201386</v>
          </cell>
          <cell r="AF393">
            <v>0.31601916823549547</v>
          </cell>
          <cell r="AK393">
            <v>0.32965269307312062</v>
          </cell>
          <cell r="AP393">
            <v>0.39206527693682786</v>
          </cell>
          <cell r="AU393">
            <v>0.40762175838077164</v>
          </cell>
          <cell r="AZ393">
            <v>0.34682906913445838</v>
          </cell>
          <cell r="BE393">
            <v>0.39202521670606777</v>
          </cell>
          <cell r="BJ393">
            <v>0.35482870338457295</v>
          </cell>
          <cell r="BO393">
            <v>0.272919032938504</v>
          </cell>
          <cell r="BT393">
            <v>0.33192555677562857</v>
          </cell>
          <cell r="BY393">
            <v>0.22403730846102599</v>
          </cell>
          <cell r="CD393">
            <v>0.36074568439966631</v>
          </cell>
          <cell r="CI393">
            <v>0.27031652989449001</v>
          </cell>
          <cell r="CN393">
            <v>0.2292959650027564</v>
          </cell>
          <cell r="CS393">
            <v>0.22219511203285755</v>
          </cell>
          <cell r="CX393">
            <v>0.16514236410698879</v>
          </cell>
          <cell r="DC393">
            <v>0.23039215686274508</v>
          </cell>
          <cell r="DD393">
            <v>0.22979214780600463</v>
          </cell>
          <cell r="DE393">
            <v>0.23025583982202447</v>
          </cell>
          <cell r="DF393">
            <v>0.2298728813559322</v>
          </cell>
          <cell r="DG393">
            <v>0.23022312373225151</v>
          </cell>
        </row>
        <row r="394">
          <cell r="B394" t="str">
            <v>EPS (basic)</v>
          </cell>
          <cell r="C394" t="str">
            <v>EPS_BASIC_JPN</v>
          </cell>
          <cell r="D394" t="str">
            <v>JPY</v>
          </cell>
          <cell r="F394">
            <v>17.337794989409833</v>
          </cell>
          <cell r="G394">
            <v>19.064497879775512</v>
          </cell>
          <cell r="H394">
            <v>21.124645169042221</v>
          </cell>
          <cell r="I394">
            <v>24.723984026309608</v>
          </cell>
          <cell r="J394">
            <v>43.351115770863522</v>
          </cell>
          <cell r="K394">
            <v>40.58400803364087</v>
          </cell>
          <cell r="L394">
            <v>39.757942827853313</v>
          </cell>
          <cell r="M394">
            <v>31.650319128343426</v>
          </cell>
          <cell r="N394">
            <v>38.939018397619698</v>
          </cell>
          <cell r="O394">
            <v>37.934935510609634</v>
          </cell>
          <cell r="P394">
            <v>44.849987039917053</v>
          </cell>
          <cell r="Q394">
            <v>42.250757371870982</v>
          </cell>
          <cell r="V394">
            <v>51.712182793209557</v>
          </cell>
          <cell r="AA394">
            <v>37.051935968561892</v>
          </cell>
          <cell r="AF394">
            <v>43.323838596469471</v>
          </cell>
          <cell r="AK394">
            <v>61.744193391055909</v>
          </cell>
          <cell r="AP394">
            <v>62.518774872135687</v>
          </cell>
          <cell r="AU394">
            <v>55.988838837299255</v>
          </cell>
          <cell r="AZ394">
            <v>57.038191057502488</v>
          </cell>
          <cell r="BE394">
            <v>58.27326586905361</v>
          </cell>
          <cell r="BJ394">
            <v>55.958971202857214</v>
          </cell>
          <cell r="BO394">
            <v>81.838521565007511</v>
          </cell>
          <cell r="BT394">
            <v>73.776211952474142</v>
          </cell>
          <cell r="BY394">
            <v>93.172724736163971</v>
          </cell>
          <cell r="CD394">
            <v>61.948660402945315</v>
          </cell>
          <cell r="CI394">
            <v>93.825528434219095</v>
          </cell>
          <cell r="CN394">
            <v>130.64329484104707</v>
          </cell>
          <cell r="CS394">
            <v>114.49477685963176</v>
          </cell>
          <cell r="CX394">
            <v>146.93938458870582</v>
          </cell>
          <cell r="DC394">
            <v>195.10966568394889</v>
          </cell>
          <cell r="DD394">
            <v>208.81632804565959</v>
          </cell>
          <cell r="DE394">
            <v>217.98382112353264</v>
          </cell>
          <cell r="DF394">
            <v>230.56382335721219</v>
          </cell>
          <cell r="DG394">
            <v>242.24317046928456</v>
          </cell>
        </row>
        <row r="395">
          <cell r="B395" t="str">
            <v>EPS (diluted)</v>
          </cell>
          <cell r="C395" t="str">
            <v>EPS_FUL_DIL_JPN</v>
          </cell>
          <cell r="D395" t="str">
            <v>JPY</v>
          </cell>
          <cell r="F395">
            <v>17.337794989409833</v>
          </cell>
          <cell r="G395">
            <v>19.064497879775512</v>
          </cell>
          <cell r="H395">
            <v>21.124645169042221</v>
          </cell>
          <cell r="I395">
            <v>24.723984026309608</v>
          </cell>
          <cell r="J395">
            <v>43.351115770863522</v>
          </cell>
          <cell r="K395">
            <v>40.58400803364087</v>
          </cell>
          <cell r="L395">
            <v>39.757942827853313</v>
          </cell>
          <cell r="M395">
            <v>31.214287021854709</v>
          </cell>
          <cell r="N395">
            <v>36.566632459548018</v>
          </cell>
          <cell r="O395">
            <v>35.623177761946557</v>
          </cell>
          <cell r="P395">
            <v>42.115944609827686</v>
          </cell>
          <cell r="Q395">
            <v>38.414719202295146</v>
          </cell>
          <cell r="V395">
            <v>47.660367437512306</v>
          </cell>
          <cell r="AA395">
            <v>34.145758156132679</v>
          </cell>
          <cell r="AF395">
            <v>39.92367628246123</v>
          </cell>
          <cell r="AK395">
            <v>54.973841600294321</v>
          </cell>
          <cell r="AP395">
            <v>58.900473509465215</v>
          </cell>
          <cell r="AU395">
            <v>52.606329635694074</v>
          </cell>
          <cell r="AZ395">
            <v>57.038191057502488</v>
          </cell>
          <cell r="BE395">
            <v>58.27326586905361</v>
          </cell>
          <cell r="BJ395">
            <v>55.958971202857214</v>
          </cell>
          <cell r="BO395">
            <v>81.838521565007511</v>
          </cell>
          <cell r="BT395">
            <v>73.776211952474142</v>
          </cell>
          <cell r="BY395">
            <v>93.172724736163971</v>
          </cell>
          <cell r="CD395">
            <v>61.948660402945315</v>
          </cell>
          <cell r="CI395">
            <v>93.825528434219095</v>
          </cell>
          <cell r="CN395">
            <v>130.64329484104707</v>
          </cell>
          <cell r="CS395">
            <v>114.49477685963176</v>
          </cell>
          <cell r="CX395">
            <v>146.93938458870582</v>
          </cell>
          <cell r="DC395">
            <v>195.10966568394889</v>
          </cell>
          <cell r="DD395">
            <v>208.81632804565959</v>
          </cell>
          <cell r="DE395">
            <v>217.98382112353264</v>
          </cell>
          <cell r="DF395">
            <v>230.56382335721219</v>
          </cell>
          <cell r="DG395">
            <v>242.24317046928456</v>
          </cell>
        </row>
        <row r="396">
          <cell r="A396" t="str">
            <v>Balance Sheet</v>
          </cell>
        </row>
        <row r="397">
          <cell r="B397" t="str">
            <v>BVPS, book value per share</v>
          </cell>
          <cell r="C397" t="str">
            <v>BVPS</v>
          </cell>
          <cell r="D397" t="str">
            <v>JPY</v>
          </cell>
          <cell r="F397">
            <v>483.56330914514166</v>
          </cell>
          <cell r="G397">
            <v>471.15543473363272</v>
          </cell>
          <cell r="H397">
            <v>479.32843704159848</v>
          </cell>
          <cell r="I397">
            <v>489.83515641756287</v>
          </cell>
          <cell r="J397">
            <v>523.76473732358897</v>
          </cell>
          <cell r="K397">
            <v>558.55248017740962</v>
          </cell>
          <cell r="L397">
            <v>592.33921477866772</v>
          </cell>
          <cell r="M397">
            <v>587.56397281302543</v>
          </cell>
          <cell r="N397">
            <v>593.24405252243128</v>
          </cell>
          <cell r="O397">
            <v>621.77259283086073</v>
          </cell>
          <cell r="P397">
            <v>657.45353553580253</v>
          </cell>
          <cell r="Q397">
            <v>671.2081693438148</v>
          </cell>
          <cell r="V397">
            <v>736.81639859488871</v>
          </cell>
          <cell r="AA397">
            <v>738.68621220755279</v>
          </cell>
          <cell r="AF397">
            <v>731.26449048343977</v>
          </cell>
          <cell r="AK397">
            <v>756.14007852724865</v>
          </cell>
          <cell r="AP397">
            <v>819.51626465376319</v>
          </cell>
          <cell r="AU397">
            <v>850.43006924087729</v>
          </cell>
          <cell r="AZ397">
            <v>930.13617928141934</v>
          </cell>
          <cell r="BE397">
            <v>1009.8407265436269</v>
          </cell>
          <cell r="BJ397">
            <v>1098.5961008612346</v>
          </cell>
          <cell r="BO397">
            <v>1116.71746052188</v>
          </cell>
          <cell r="BT397">
            <v>1097.3917395880219</v>
          </cell>
          <cell r="BY397">
            <v>1178.9445369920568</v>
          </cell>
          <cell r="CD397">
            <v>1045.7989206919642</v>
          </cell>
          <cell r="CI397">
            <v>1049.6840911569545</v>
          </cell>
          <cell r="CN397">
            <v>1228.7910698462717</v>
          </cell>
          <cell r="CS397">
            <v>1326.553235984514</v>
          </cell>
          <cell r="CX397">
            <v>1415.6969545272618</v>
          </cell>
          <cell r="DC397">
            <v>1530.3867827853053</v>
          </cell>
          <cell r="DD397">
            <v>1655.0625473044602</v>
          </cell>
          <cell r="DE397">
            <v>1783.4314182485984</v>
          </cell>
          <cell r="DF397">
            <v>1920.8890532456287</v>
          </cell>
          <cell r="DG397">
            <v>2064.5271891677162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">
          <cell r="A1" t="str">
            <v>Issuer: Nissin Foods Holdings</v>
          </cell>
          <cell r="C1">
            <v>582195513</v>
          </cell>
          <cell r="F1">
            <v>1995</v>
          </cell>
          <cell r="G1">
            <v>1996</v>
          </cell>
          <cell r="H1">
            <v>1997</v>
          </cell>
          <cell r="I1">
            <v>1998</v>
          </cell>
          <cell r="J1">
            <v>1999</v>
          </cell>
          <cell r="K1">
            <v>2000</v>
          </cell>
          <cell r="L1">
            <v>2001</v>
          </cell>
          <cell r="M1">
            <v>2002</v>
          </cell>
          <cell r="N1">
            <v>2003</v>
          </cell>
          <cell r="O1">
            <v>2004</v>
          </cell>
          <cell r="P1">
            <v>2005</v>
          </cell>
          <cell r="Q1">
            <v>2006</v>
          </cell>
          <cell r="R1" t="str">
            <v>2007 Q1</v>
          </cell>
          <cell r="S1" t="str">
            <v>2007 Q2</v>
          </cell>
          <cell r="T1" t="str">
            <v>2007 Q3</v>
          </cell>
          <cell r="U1" t="str">
            <v>2007 Q4</v>
          </cell>
          <cell r="V1">
            <v>2007</v>
          </cell>
          <cell r="W1" t="str">
            <v>2008 Q1</v>
          </cell>
          <cell r="X1" t="str">
            <v>2008 Q2</v>
          </cell>
          <cell r="Y1" t="str">
            <v>2008 Q3</v>
          </cell>
          <cell r="Z1" t="str">
            <v>2008 Q4</v>
          </cell>
          <cell r="AA1">
            <v>2008</v>
          </cell>
          <cell r="AB1" t="str">
            <v>2009 Q1</v>
          </cell>
          <cell r="AC1" t="str">
            <v>2009 Q2</v>
          </cell>
          <cell r="AD1" t="str">
            <v>2009 Q3</v>
          </cell>
          <cell r="AE1" t="str">
            <v>2009 Q4</v>
          </cell>
          <cell r="AF1">
            <v>2009</v>
          </cell>
          <cell r="AG1" t="str">
            <v>2010 Q1</v>
          </cell>
          <cell r="AH1" t="str">
            <v>2010 Q2</v>
          </cell>
          <cell r="AI1" t="str">
            <v>2010 Q3</v>
          </cell>
          <cell r="AJ1" t="str">
            <v>2010 Q4</v>
          </cell>
          <cell r="AK1">
            <v>2010</v>
          </cell>
          <cell r="AL1" t="str">
            <v>2011 Q1</v>
          </cell>
          <cell r="AM1" t="str">
            <v>2011 Q2</v>
          </cell>
          <cell r="AN1" t="str">
            <v>2011 Q3</v>
          </cell>
          <cell r="AO1" t="str">
            <v>2011 Q4</v>
          </cell>
          <cell r="AP1">
            <v>2011</v>
          </cell>
          <cell r="AQ1" t="str">
            <v>2012 Q1</v>
          </cell>
          <cell r="AR1" t="str">
            <v>2012 Q2</v>
          </cell>
          <cell r="AS1" t="str">
            <v>2012 Q3</v>
          </cell>
          <cell r="AT1" t="str">
            <v>2012 Q4</v>
          </cell>
          <cell r="AU1">
            <v>2012</v>
          </cell>
          <cell r="AV1" t="str">
            <v>2013 Q1</v>
          </cell>
          <cell r="AW1" t="str">
            <v>2013 Q2</v>
          </cell>
          <cell r="AX1" t="str">
            <v>2013 Q3</v>
          </cell>
          <cell r="AY1" t="str">
            <v>2013 Q4</v>
          </cell>
          <cell r="AZ1">
            <v>2013</v>
          </cell>
          <cell r="BA1" t="str">
            <v>2014 Q1</v>
          </cell>
          <cell r="BB1" t="str">
            <v>2014 Q2</v>
          </cell>
          <cell r="BC1" t="str">
            <v>2014 Q3</v>
          </cell>
          <cell r="BD1" t="str">
            <v>2014 Q4</v>
          </cell>
          <cell r="BE1">
            <v>2014</v>
          </cell>
          <cell r="BF1" t="str">
            <v>2015 Q1</v>
          </cell>
          <cell r="BG1" t="str">
            <v>2015 Q2</v>
          </cell>
          <cell r="BH1" t="str">
            <v>2015 Q3</v>
          </cell>
          <cell r="BI1" t="str">
            <v>2015 Q4</v>
          </cell>
          <cell r="BJ1">
            <v>2015</v>
          </cell>
          <cell r="BK1" t="str">
            <v>2016 Q1</v>
          </cell>
          <cell r="BL1" t="str">
            <v>2016 Q2</v>
          </cell>
          <cell r="BM1" t="str">
            <v>2016 Q3</v>
          </cell>
          <cell r="BN1" t="str">
            <v>2016 Q4</v>
          </cell>
          <cell r="BO1">
            <v>2016</v>
          </cell>
          <cell r="BP1" t="str">
            <v>2017 Q1</v>
          </cell>
          <cell r="BQ1" t="str">
            <v>2017 Q2</v>
          </cell>
          <cell r="BR1" t="str">
            <v>2017 Q3</v>
          </cell>
          <cell r="BS1" t="str">
            <v>2017 Q4</v>
          </cell>
          <cell r="BT1">
            <v>2017</v>
          </cell>
          <cell r="BU1" t="str">
            <v>2018 Q1</v>
          </cell>
          <cell r="BV1" t="str">
            <v>2018 Q2</v>
          </cell>
          <cell r="BW1" t="str">
            <v>2018 Q3</v>
          </cell>
          <cell r="BX1" t="str">
            <v>2018 Q4</v>
          </cell>
          <cell r="BY1">
            <v>2018</v>
          </cell>
          <cell r="BZ1" t="str">
            <v>2019 Q1</v>
          </cell>
          <cell r="CA1" t="str">
            <v>2019 Q2</v>
          </cell>
          <cell r="CB1" t="str">
            <v>2019 Q3</v>
          </cell>
          <cell r="CC1" t="str">
            <v>2019 Q4</v>
          </cell>
          <cell r="CD1">
            <v>2019</v>
          </cell>
          <cell r="CE1" t="str">
            <v>2020 Q1</v>
          </cell>
          <cell r="CF1" t="str">
            <v>2020 Q2</v>
          </cell>
          <cell r="CG1" t="str">
            <v>2020 Q3</v>
          </cell>
          <cell r="CH1" t="str">
            <v>2020 Q4</v>
          </cell>
          <cell r="CI1">
            <v>2020</v>
          </cell>
          <cell r="CJ1" t="str">
            <v>2021 Q1</v>
          </cell>
          <cell r="CK1" t="str">
            <v>2021 Q2</v>
          </cell>
          <cell r="CL1" t="str">
            <v>2021 Q3</v>
          </cell>
          <cell r="CM1" t="str">
            <v>2021 Q4</v>
          </cell>
          <cell r="CN1">
            <v>2021</v>
          </cell>
          <cell r="CO1" t="str">
            <v>2022 Q1</v>
          </cell>
          <cell r="CP1" t="str">
            <v>2022 Q2</v>
          </cell>
          <cell r="CQ1" t="str">
            <v>2022 Q3</v>
          </cell>
          <cell r="CR1" t="str">
            <v>2022 Q4</v>
          </cell>
          <cell r="CS1">
            <v>2022</v>
          </cell>
          <cell r="CT1" t="str">
            <v>2023 Q1</v>
          </cell>
          <cell r="CU1" t="str">
            <v>2023 Q2</v>
          </cell>
          <cell r="CV1" t="str">
            <v>2023 Q3</v>
          </cell>
          <cell r="CW1" t="str">
            <v>2023 Q4</v>
          </cell>
          <cell r="CX1">
            <v>2023</v>
          </cell>
          <cell r="CY1" t="str">
            <v>2024 Q1</v>
          </cell>
          <cell r="CZ1" t="str">
            <v>2024 Q2</v>
          </cell>
          <cell r="DA1" t="str">
            <v>2024 Q3</v>
          </cell>
          <cell r="DB1" t="str">
            <v>2024 Q4</v>
          </cell>
          <cell r="DC1">
            <v>2024</v>
          </cell>
          <cell r="DD1">
            <v>2025</v>
          </cell>
          <cell r="DE1">
            <v>2026</v>
          </cell>
          <cell r="DF1">
            <v>2027</v>
          </cell>
          <cell r="DG1">
            <v>2028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Actual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Actual</v>
          </cell>
          <cell r="T2" t="str">
            <v>Actual</v>
          </cell>
          <cell r="U2" t="str">
            <v>Actual</v>
          </cell>
          <cell r="V2" t="str">
            <v>Actual</v>
          </cell>
          <cell r="W2" t="str">
            <v>Actual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  <cell r="AC2" t="str">
            <v>Actual</v>
          </cell>
          <cell r="AD2" t="str">
            <v>Actual</v>
          </cell>
          <cell r="AE2" t="str">
            <v>Actual</v>
          </cell>
          <cell r="AF2" t="str">
            <v>Actual</v>
          </cell>
          <cell r="AG2" t="str">
            <v>Actual</v>
          </cell>
          <cell r="AH2" t="str">
            <v>Actual</v>
          </cell>
          <cell r="AI2" t="str">
            <v>Actual</v>
          </cell>
          <cell r="AJ2" t="str">
            <v>Actual</v>
          </cell>
          <cell r="AK2" t="str">
            <v>Actual</v>
          </cell>
          <cell r="AL2" t="str">
            <v>Actual</v>
          </cell>
          <cell r="AM2" t="str">
            <v>Actual</v>
          </cell>
          <cell r="AN2" t="str">
            <v>Actual</v>
          </cell>
          <cell r="AO2" t="str">
            <v>Actual</v>
          </cell>
          <cell r="AP2" t="str">
            <v>Actual</v>
          </cell>
          <cell r="AQ2" t="str">
            <v>Actual</v>
          </cell>
          <cell r="AR2" t="str">
            <v>Actual</v>
          </cell>
          <cell r="AS2" t="str">
            <v>Actual</v>
          </cell>
          <cell r="AT2" t="str">
            <v>Actual</v>
          </cell>
          <cell r="AU2" t="str">
            <v>Actual</v>
          </cell>
          <cell r="AV2" t="str">
            <v>Actual</v>
          </cell>
          <cell r="AW2" t="str">
            <v>Actual</v>
          </cell>
          <cell r="AX2" t="str">
            <v>Actual</v>
          </cell>
          <cell r="AY2" t="str">
            <v>Actual</v>
          </cell>
          <cell r="AZ2" t="str">
            <v>Actual</v>
          </cell>
          <cell r="BA2" t="str">
            <v>Actual</v>
          </cell>
          <cell r="BB2" t="str">
            <v>Actual</v>
          </cell>
          <cell r="BC2" t="str">
            <v>Actual</v>
          </cell>
          <cell r="BD2" t="str">
            <v>Actual</v>
          </cell>
          <cell r="BE2" t="str">
            <v>Actual</v>
          </cell>
          <cell r="BF2" t="str">
            <v>Actual</v>
          </cell>
          <cell r="BG2" t="str">
            <v>Actual</v>
          </cell>
          <cell r="BH2" t="str">
            <v>Actual</v>
          </cell>
          <cell r="BI2" t="str">
            <v>Actual</v>
          </cell>
          <cell r="BJ2" t="str">
            <v>Actual</v>
          </cell>
          <cell r="BK2" t="str">
            <v>Actual</v>
          </cell>
          <cell r="BL2" t="str">
            <v>Actual</v>
          </cell>
          <cell r="BM2" t="str">
            <v>Actual</v>
          </cell>
          <cell r="BN2" t="str">
            <v>Actual</v>
          </cell>
          <cell r="BO2" t="str">
            <v>Actual</v>
          </cell>
          <cell r="BP2" t="str">
            <v>Actual</v>
          </cell>
          <cell r="BQ2" t="str">
            <v>Actual</v>
          </cell>
          <cell r="BR2" t="str">
            <v>Actual</v>
          </cell>
          <cell r="BS2" t="str">
            <v>Actual</v>
          </cell>
          <cell r="BT2" t="str">
            <v>Actual</v>
          </cell>
          <cell r="BU2" t="str">
            <v>Actual</v>
          </cell>
          <cell r="BV2" t="str">
            <v>Actual</v>
          </cell>
          <cell r="BW2" t="str">
            <v>Actual</v>
          </cell>
          <cell r="BX2" t="str">
            <v>Actual</v>
          </cell>
          <cell r="BY2" t="str">
            <v>Actual</v>
          </cell>
          <cell r="BZ2" t="str">
            <v>Actual</v>
          </cell>
          <cell r="CA2" t="str">
            <v>Actual</v>
          </cell>
          <cell r="CB2" t="str">
            <v>Actual</v>
          </cell>
          <cell r="CC2" t="str">
            <v>Actual</v>
          </cell>
          <cell r="CD2" t="str">
            <v>Actual</v>
          </cell>
          <cell r="CE2" t="str">
            <v>Actual</v>
          </cell>
          <cell r="CF2" t="str">
            <v>Actual</v>
          </cell>
          <cell r="CG2" t="str">
            <v>Actual</v>
          </cell>
          <cell r="CH2" t="str">
            <v>Actual</v>
          </cell>
          <cell r="CI2" t="str">
            <v>Actual</v>
          </cell>
          <cell r="CJ2" t="str">
            <v>Actual</v>
          </cell>
          <cell r="CK2" t="str">
            <v>Actual</v>
          </cell>
          <cell r="CL2" t="str">
            <v>Actual</v>
          </cell>
          <cell r="CM2" t="str">
            <v>Actual</v>
          </cell>
          <cell r="CN2" t="str">
            <v>Actual</v>
          </cell>
          <cell r="CO2" t="str">
            <v>Actual</v>
          </cell>
          <cell r="CP2" t="str">
            <v>Actual</v>
          </cell>
          <cell r="CQ2" t="str">
            <v>Actual</v>
          </cell>
          <cell r="CR2" t="str">
            <v>Actual</v>
          </cell>
          <cell r="CS2" t="str">
            <v>Actual</v>
          </cell>
          <cell r="CT2" t="str">
            <v>Actual</v>
          </cell>
          <cell r="CU2" t="str">
            <v>Actual</v>
          </cell>
          <cell r="CV2" t="str">
            <v>Actual</v>
          </cell>
          <cell r="CW2" t="str">
            <v>Actual</v>
          </cell>
          <cell r="CX2" t="str">
            <v>Actual</v>
          </cell>
          <cell r="CY2" t="str">
            <v>Actual</v>
          </cell>
          <cell r="CZ2" t="str">
            <v>Actual</v>
          </cell>
          <cell r="DA2" t="str">
            <v>Estimate</v>
          </cell>
          <cell r="DB2" t="str">
            <v>Estimate</v>
          </cell>
          <cell r="DC2" t="str">
            <v>Estimate</v>
          </cell>
          <cell r="DD2" t="str">
            <v>Estimate</v>
          </cell>
          <cell r="DE2" t="str">
            <v>Estimate</v>
          </cell>
          <cell r="DF2" t="str">
            <v>Estimate</v>
          </cell>
          <cell r="DG2" t="str">
            <v>Estimate</v>
          </cell>
        </row>
        <row r="3">
          <cell r="F3">
            <v>34789</v>
          </cell>
          <cell r="G3">
            <v>35155</v>
          </cell>
          <cell r="H3">
            <v>35520</v>
          </cell>
          <cell r="I3">
            <v>35885</v>
          </cell>
          <cell r="J3">
            <v>36250</v>
          </cell>
          <cell r="K3">
            <v>36616</v>
          </cell>
          <cell r="L3">
            <v>36981</v>
          </cell>
          <cell r="M3">
            <v>37346</v>
          </cell>
          <cell r="N3">
            <v>37711</v>
          </cell>
          <cell r="O3">
            <v>38077</v>
          </cell>
          <cell r="P3">
            <v>38442</v>
          </cell>
          <cell r="Q3">
            <v>38807</v>
          </cell>
          <cell r="R3">
            <v>38898</v>
          </cell>
          <cell r="S3">
            <v>38990</v>
          </cell>
          <cell r="T3">
            <v>39082</v>
          </cell>
          <cell r="U3">
            <v>39172</v>
          </cell>
          <cell r="V3">
            <v>39172</v>
          </cell>
          <cell r="W3">
            <v>39263</v>
          </cell>
          <cell r="X3">
            <v>39355</v>
          </cell>
          <cell r="Y3">
            <v>39447</v>
          </cell>
          <cell r="Z3">
            <v>39538</v>
          </cell>
          <cell r="AA3">
            <v>39538</v>
          </cell>
          <cell r="AB3">
            <v>39629</v>
          </cell>
          <cell r="AC3">
            <v>39721</v>
          </cell>
          <cell r="AD3">
            <v>39813</v>
          </cell>
          <cell r="AE3">
            <v>39903</v>
          </cell>
          <cell r="AF3">
            <v>39903</v>
          </cell>
          <cell r="AG3">
            <v>39994</v>
          </cell>
          <cell r="AH3">
            <v>40086</v>
          </cell>
          <cell r="AI3">
            <v>40178</v>
          </cell>
          <cell r="AJ3">
            <v>40268</v>
          </cell>
          <cell r="AK3">
            <v>40268</v>
          </cell>
          <cell r="AL3">
            <v>40359</v>
          </cell>
          <cell r="AM3">
            <v>40451</v>
          </cell>
          <cell r="AN3">
            <v>40543</v>
          </cell>
          <cell r="AO3">
            <v>40633</v>
          </cell>
          <cell r="AP3">
            <v>40633</v>
          </cell>
          <cell r="AQ3">
            <v>40724</v>
          </cell>
          <cell r="AR3">
            <v>40816</v>
          </cell>
          <cell r="AS3">
            <v>40908</v>
          </cell>
          <cell r="AT3">
            <v>40999</v>
          </cell>
          <cell r="AU3">
            <v>40999</v>
          </cell>
          <cell r="AV3">
            <v>41090</v>
          </cell>
          <cell r="AW3">
            <v>41182</v>
          </cell>
          <cell r="AX3">
            <v>41274</v>
          </cell>
          <cell r="AY3">
            <v>41364</v>
          </cell>
          <cell r="AZ3">
            <v>41364</v>
          </cell>
          <cell r="BA3">
            <v>41455</v>
          </cell>
          <cell r="BB3">
            <v>41547</v>
          </cell>
          <cell r="BC3">
            <v>41639</v>
          </cell>
          <cell r="BD3">
            <v>41729</v>
          </cell>
          <cell r="BE3">
            <v>41729</v>
          </cell>
          <cell r="BF3">
            <v>41820</v>
          </cell>
          <cell r="BG3">
            <v>41912</v>
          </cell>
          <cell r="BH3">
            <v>42004</v>
          </cell>
          <cell r="BI3">
            <v>42094</v>
          </cell>
          <cell r="BJ3">
            <v>42094</v>
          </cell>
          <cell r="BK3">
            <v>42185</v>
          </cell>
          <cell r="BL3">
            <v>42277</v>
          </cell>
          <cell r="BM3">
            <v>42369</v>
          </cell>
          <cell r="BN3">
            <v>42460</v>
          </cell>
          <cell r="BO3">
            <v>42460</v>
          </cell>
          <cell r="BP3">
            <v>42551</v>
          </cell>
          <cell r="BQ3">
            <v>42643</v>
          </cell>
          <cell r="BR3">
            <v>42735</v>
          </cell>
          <cell r="BS3">
            <v>42825</v>
          </cell>
          <cell r="BT3">
            <v>42825</v>
          </cell>
          <cell r="BU3">
            <v>42916</v>
          </cell>
          <cell r="BV3">
            <v>43008</v>
          </cell>
          <cell r="BW3">
            <v>43100</v>
          </cell>
          <cell r="BX3">
            <v>43190</v>
          </cell>
          <cell r="BY3">
            <v>43190</v>
          </cell>
          <cell r="BZ3">
            <v>43281</v>
          </cell>
          <cell r="CA3">
            <v>43373</v>
          </cell>
          <cell r="CB3">
            <v>43465</v>
          </cell>
          <cell r="CC3">
            <v>43555</v>
          </cell>
          <cell r="CD3">
            <v>43555</v>
          </cell>
          <cell r="CE3">
            <v>43646</v>
          </cell>
          <cell r="CF3">
            <v>43738</v>
          </cell>
          <cell r="CG3">
            <v>43830</v>
          </cell>
          <cell r="CH3">
            <v>43921</v>
          </cell>
          <cell r="CI3">
            <v>43921</v>
          </cell>
          <cell r="CJ3">
            <v>44012</v>
          </cell>
          <cell r="CK3">
            <v>44104</v>
          </cell>
          <cell r="CL3">
            <v>44196</v>
          </cell>
          <cell r="CM3">
            <v>44286</v>
          </cell>
          <cell r="CN3">
            <v>44286</v>
          </cell>
          <cell r="CO3">
            <v>44377</v>
          </cell>
          <cell r="CP3">
            <v>44469</v>
          </cell>
          <cell r="CQ3">
            <v>44561</v>
          </cell>
          <cell r="CR3">
            <v>44651</v>
          </cell>
          <cell r="CS3">
            <v>44651</v>
          </cell>
          <cell r="CT3">
            <v>44742</v>
          </cell>
          <cell r="CU3">
            <v>44834</v>
          </cell>
          <cell r="CV3">
            <v>44926</v>
          </cell>
          <cell r="CW3">
            <v>45016</v>
          </cell>
          <cell r="CX3">
            <v>45016</v>
          </cell>
          <cell r="CY3">
            <v>45107</v>
          </cell>
          <cell r="CZ3">
            <v>45199</v>
          </cell>
          <cell r="DA3">
            <v>45291</v>
          </cell>
          <cell r="DB3">
            <v>45382</v>
          </cell>
          <cell r="DC3">
            <v>45382</v>
          </cell>
          <cell r="DD3">
            <v>45747</v>
          </cell>
          <cell r="DE3">
            <v>46112</v>
          </cell>
          <cell r="DF3">
            <v>46477</v>
          </cell>
          <cell r="DG3">
            <v>46843</v>
          </cell>
        </row>
        <row r="4">
          <cell r="A4" t="str">
            <v>Issuer: Nissin Foods Holdings</v>
          </cell>
          <cell r="B4" t="str">
            <v>132YOV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Nissin Foods Holdings</v>
          </cell>
        </row>
        <row r="7">
          <cell r="B7" t="str">
            <v>Reporting Currency</v>
          </cell>
          <cell r="C7" t="str">
            <v>CURRENCY_ISO</v>
          </cell>
          <cell r="E7" t="str">
            <v>JPY</v>
          </cell>
        </row>
        <row r="8">
          <cell r="A8" t="str">
            <v>General Information</v>
          </cell>
        </row>
        <row r="9">
          <cell r="B9" t="str">
            <v>Analyst Yen/USD assumption</v>
          </cell>
          <cell r="C9" t="str">
            <v>ASS_YEN_PER_USD_FX</v>
          </cell>
          <cell r="E9">
            <v>145</v>
          </cell>
        </row>
        <row r="10">
          <cell r="B10" t="str">
            <v>Analyst Yen/Euro assumption</v>
          </cell>
          <cell r="C10" t="str">
            <v>ASS_YEN_PER_EUR_FX</v>
          </cell>
          <cell r="E10">
            <v>155</v>
          </cell>
        </row>
        <row r="11">
          <cell r="B11" t="str">
            <v>M&amp;A probability (1 = high, 3 = low)</v>
          </cell>
          <cell r="C11" t="str">
            <v>MA_PROB</v>
          </cell>
          <cell r="E11">
            <v>3</v>
          </cell>
        </row>
        <row r="12">
          <cell r="B12" t="str">
            <v>Analyst USD rate assumption vs reporting currency</v>
          </cell>
          <cell r="C12" t="str">
            <v>FX_USD_ASSUMPTION</v>
          </cell>
        </row>
        <row r="13">
          <cell r="B13" t="str">
            <v>Analyst EUR rate assumption vs reporting currency</v>
          </cell>
          <cell r="C13" t="str">
            <v>FX_EUR_ASSUMPTION</v>
          </cell>
        </row>
        <row r="14">
          <cell r="A14" t="str">
            <v>Publishing Items</v>
          </cell>
        </row>
        <row r="15">
          <cell r="B15" t="str">
            <v>COE Yen/USD</v>
          </cell>
          <cell r="C15" t="str">
            <v>COE_YEN_PER_US_AVG_FX_PUB</v>
          </cell>
          <cell r="BE15">
            <v>78</v>
          </cell>
          <cell r="BY15">
            <v>107</v>
          </cell>
        </row>
        <row r="16">
          <cell r="B16" t="str">
            <v>COE Yen/EUR</v>
          </cell>
          <cell r="C16" t="str">
            <v>COE_YEN_PER_EUR_AVG_FX_PUB</v>
          </cell>
          <cell r="BE16">
            <v>115</v>
          </cell>
          <cell r="BY16">
            <v>119</v>
          </cell>
        </row>
        <row r="17">
          <cell r="A17" t="str">
            <v>Income Statement</v>
          </cell>
        </row>
        <row r="18">
          <cell r="B18" t="str">
            <v>Sales, net revenue</v>
          </cell>
          <cell r="C18" t="str">
            <v>SALES</v>
          </cell>
          <cell r="D18" t="str">
            <v>JPY</v>
          </cell>
          <cell r="F18">
            <v>265639</v>
          </cell>
          <cell r="G18">
            <v>275936</v>
          </cell>
          <cell r="H18">
            <v>287835</v>
          </cell>
          <cell r="I18">
            <v>297551</v>
          </cell>
          <cell r="J18">
            <v>290877</v>
          </cell>
          <cell r="K18">
            <v>292540</v>
          </cell>
          <cell r="L18">
            <v>301081</v>
          </cell>
          <cell r="M18">
            <v>308462</v>
          </cell>
          <cell r="N18">
            <v>315279</v>
          </cell>
          <cell r="O18">
            <v>320032</v>
          </cell>
          <cell r="P18">
            <v>316972</v>
          </cell>
          <cell r="Q18">
            <v>321700</v>
          </cell>
          <cell r="V18">
            <v>358238</v>
          </cell>
          <cell r="AA18">
            <v>385469</v>
          </cell>
          <cell r="AF18">
            <v>362057</v>
          </cell>
          <cell r="AK18">
            <v>371178</v>
          </cell>
          <cell r="AP18">
            <v>374932</v>
          </cell>
          <cell r="AU18">
            <v>380674</v>
          </cell>
          <cell r="AZ18">
            <v>382793</v>
          </cell>
          <cell r="BE18">
            <v>417620</v>
          </cell>
          <cell r="BF18">
            <v>98396</v>
          </cell>
          <cell r="BG18">
            <v>103578</v>
          </cell>
          <cell r="BH18">
            <v>121975</v>
          </cell>
          <cell r="BI18">
            <v>107626</v>
          </cell>
          <cell r="BJ18">
            <v>431575</v>
          </cell>
          <cell r="BK18">
            <v>104396</v>
          </cell>
          <cell r="BL18">
            <v>113546</v>
          </cell>
          <cell r="BM18">
            <v>129594</v>
          </cell>
          <cell r="BN18">
            <v>120548</v>
          </cell>
          <cell r="BO18">
            <v>468084</v>
          </cell>
          <cell r="BP18">
            <v>115481</v>
          </cell>
          <cell r="BQ18">
            <v>120363</v>
          </cell>
          <cell r="BR18">
            <v>133994</v>
          </cell>
          <cell r="BS18">
            <v>125877</v>
          </cell>
          <cell r="BT18">
            <v>495715</v>
          </cell>
          <cell r="BY18">
            <v>516400</v>
          </cell>
          <cell r="CD18">
            <v>450984</v>
          </cell>
          <cell r="CI18">
            <v>468879</v>
          </cell>
          <cell r="CN18">
            <v>506107</v>
          </cell>
          <cell r="CS18">
            <v>569722</v>
          </cell>
          <cell r="CX18">
            <v>669248</v>
          </cell>
          <cell r="DC18">
            <v>734100</v>
          </cell>
          <cell r="DD18">
            <v>769900</v>
          </cell>
          <cell r="DE18">
            <v>804600</v>
          </cell>
          <cell r="DF18">
            <v>831200</v>
          </cell>
          <cell r="DG18">
            <v>854300</v>
          </cell>
        </row>
        <row r="19">
          <cell r="B19" t="str">
            <v>Cost of goods sold, COGS</v>
          </cell>
          <cell r="C19" t="str">
            <v>COST_GD_SD</v>
          </cell>
          <cell r="D19" t="str">
            <v>JPY</v>
          </cell>
          <cell r="F19">
            <v>-156686</v>
          </cell>
          <cell r="G19">
            <v>-155669</v>
          </cell>
          <cell r="H19">
            <v>-160231</v>
          </cell>
          <cell r="I19">
            <v>-162920</v>
          </cell>
          <cell r="J19">
            <v>-157871</v>
          </cell>
          <cell r="K19">
            <v>-150054</v>
          </cell>
          <cell r="L19">
            <v>-152651</v>
          </cell>
          <cell r="M19">
            <v>-157662</v>
          </cell>
          <cell r="N19">
            <v>-160258</v>
          </cell>
          <cell r="O19">
            <v>-161978</v>
          </cell>
          <cell r="P19">
            <v>-156876</v>
          </cell>
          <cell r="Q19">
            <v>-158209</v>
          </cell>
          <cell r="V19">
            <v>-175296</v>
          </cell>
          <cell r="AA19">
            <v>-195664</v>
          </cell>
          <cell r="AF19">
            <v>-202304</v>
          </cell>
          <cell r="AK19">
            <v>-203037</v>
          </cell>
          <cell r="AP19">
            <v>-203202</v>
          </cell>
          <cell r="AU19">
            <v>-213707</v>
          </cell>
          <cell r="AZ19">
            <v>-211346</v>
          </cell>
          <cell r="BE19">
            <v>-231309</v>
          </cell>
          <cell r="BJ19">
            <v>-242915</v>
          </cell>
          <cell r="BO19">
            <v>-260496</v>
          </cell>
          <cell r="BT19">
            <v>-270219</v>
          </cell>
          <cell r="BY19">
            <v>-282271</v>
          </cell>
          <cell r="CD19">
            <v>-295823</v>
          </cell>
          <cell r="CI19">
            <v>-301599</v>
          </cell>
          <cell r="CN19">
            <v>-324350</v>
          </cell>
          <cell r="CS19">
            <v>-375219</v>
          </cell>
          <cell r="CX19">
            <v>-448170</v>
          </cell>
          <cell r="DC19">
            <v>-493100</v>
          </cell>
          <cell r="DD19">
            <v>-514800</v>
          </cell>
          <cell r="DE19">
            <v>-538000</v>
          </cell>
          <cell r="DF19">
            <v>-553300</v>
          </cell>
          <cell r="DG19">
            <v>-566100</v>
          </cell>
        </row>
        <row r="20">
          <cell r="B20" t="str">
            <v>SG&amp;A, selling, general and admin. expense</v>
          </cell>
          <cell r="C20" t="str">
            <v>SEL_GL_AD</v>
          </cell>
          <cell r="D20" t="str">
            <v>JPY</v>
          </cell>
          <cell r="F20">
            <v>-89187</v>
          </cell>
          <cell r="G20">
            <v>-99385</v>
          </cell>
          <cell r="H20">
            <v>-104752</v>
          </cell>
          <cell r="I20">
            <v>-110781</v>
          </cell>
          <cell r="J20">
            <v>-108332</v>
          </cell>
          <cell r="K20">
            <v>-114854</v>
          </cell>
          <cell r="L20">
            <v>-121146</v>
          </cell>
          <cell r="M20">
            <v>-125983</v>
          </cell>
          <cell r="N20">
            <v>-128620</v>
          </cell>
          <cell r="O20">
            <v>-134850</v>
          </cell>
          <cell r="P20">
            <v>-131133</v>
          </cell>
          <cell r="Q20">
            <v>-131512</v>
          </cell>
          <cell r="V20">
            <v>-149207</v>
          </cell>
          <cell r="AA20">
            <v>-162133</v>
          </cell>
          <cell r="AF20">
            <v>-136200</v>
          </cell>
          <cell r="AK20">
            <v>-140799</v>
          </cell>
          <cell r="AP20">
            <v>-137192</v>
          </cell>
          <cell r="AU20">
            <v>-140755</v>
          </cell>
          <cell r="AZ20">
            <v>-147492</v>
          </cell>
          <cell r="BE20">
            <v>-158605</v>
          </cell>
          <cell r="BJ20">
            <v>-164358</v>
          </cell>
          <cell r="BO20">
            <v>-181188</v>
          </cell>
          <cell r="BT20">
            <v>-196878</v>
          </cell>
          <cell r="BY20">
            <v>-200016</v>
          </cell>
          <cell r="CD20">
            <v>-126283</v>
          </cell>
          <cell r="CI20">
            <v>-129485</v>
          </cell>
          <cell r="CN20">
            <v>-136590</v>
          </cell>
          <cell r="CS20">
            <v>-151518</v>
          </cell>
          <cell r="CX20">
            <v>-173823</v>
          </cell>
          <cell r="DC20">
            <v>-156900</v>
          </cell>
          <cell r="DD20">
            <v>-165300</v>
          </cell>
          <cell r="DE20">
            <v>-172900</v>
          </cell>
          <cell r="DF20">
            <v>-179100</v>
          </cell>
          <cell r="DG20">
            <v>-185000</v>
          </cell>
        </row>
        <row r="21">
          <cell r="B21" t="str">
            <v>Total operating expense</v>
          </cell>
          <cell r="C21" t="str">
            <v>OP_COST</v>
          </cell>
          <cell r="D21" t="str">
            <v>JPY</v>
          </cell>
          <cell r="F21">
            <v>-245873</v>
          </cell>
          <cell r="G21">
            <v>-255054</v>
          </cell>
          <cell r="H21">
            <v>-264983</v>
          </cell>
          <cell r="I21">
            <v>-273701</v>
          </cell>
          <cell r="J21">
            <v>-266203</v>
          </cell>
          <cell r="K21">
            <v>-264908</v>
          </cell>
          <cell r="L21">
            <v>-273797</v>
          </cell>
          <cell r="M21">
            <v>-283645</v>
          </cell>
          <cell r="N21">
            <v>-288878</v>
          </cell>
          <cell r="O21">
            <v>-296828</v>
          </cell>
          <cell r="P21">
            <v>-288009</v>
          </cell>
          <cell r="Q21">
            <v>-289721</v>
          </cell>
          <cell r="V21">
            <v>-324503</v>
          </cell>
          <cell r="AA21">
            <v>-357797</v>
          </cell>
          <cell r="AF21">
            <v>-338504</v>
          </cell>
          <cell r="AK21">
            <v>-343836</v>
          </cell>
          <cell r="AP21">
            <v>-340394</v>
          </cell>
          <cell r="AU21">
            <v>-354462</v>
          </cell>
          <cell r="AZ21">
            <v>-358838</v>
          </cell>
          <cell r="BE21">
            <v>-389914</v>
          </cell>
          <cell r="BJ21">
            <v>-407273</v>
          </cell>
          <cell r="BO21">
            <v>-441684</v>
          </cell>
          <cell r="BT21">
            <v>-467097</v>
          </cell>
          <cell r="BY21">
            <v>-482287</v>
          </cell>
          <cell r="CD21">
            <v>-422106</v>
          </cell>
          <cell r="CI21">
            <v>-431084</v>
          </cell>
          <cell r="CN21">
            <v>-460940</v>
          </cell>
          <cell r="CS21">
            <v>-526737</v>
          </cell>
          <cell r="CX21">
            <v>-621993</v>
          </cell>
          <cell r="DC21">
            <v>-650000</v>
          </cell>
          <cell r="DD21">
            <v>-680100</v>
          </cell>
          <cell r="DE21">
            <v>-710900</v>
          </cell>
          <cell r="DF21">
            <v>-732400</v>
          </cell>
          <cell r="DG21">
            <v>-751100</v>
          </cell>
        </row>
        <row r="22">
          <cell r="B22" t="str">
            <v>R&amp;D expense</v>
          </cell>
          <cell r="C22" t="str">
            <v>RD_EXP</v>
          </cell>
          <cell r="D22" t="str">
            <v>JPY</v>
          </cell>
        </row>
        <row r="23">
          <cell r="B23" t="str">
            <v>Other operating income/(expense) (incl. leases)</v>
          </cell>
          <cell r="C23" t="str">
            <v>OTH_OP_INC_EXP</v>
          </cell>
          <cell r="D23" t="str">
            <v>JPY</v>
          </cell>
          <cell r="G23">
            <v>-1</v>
          </cell>
          <cell r="H23">
            <v>-1</v>
          </cell>
          <cell r="I23">
            <v>-1</v>
          </cell>
          <cell r="K23">
            <v>-1</v>
          </cell>
          <cell r="L23">
            <v>-1</v>
          </cell>
          <cell r="M23">
            <v>-1</v>
          </cell>
          <cell r="N23">
            <v>-1</v>
          </cell>
          <cell r="O23">
            <v>-1</v>
          </cell>
          <cell r="P23">
            <v>-1</v>
          </cell>
          <cell r="V23">
            <v>-1</v>
          </cell>
          <cell r="AA23">
            <v>-1</v>
          </cell>
          <cell r="AF23">
            <v>-1</v>
          </cell>
          <cell r="AK23">
            <v>-1</v>
          </cell>
          <cell r="AP23">
            <v>-1</v>
          </cell>
          <cell r="AU23">
            <v>-1</v>
          </cell>
          <cell r="AZ23">
            <v>-1</v>
          </cell>
          <cell r="BE23">
            <v>-1</v>
          </cell>
          <cell r="CD23">
            <v>90</v>
          </cell>
          <cell r="CI23">
            <v>3458</v>
          </cell>
          <cell r="CN23">
            <v>4930</v>
          </cell>
          <cell r="CS23">
            <v>-26</v>
          </cell>
          <cell r="CX23">
            <v>384</v>
          </cell>
        </row>
        <row r="24">
          <cell r="B24" t="str">
            <v>Total operating expense (incl. D&amp;A)</v>
          </cell>
          <cell r="C24" t="str">
            <v>TOT_OPS_EXP_DDA</v>
          </cell>
          <cell r="D24" t="str">
            <v>JPY</v>
          </cell>
          <cell r="F24">
            <v>-245873</v>
          </cell>
          <cell r="G24">
            <v>-255055</v>
          </cell>
          <cell r="H24">
            <v>-264984</v>
          </cell>
          <cell r="I24">
            <v>-273702</v>
          </cell>
          <cell r="J24">
            <v>-266203</v>
          </cell>
          <cell r="K24">
            <v>-264909</v>
          </cell>
          <cell r="L24">
            <v>-273798</v>
          </cell>
          <cell r="M24">
            <v>-283646</v>
          </cell>
          <cell r="N24">
            <v>-288879</v>
          </cell>
          <cell r="O24">
            <v>-296829</v>
          </cell>
          <cell r="P24">
            <v>-288010</v>
          </cell>
          <cell r="Q24">
            <v>-289721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-324504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-357798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-338505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-343837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-340395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-354463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-358839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-389915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-407273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-441684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-467097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-482287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-422016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-427626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-456010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-526763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-621609</v>
          </cell>
          <cell r="DC24">
            <v>-650000</v>
          </cell>
          <cell r="DD24">
            <v>-680100</v>
          </cell>
          <cell r="DE24">
            <v>-710900</v>
          </cell>
          <cell r="DF24">
            <v>-732400</v>
          </cell>
          <cell r="DG24">
            <v>-751100</v>
          </cell>
        </row>
        <row r="25">
          <cell r="B25" t="str">
            <v>Total operating expense (excl. D&amp;A)</v>
          </cell>
          <cell r="C25" t="str">
            <v>TOT_OPS_EXP</v>
          </cell>
          <cell r="D25" t="str">
            <v>JPY</v>
          </cell>
          <cell r="F25">
            <v>-244911</v>
          </cell>
          <cell r="G25">
            <v>-254172</v>
          </cell>
          <cell r="H25">
            <v>-264099</v>
          </cell>
          <cell r="I25">
            <v>-272876</v>
          </cell>
          <cell r="J25">
            <v>-260927</v>
          </cell>
          <cell r="K25">
            <v>-256832</v>
          </cell>
          <cell r="L25">
            <v>-266214</v>
          </cell>
          <cell r="M25">
            <v>-276423</v>
          </cell>
          <cell r="N25">
            <v>-281420</v>
          </cell>
          <cell r="O25">
            <v>-289751</v>
          </cell>
          <cell r="P25">
            <v>-281336</v>
          </cell>
          <cell r="Q25">
            <v>-283745</v>
          </cell>
          <cell r="V25">
            <v>-318317</v>
          </cell>
          <cell r="AA25">
            <v>-350272</v>
          </cell>
          <cell r="AF25">
            <v>-330532</v>
          </cell>
          <cell r="AK25">
            <v>-334260</v>
          </cell>
          <cell r="AP25">
            <v>-327568</v>
          </cell>
          <cell r="AU25">
            <v>-339508</v>
          </cell>
          <cell r="AZ25">
            <v>-344495</v>
          </cell>
          <cell r="BE25">
            <v>-375399</v>
          </cell>
          <cell r="BJ25">
            <v>-391834</v>
          </cell>
          <cell r="BO25">
            <v>-423350.25</v>
          </cell>
          <cell r="BT25">
            <v>-449864.44549999997</v>
          </cell>
          <cell r="BY25">
            <v>-462472.74449999997</v>
          </cell>
          <cell r="CD25">
            <v>-401712</v>
          </cell>
          <cell r="CI25">
            <v>-400802.22899999999</v>
          </cell>
          <cell r="CN25">
            <v>-429144.45</v>
          </cell>
          <cell r="CS25">
            <v>-497431.147</v>
          </cell>
          <cell r="CX25">
            <v>-591911</v>
          </cell>
          <cell r="DC25">
            <v>-619400</v>
          </cell>
          <cell r="DD25">
            <v>-647300</v>
          </cell>
          <cell r="DE25">
            <v>-675300</v>
          </cell>
          <cell r="DF25">
            <v>-694300</v>
          </cell>
          <cell r="DG25">
            <v>-710300</v>
          </cell>
        </row>
        <row r="26">
          <cell r="B26" t="str">
            <v>EBITDA</v>
          </cell>
          <cell r="C26" t="str">
            <v>EBITDA_CALC</v>
          </cell>
          <cell r="D26" t="str">
            <v>JPY</v>
          </cell>
          <cell r="F26">
            <v>20728</v>
          </cell>
          <cell r="G26">
            <v>21764</v>
          </cell>
          <cell r="H26">
            <v>23736</v>
          </cell>
          <cell r="I26">
            <v>24675</v>
          </cell>
          <cell r="J26">
            <v>29950</v>
          </cell>
          <cell r="K26">
            <v>35708</v>
          </cell>
          <cell r="L26">
            <v>34867</v>
          </cell>
          <cell r="M26">
            <v>32039</v>
          </cell>
          <cell r="N26">
            <v>33859</v>
          </cell>
          <cell r="O26">
            <v>30281</v>
          </cell>
          <cell r="P26">
            <v>35636</v>
          </cell>
          <cell r="Q26">
            <v>37955</v>
          </cell>
          <cell r="V26">
            <v>39921</v>
          </cell>
          <cell r="AA26">
            <v>35197</v>
          </cell>
          <cell r="AF26">
            <v>31525</v>
          </cell>
          <cell r="AK26">
            <v>36918</v>
          </cell>
          <cell r="AP26">
            <v>47364</v>
          </cell>
          <cell r="AU26">
            <v>41166</v>
          </cell>
          <cell r="AZ26">
            <v>38298</v>
          </cell>
          <cell r="BE26">
            <v>42221</v>
          </cell>
          <cell r="BJ26">
            <v>39741</v>
          </cell>
          <cell r="BO26">
            <v>44733.75</v>
          </cell>
          <cell r="BT26">
            <v>45850.554499999998</v>
          </cell>
          <cell r="BY26">
            <v>53927.255499999999</v>
          </cell>
          <cell r="CD26">
            <v>49272</v>
          </cell>
          <cell r="CI26">
            <v>68076.770999999993</v>
          </cell>
          <cell r="CN26">
            <v>79247.55</v>
          </cell>
          <cell r="CS26">
            <v>78890.853000000003</v>
          </cell>
          <cell r="CX26">
            <v>89890</v>
          </cell>
          <cell r="DC26">
            <v>114700</v>
          </cell>
          <cell r="DD26">
            <v>122600</v>
          </cell>
          <cell r="DE26">
            <v>129300</v>
          </cell>
          <cell r="DF26">
            <v>136900</v>
          </cell>
          <cell r="DG26">
            <v>144000</v>
          </cell>
        </row>
        <row r="27">
          <cell r="B27" t="str">
            <v>Depreciation</v>
          </cell>
          <cell r="C27" t="str">
            <v>DEPREC</v>
          </cell>
          <cell r="D27" t="str">
            <v>JPY</v>
          </cell>
          <cell r="F27">
            <v>-962</v>
          </cell>
          <cell r="G27">
            <v>-883</v>
          </cell>
          <cell r="H27">
            <v>-885</v>
          </cell>
          <cell r="I27">
            <v>-826</v>
          </cell>
          <cell r="J27">
            <v>-5276</v>
          </cell>
          <cell r="K27">
            <v>-8077</v>
          </cell>
          <cell r="L27">
            <v>-7584</v>
          </cell>
          <cell r="M27">
            <v>-7223</v>
          </cell>
          <cell r="N27">
            <v>-7459</v>
          </cell>
          <cell r="O27">
            <v>-7078</v>
          </cell>
          <cell r="P27">
            <v>-6674</v>
          </cell>
          <cell r="Q27">
            <v>-5976</v>
          </cell>
          <cell r="V27">
            <v>-6187</v>
          </cell>
          <cell r="AA27">
            <v>-7526</v>
          </cell>
          <cell r="AF27">
            <v>-7973</v>
          </cell>
          <cell r="AK27">
            <v>-9577</v>
          </cell>
          <cell r="AP27">
            <v>-12827</v>
          </cell>
          <cell r="AU27">
            <v>-14955</v>
          </cell>
          <cell r="AZ27">
            <v>-14344</v>
          </cell>
          <cell r="BE27">
            <v>-14516</v>
          </cell>
          <cell r="BJ27">
            <v>-15439</v>
          </cell>
          <cell r="BO27">
            <v>-17499</v>
          </cell>
          <cell r="BT27">
            <v>-15400</v>
          </cell>
          <cell r="BY27">
            <v>-17896</v>
          </cell>
          <cell r="CD27">
            <v>-20304</v>
          </cell>
          <cell r="CI27">
            <v>-25191</v>
          </cell>
          <cell r="CN27">
            <v>-25363</v>
          </cell>
          <cell r="CS27">
            <v>-28240</v>
          </cell>
          <cell r="CX27">
            <v>-29198</v>
          </cell>
          <cell r="DC27">
            <v>-30100</v>
          </cell>
          <cell r="DD27">
            <v>-32300</v>
          </cell>
          <cell r="DE27">
            <v>-35100</v>
          </cell>
          <cell r="DF27">
            <v>-37600</v>
          </cell>
          <cell r="DG27">
            <v>-40300</v>
          </cell>
        </row>
        <row r="28">
          <cell r="B28" t="str">
            <v>Amortization</v>
          </cell>
          <cell r="C28" t="str">
            <v>GOODWILL_AMORT</v>
          </cell>
          <cell r="D28" t="str">
            <v>JPY</v>
          </cell>
          <cell r="BO28">
            <v>-834.75</v>
          </cell>
          <cell r="BT28">
            <v>-1832.5545</v>
          </cell>
          <cell r="BY28">
            <v>-1918.2555</v>
          </cell>
          <cell r="CI28">
            <v>-1632.771</v>
          </cell>
          <cell r="CN28">
            <v>-1502.55</v>
          </cell>
          <cell r="CS28">
            <v>-1091.8530000000001</v>
          </cell>
          <cell r="CX28">
            <v>-500</v>
          </cell>
          <cell r="DC28">
            <v>-500</v>
          </cell>
          <cell r="DD28">
            <v>-500</v>
          </cell>
          <cell r="DE28">
            <v>-500</v>
          </cell>
          <cell r="DF28">
            <v>-500</v>
          </cell>
          <cell r="DG28">
            <v>-500</v>
          </cell>
        </row>
        <row r="29">
          <cell r="B29" t="str">
            <v>EBIT, operating profit</v>
          </cell>
          <cell r="C29" t="str">
            <v>EBIT</v>
          </cell>
          <cell r="D29" t="str">
            <v>JPY</v>
          </cell>
          <cell r="F29">
            <v>19766</v>
          </cell>
          <cell r="G29">
            <v>20881</v>
          </cell>
          <cell r="H29">
            <v>22851</v>
          </cell>
          <cell r="I29">
            <v>23849</v>
          </cell>
          <cell r="J29">
            <v>24674</v>
          </cell>
          <cell r="K29">
            <v>27631</v>
          </cell>
          <cell r="L29">
            <v>27283</v>
          </cell>
          <cell r="M29">
            <v>24816</v>
          </cell>
          <cell r="N29">
            <v>26400</v>
          </cell>
          <cell r="O29">
            <v>23203</v>
          </cell>
          <cell r="P29">
            <v>28962</v>
          </cell>
          <cell r="Q29">
            <v>31979</v>
          </cell>
          <cell r="V29">
            <v>33734</v>
          </cell>
          <cell r="AA29">
            <v>27671</v>
          </cell>
          <cell r="AF29">
            <v>23552</v>
          </cell>
          <cell r="AK29">
            <v>27341</v>
          </cell>
          <cell r="AP29">
            <v>34537</v>
          </cell>
          <cell r="AU29">
            <v>26211</v>
          </cell>
          <cell r="AZ29">
            <v>23954</v>
          </cell>
          <cell r="BE29">
            <v>27705</v>
          </cell>
          <cell r="BJ29">
            <v>24302</v>
          </cell>
          <cell r="BO29">
            <v>26400</v>
          </cell>
          <cell r="BT29">
            <v>28618</v>
          </cell>
          <cell r="BY29">
            <v>34113</v>
          </cell>
          <cell r="CD29">
            <v>28968</v>
          </cell>
          <cell r="CI29">
            <v>41253</v>
          </cell>
          <cell r="CN29">
            <v>52382</v>
          </cell>
          <cell r="CS29">
            <v>49559</v>
          </cell>
          <cell r="CX29">
            <v>60192</v>
          </cell>
          <cell r="DC29">
            <v>84100</v>
          </cell>
          <cell r="DD29">
            <v>89800</v>
          </cell>
          <cell r="DE29">
            <v>93700</v>
          </cell>
          <cell r="DF29">
            <v>98800</v>
          </cell>
          <cell r="DG29">
            <v>103200</v>
          </cell>
        </row>
        <row r="30">
          <cell r="B30" t="str">
            <v>Interest income</v>
          </cell>
          <cell r="C30" t="str">
            <v>INT_INC_IND</v>
          </cell>
          <cell r="D30" t="str">
            <v>JPY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V30">
            <v>1498</v>
          </cell>
          <cell r="AA30">
            <v>1774</v>
          </cell>
          <cell r="AF30">
            <v>1761</v>
          </cell>
          <cell r="AK30">
            <v>1316</v>
          </cell>
          <cell r="AP30">
            <v>1023</v>
          </cell>
          <cell r="AU30">
            <v>927</v>
          </cell>
          <cell r="AZ30">
            <v>837</v>
          </cell>
          <cell r="BE30">
            <v>1084</v>
          </cell>
          <cell r="BJ30">
            <v>889</v>
          </cell>
          <cell r="BO30">
            <v>932</v>
          </cell>
          <cell r="BT30">
            <v>811</v>
          </cell>
          <cell r="BY30">
            <v>1163</v>
          </cell>
          <cell r="CD30">
            <v>2525</v>
          </cell>
          <cell r="CI30">
            <v>2544</v>
          </cell>
          <cell r="CN30">
            <v>1895</v>
          </cell>
          <cell r="CS30">
            <v>3071</v>
          </cell>
          <cell r="CX30">
            <v>3256</v>
          </cell>
          <cell r="DC30">
            <v>3000</v>
          </cell>
          <cell r="DD30">
            <v>2300</v>
          </cell>
          <cell r="DE30">
            <v>1700</v>
          </cell>
          <cell r="DF30">
            <v>1100</v>
          </cell>
          <cell r="DG30">
            <v>900</v>
          </cell>
        </row>
        <row r="31">
          <cell r="B31" t="str">
            <v>Interest expense</v>
          </cell>
          <cell r="C31" t="str">
            <v>INT_EXP_IND</v>
          </cell>
          <cell r="D31" t="str">
            <v>JPY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-183</v>
          </cell>
          <cell r="L31">
            <v>-150</v>
          </cell>
          <cell r="M31">
            <v>-127</v>
          </cell>
          <cell r="N31">
            <v>-48</v>
          </cell>
          <cell r="O31">
            <v>-53</v>
          </cell>
          <cell r="P31">
            <v>-43</v>
          </cell>
          <cell r="Q31">
            <v>-40</v>
          </cell>
          <cell r="V31">
            <v>-48</v>
          </cell>
          <cell r="AA31">
            <v>-60</v>
          </cell>
          <cell r="AF31">
            <v>-83</v>
          </cell>
          <cell r="AK31">
            <v>-198</v>
          </cell>
          <cell r="AP31">
            <v>-214</v>
          </cell>
          <cell r="AU31">
            <v>-217</v>
          </cell>
          <cell r="AZ31">
            <v>-213</v>
          </cell>
          <cell r="BE31">
            <v>-250</v>
          </cell>
          <cell r="BJ31">
            <v>-247</v>
          </cell>
          <cell r="BO31">
            <v>-343</v>
          </cell>
          <cell r="BT31">
            <v>-356</v>
          </cell>
          <cell r="BY31">
            <v>-432</v>
          </cell>
          <cell r="CD31">
            <v>-326</v>
          </cell>
          <cell r="CI31">
            <v>-1147</v>
          </cell>
          <cell r="CN31">
            <v>-1193</v>
          </cell>
          <cell r="CS31">
            <v>-503</v>
          </cell>
          <cell r="CX31">
            <v>-943</v>
          </cell>
          <cell r="DC31">
            <v>-500</v>
          </cell>
          <cell r="DD31">
            <v>-500</v>
          </cell>
          <cell r="DE31">
            <v>-500</v>
          </cell>
          <cell r="DF31">
            <v>-500</v>
          </cell>
          <cell r="DG31">
            <v>-500</v>
          </cell>
        </row>
        <row r="32">
          <cell r="B32" t="str">
            <v>Net interest income/(expense)</v>
          </cell>
          <cell r="C32" t="str">
            <v>NET_INT_EXP</v>
          </cell>
          <cell r="D32" t="str">
            <v>JPY</v>
          </cell>
          <cell r="K32">
            <v>-183</v>
          </cell>
          <cell r="L32">
            <v>-150</v>
          </cell>
          <cell r="M32">
            <v>-127</v>
          </cell>
          <cell r="N32">
            <v>-48</v>
          </cell>
          <cell r="O32">
            <v>-53</v>
          </cell>
          <cell r="P32">
            <v>-43</v>
          </cell>
          <cell r="Q32">
            <v>-40</v>
          </cell>
          <cell r="V32">
            <v>1450</v>
          </cell>
          <cell r="AA32">
            <v>1714</v>
          </cell>
          <cell r="AF32">
            <v>1678</v>
          </cell>
          <cell r="AK32">
            <v>1118</v>
          </cell>
          <cell r="AP32">
            <v>809</v>
          </cell>
          <cell r="AU32">
            <v>710</v>
          </cell>
          <cell r="AZ32">
            <v>624</v>
          </cell>
          <cell r="BE32">
            <v>834</v>
          </cell>
          <cell r="BJ32">
            <v>642</v>
          </cell>
          <cell r="BO32">
            <v>589</v>
          </cell>
          <cell r="BT32">
            <v>455</v>
          </cell>
          <cell r="BY32">
            <v>731</v>
          </cell>
          <cell r="CD32">
            <v>2199</v>
          </cell>
          <cell r="CI32">
            <v>1397</v>
          </cell>
          <cell r="CN32">
            <v>702</v>
          </cell>
          <cell r="CS32">
            <v>2568</v>
          </cell>
          <cell r="CX32">
            <v>2313</v>
          </cell>
          <cell r="DC32">
            <v>2500</v>
          </cell>
          <cell r="DD32">
            <v>1800</v>
          </cell>
          <cell r="DE32">
            <v>1200</v>
          </cell>
          <cell r="DF32">
            <v>600</v>
          </cell>
          <cell r="DG32">
            <v>400</v>
          </cell>
        </row>
        <row r="33">
          <cell r="B33" t="str">
            <v>Income/(loss) from unconsolidated subs &amp; associates</v>
          </cell>
          <cell r="C33" t="str">
            <v>ASSOCIATE</v>
          </cell>
          <cell r="D33" t="str">
            <v>JPY</v>
          </cell>
          <cell r="F33">
            <v>-612</v>
          </cell>
          <cell r="G33">
            <v>-640</v>
          </cell>
          <cell r="H33">
            <v>-684</v>
          </cell>
          <cell r="I33">
            <v>1113</v>
          </cell>
          <cell r="K33">
            <v>583</v>
          </cell>
          <cell r="L33">
            <v>611</v>
          </cell>
          <cell r="M33">
            <v>525</v>
          </cell>
          <cell r="N33">
            <v>290</v>
          </cell>
          <cell r="O33">
            <v>317</v>
          </cell>
          <cell r="P33">
            <v>427</v>
          </cell>
          <cell r="Q33">
            <v>485</v>
          </cell>
          <cell r="V33">
            <v>475</v>
          </cell>
          <cell r="AA33">
            <v>1201</v>
          </cell>
          <cell r="AF33">
            <v>765</v>
          </cell>
          <cell r="AK33">
            <v>1471</v>
          </cell>
          <cell r="AP33">
            <v>1510</v>
          </cell>
          <cell r="AU33">
            <v>1146</v>
          </cell>
          <cell r="AZ33">
            <v>1888</v>
          </cell>
          <cell r="BE33">
            <v>2153</v>
          </cell>
          <cell r="BJ33">
            <v>2929</v>
          </cell>
          <cell r="BO33">
            <v>2781</v>
          </cell>
          <cell r="BT33">
            <v>1687</v>
          </cell>
          <cell r="BY33">
            <v>2680</v>
          </cell>
        </row>
        <row r="34">
          <cell r="B34" t="str">
            <v>Profit/(loss) on disposals of assets, pre-tax</v>
          </cell>
          <cell r="C34" t="str">
            <v>PROFIT_ON_DISP</v>
          </cell>
          <cell r="D34" t="str">
            <v>JPY</v>
          </cell>
        </row>
        <row r="35">
          <cell r="B35" t="str">
            <v>Other non-ops income/(expense)</v>
          </cell>
          <cell r="C35" t="str">
            <v>OTH_COST_INC</v>
          </cell>
          <cell r="D35" t="str">
            <v>JPY</v>
          </cell>
          <cell r="F35">
            <v>1557</v>
          </cell>
          <cell r="G35">
            <v>2153</v>
          </cell>
          <cell r="H35">
            <v>-500</v>
          </cell>
          <cell r="I35">
            <v>-8575</v>
          </cell>
          <cell r="J35">
            <v>-5607</v>
          </cell>
          <cell r="K35">
            <v>-379</v>
          </cell>
          <cell r="L35">
            <v>-2848</v>
          </cell>
          <cell r="M35">
            <v>-5140</v>
          </cell>
          <cell r="N35">
            <v>-1122</v>
          </cell>
          <cell r="O35">
            <v>1238</v>
          </cell>
          <cell r="P35">
            <v>-2274</v>
          </cell>
          <cell r="Q35">
            <v>-2613</v>
          </cell>
          <cell r="V35">
            <v>-2081</v>
          </cell>
          <cell r="AA35">
            <v>-2898</v>
          </cell>
          <cell r="AF35">
            <v>-2623</v>
          </cell>
          <cell r="AK35">
            <v>1224</v>
          </cell>
          <cell r="AP35">
            <v>-2173</v>
          </cell>
          <cell r="AU35">
            <v>3553</v>
          </cell>
          <cell r="AZ35">
            <v>2926</v>
          </cell>
          <cell r="BE35">
            <v>1033</v>
          </cell>
          <cell r="BJ35">
            <v>1141</v>
          </cell>
          <cell r="BO35">
            <v>7208</v>
          </cell>
          <cell r="BT35">
            <v>4757</v>
          </cell>
          <cell r="BY35">
            <v>1</v>
          </cell>
          <cell r="CD35">
            <v>-1</v>
          </cell>
          <cell r="CN35">
            <v>3149</v>
          </cell>
          <cell r="CS35">
            <v>-2945</v>
          </cell>
          <cell r="CX35">
            <v>-4555</v>
          </cell>
          <cell r="DC35">
            <v>-5000</v>
          </cell>
          <cell r="DD35">
            <v>-5000</v>
          </cell>
          <cell r="DE35">
            <v>-5000</v>
          </cell>
          <cell r="DF35">
            <v>-5000</v>
          </cell>
          <cell r="DG35">
            <v>-5000</v>
          </cell>
        </row>
        <row r="36">
          <cell r="B36" t="str">
            <v>Pre-tax profit</v>
          </cell>
          <cell r="C36" t="str">
            <v>PT_PROF</v>
          </cell>
          <cell r="D36" t="str">
            <v>JPY</v>
          </cell>
          <cell r="F36">
            <v>20711</v>
          </cell>
          <cell r="G36">
            <v>22394</v>
          </cell>
          <cell r="H36">
            <v>21667</v>
          </cell>
          <cell r="I36">
            <v>16387</v>
          </cell>
          <cell r="J36">
            <v>19067</v>
          </cell>
          <cell r="K36">
            <v>27652</v>
          </cell>
          <cell r="L36">
            <v>24896</v>
          </cell>
          <cell r="M36">
            <v>20074</v>
          </cell>
          <cell r="N36">
            <v>25520</v>
          </cell>
          <cell r="O36">
            <v>24705</v>
          </cell>
          <cell r="P36">
            <v>27072</v>
          </cell>
          <cell r="Q36">
            <v>29811</v>
          </cell>
          <cell r="V36">
            <v>33578</v>
          </cell>
          <cell r="AA36">
            <v>27688</v>
          </cell>
          <cell r="AF36">
            <v>23372</v>
          </cell>
          <cell r="AK36">
            <v>31154</v>
          </cell>
          <cell r="AP36">
            <v>34683</v>
          </cell>
          <cell r="AU36">
            <v>31620</v>
          </cell>
          <cell r="AZ36">
            <v>29392</v>
          </cell>
          <cell r="BE36">
            <v>31725</v>
          </cell>
          <cell r="BJ36">
            <v>29014</v>
          </cell>
          <cell r="BO36">
            <v>36978</v>
          </cell>
          <cell r="BT36">
            <v>35517</v>
          </cell>
          <cell r="BY36">
            <v>37525</v>
          </cell>
          <cell r="CD36">
            <v>31166</v>
          </cell>
          <cell r="CI36">
            <v>42650</v>
          </cell>
          <cell r="CN36">
            <v>56233</v>
          </cell>
          <cell r="CS36">
            <v>49182</v>
          </cell>
          <cell r="CX36">
            <v>57950</v>
          </cell>
          <cell r="DC36">
            <v>81600</v>
          </cell>
          <cell r="DD36">
            <v>86600</v>
          </cell>
          <cell r="DE36">
            <v>89900</v>
          </cell>
          <cell r="DF36">
            <v>94400</v>
          </cell>
          <cell r="DG36">
            <v>98600</v>
          </cell>
        </row>
        <row r="37">
          <cell r="A37" t="str">
            <v>Additional Income Statement Items</v>
          </cell>
        </row>
        <row r="38">
          <cell r="B38" t="str">
            <v>Contribution margin ratio</v>
          </cell>
          <cell r="C38" t="str">
            <v>CONTRIB_MARGIN_RATIO</v>
          </cell>
          <cell r="D38" t="str">
            <v>JPY</v>
          </cell>
        </row>
        <row r="39">
          <cell r="B39" t="str">
            <v>Organic sales growth (excl. acquisitions)</v>
          </cell>
          <cell r="C39" t="str">
            <v>ORG_REV_GRTH</v>
          </cell>
          <cell r="AZ39">
            <v>5.5664426780000003E-3</v>
          </cell>
          <cell r="BE39">
            <v>9.0981287536999994E-2</v>
          </cell>
        </row>
        <row r="40">
          <cell r="B40" t="str">
            <v>Operating lease cost</v>
          </cell>
          <cell r="C40" t="str">
            <v>LEASE_PAY</v>
          </cell>
          <cell r="D40" t="str">
            <v>JPY</v>
          </cell>
        </row>
        <row r="41">
          <cell r="B41" t="str">
            <v>Lease payments (deemed interest portion)</v>
          </cell>
          <cell r="C41" t="str">
            <v>LEASE_DEEM_INT</v>
          </cell>
          <cell r="D41" t="str">
            <v>JPY</v>
          </cell>
        </row>
        <row r="42">
          <cell r="B42" t="str">
            <v>Lease payments (deemed depreciation portion)</v>
          </cell>
          <cell r="C42" t="str">
            <v>LEASE_DEEM_DEPR</v>
          </cell>
          <cell r="D42" t="str">
            <v>JPY</v>
          </cell>
        </row>
        <row r="43">
          <cell r="B43" t="str">
            <v>Gross interest charge</v>
          </cell>
          <cell r="C43" t="str">
            <v>NET_INT_CH</v>
          </cell>
          <cell r="D43" t="str">
            <v>JPY</v>
          </cell>
          <cell r="K43">
            <v>-183</v>
          </cell>
          <cell r="L43">
            <v>-150</v>
          </cell>
          <cell r="M43">
            <v>-127</v>
          </cell>
          <cell r="N43">
            <v>-48</v>
          </cell>
          <cell r="O43">
            <v>-53</v>
          </cell>
          <cell r="P43">
            <v>-43</v>
          </cell>
          <cell r="Q43">
            <v>-40</v>
          </cell>
          <cell r="V43">
            <v>-48</v>
          </cell>
          <cell r="AA43">
            <v>-60</v>
          </cell>
          <cell r="AF43">
            <v>-83</v>
          </cell>
          <cell r="AK43">
            <v>-198</v>
          </cell>
          <cell r="AP43">
            <v>-214</v>
          </cell>
          <cell r="AU43">
            <v>-217</v>
          </cell>
          <cell r="AZ43">
            <v>-213</v>
          </cell>
          <cell r="BE43">
            <v>-250</v>
          </cell>
          <cell r="BJ43">
            <v>-247</v>
          </cell>
          <cell r="BO43">
            <v>-343</v>
          </cell>
          <cell r="BT43">
            <v>-356</v>
          </cell>
          <cell r="BY43">
            <v>-432</v>
          </cell>
          <cell r="CD43">
            <v>-326</v>
          </cell>
          <cell r="CI43">
            <v>-1147</v>
          </cell>
          <cell r="CN43">
            <v>-1193</v>
          </cell>
          <cell r="CS43">
            <v>-503</v>
          </cell>
          <cell r="CX43">
            <v>-943</v>
          </cell>
          <cell r="DC43">
            <v>-500</v>
          </cell>
          <cell r="DD43">
            <v>-500</v>
          </cell>
          <cell r="DE43">
            <v>-500</v>
          </cell>
          <cell r="DF43">
            <v>-500</v>
          </cell>
          <cell r="DG43">
            <v>-500</v>
          </cell>
        </row>
        <row r="44">
          <cell r="B44" t="str">
            <v>Income from associates (operating)</v>
          </cell>
          <cell r="C44" t="str">
            <v>ASSOCIATE_OP</v>
          </cell>
          <cell r="D44" t="str">
            <v>JPY</v>
          </cell>
        </row>
        <row r="45">
          <cell r="B45" t="str">
            <v>SG&amp;A, selling, general and admin. expense</v>
          </cell>
          <cell r="C45" t="str">
            <v>SGA_JPN</v>
          </cell>
          <cell r="D45" t="str">
            <v>JPY</v>
          </cell>
          <cell r="F45">
            <v>-89187</v>
          </cell>
          <cell r="G45">
            <v>-99385</v>
          </cell>
          <cell r="H45">
            <v>-104752</v>
          </cell>
          <cell r="I45">
            <v>-110781</v>
          </cell>
          <cell r="J45">
            <v>-108332</v>
          </cell>
          <cell r="K45">
            <v>-114854</v>
          </cell>
          <cell r="L45">
            <v>-121146</v>
          </cell>
          <cell r="M45">
            <v>-125983</v>
          </cell>
          <cell r="N45">
            <v>-128620</v>
          </cell>
          <cell r="O45">
            <v>-134850</v>
          </cell>
          <cell r="P45">
            <v>-131133</v>
          </cell>
          <cell r="Q45">
            <v>-131512</v>
          </cell>
          <cell r="V45">
            <v>-149207</v>
          </cell>
          <cell r="AA45">
            <v>-162133</v>
          </cell>
          <cell r="AF45">
            <v>-136200</v>
          </cell>
          <cell r="AK45">
            <v>-140799</v>
          </cell>
          <cell r="AP45">
            <v>-137192</v>
          </cell>
          <cell r="AU45">
            <v>-140755</v>
          </cell>
          <cell r="AZ45">
            <v>-147492</v>
          </cell>
          <cell r="BE45">
            <v>-158605</v>
          </cell>
          <cell r="BJ45">
            <v>-164358</v>
          </cell>
          <cell r="BO45">
            <v>-181188</v>
          </cell>
          <cell r="BT45">
            <v>-196878</v>
          </cell>
          <cell r="BY45">
            <v>-200016</v>
          </cell>
          <cell r="CD45">
            <v>-126283</v>
          </cell>
          <cell r="CI45">
            <v>-129485</v>
          </cell>
          <cell r="CN45">
            <v>-136590</v>
          </cell>
          <cell r="CS45">
            <v>-151518</v>
          </cell>
          <cell r="CX45">
            <v>-173823</v>
          </cell>
          <cell r="DC45">
            <v>-156900</v>
          </cell>
          <cell r="DD45">
            <v>-165300</v>
          </cell>
          <cell r="DE45">
            <v>-172900</v>
          </cell>
          <cell r="DF45">
            <v>-179100</v>
          </cell>
          <cell r="DG45">
            <v>-185000</v>
          </cell>
        </row>
        <row r="46">
          <cell r="B46" t="str">
            <v>Gross profit</v>
          </cell>
          <cell r="C46" t="str">
            <v>GP_JPN</v>
          </cell>
          <cell r="D46" t="str">
            <v>JPY</v>
          </cell>
          <cell r="F46">
            <v>108953</v>
          </cell>
          <cell r="G46">
            <v>120267</v>
          </cell>
          <cell r="H46">
            <v>127604</v>
          </cell>
          <cell r="I46">
            <v>134631</v>
          </cell>
          <cell r="J46">
            <v>133006</v>
          </cell>
          <cell r="K46">
            <v>142486</v>
          </cell>
          <cell r="L46">
            <v>148430</v>
          </cell>
          <cell r="M46">
            <v>150800</v>
          </cell>
          <cell r="N46">
            <v>155021</v>
          </cell>
          <cell r="O46">
            <v>158054</v>
          </cell>
          <cell r="P46">
            <v>160096</v>
          </cell>
          <cell r="Q46">
            <v>163491</v>
          </cell>
          <cell r="V46">
            <v>182942</v>
          </cell>
          <cell r="AA46">
            <v>189805</v>
          </cell>
          <cell r="AF46">
            <v>159753</v>
          </cell>
          <cell r="AK46">
            <v>168141</v>
          </cell>
          <cell r="AP46">
            <v>171730</v>
          </cell>
          <cell r="AU46">
            <v>166967</v>
          </cell>
          <cell r="AZ46">
            <v>171447</v>
          </cell>
          <cell r="BE46">
            <v>186311</v>
          </cell>
          <cell r="BJ46">
            <v>188660</v>
          </cell>
          <cell r="BO46">
            <v>207588</v>
          </cell>
          <cell r="BT46">
            <v>225496</v>
          </cell>
          <cell r="BY46">
            <v>234129</v>
          </cell>
          <cell r="CD46">
            <v>155161</v>
          </cell>
          <cell r="CI46">
            <v>167280</v>
          </cell>
          <cell r="CN46">
            <v>181757</v>
          </cell>
          <cell r="CS46">
            <v>194503</v>
          </cell>
          <cell r="CX46">
            <v>221078</v>
          </cell>
          <cell r="DC46">
            <v>241000</v>
          </cell>
          <cell r="DD46">
            <v>255100</v>
          </cell>
          <cell r="DE46">
            <v>266600</v>
          </cell>
          <cell r="DF46">
            <v>277900</v>
          </cell>
          <cell r="DG46">
            <v>288200</v>
          </cell>
        </row>
        <row r="47">
          <cell r="B47" t="str">
            <v>EBITDA adjustment</v>
          </cell>
          <cell r="C47" t="str">
            <v>EBITDA_ADJ</v>
          </cell>
          <cell r="D47" t="str">
            <v>JPY</v>
          </cell>
        </row>
        <row r="48">
          <cell r="B48" t="str">
            <v>EBITDA</v>
          </cell>
          <cell r="C48" t="str">
            <v>EBITDA_JPN</v>
          </cell>
          <cell r="D48" t="str">
            <v>JPY</v>
          </cell>
          <cell r="F48">
            <v>20728</v>
          </cell>
          <cell r="G48">
            <v>21764</v>
          </cell>
          <cell r="H48">
            <v>23736</v>
          </cell>
          <cell r="I48">
            <v>24675</v>
          </cell>
          <cell r="J48">
            <v>29950</v>
          </cell>
          <cell r="K48">
            <v>35708</v>
          </cell>
          <cell r="L48">
            <v>34867</v>
          </cell>
          <cell r="M48">
            <v>32039</v>
          </cell>
          <cell r="N48">
            <v>33859</v>
          </cell>
          <cell r="O48">
            <v>30281</v>
          </cell>
          <cell r="P48">
            <v>35636</v>
          </cell>
          <cell r="Q48">
            <v>37955</v>
          </cell>
          <cell r="V48">
            <v>39921</v>
          </cell>
          <cell r="AA48">
            <v>35197</v>
          </cell>
          <cell r="AF48">
            <v>31525</v>
          </cell>
          <cell r="AK48">
            <v>36918</v>
          </cell>
          <cell r="AP48">
            <v>47364</v>
          </cell>
          <cell r="AU48">
            <v>41166</v>
          </cell>
          <cell r="AZ48">
            <v>38298</v>
          </cell>
          <cell r="BE48">
            <v>42221</v>
          </cell>
          <cell r="BJ48">
            <v>39741</v>
          </cell>
          <cell r="BO48">
            <v>44733.75</v>
          </cell>
          <cell r="BT48">
            <v>45850.554499999998</v>
          </cell>
          <cell r="BY48">
            <v>53927.255499999999</v>
          </cell>
          <cell r="CD48">
            <v>49272</v>
          </cell>
          <cell r="CI48">
            <v>68076.770999999993</v>
          </cell>
          <cell r="CN48">
            <v>79247.55</v>
          </cell>
          <cell r="CS48">
            <v>78890.853000000003</v>
          </cell>
          <cell r="CX48">
            <v>89890</v>
          </cell>
          <cell r="DC48">
            <v>114700</v>
          </cell>
          <cell r="DD48">
            <v>122600</v>
          </cell>
          <cell r="DE48">
            <v>129300</v>
          </cell>
          <cell r="DF48">
            <v>136900</v>
          </cell>
          <cell r="DG48">
            <v>144000</v>
          </cell>
        </row>
        <row r="49">
          <cell r="B49" t="str">
            <v>Income/(loss) from unconsolidated subs &amp; associates</v>
          </cell>
          <cell r="C49" t="str">
            <v>ASSOCIATE_JPN</v>
          </cell>
          <cell r="D49" t="str">
            <v>JPY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583</v>
          </cell>
          <cell r="L49">
            <v>611</v>
          </cell>
          <cell r="M49">
            <v>525</v>
          </cell>
          <cell r="N49">
            <v>290</v>
          </cell>
          <cell r="O49">
            <v>317</v>
          </cell>
          <cell r="P49">
            <v>427</v>
          </cell>
          <cell r="Q49">
            <v>485</v>
          </cell>
          <cell r="V49">
            <v>475</v>
          </cell>
          <cell r="AA49">
            <v>1201</v>
          </cell>
          <cell r="AF49">
            <v>765</v>
          </cell>
          <cell r="AK49">
            <v>1471</v>
          </cell>
          <cell r="AP49">
            <v>1510</v>
          </cell>
          <cell r="AU49">
            <v>1146</v>
          </cell>
          <cell r="AZ49">
            <v>1888</v>
          </cell>
          <cell r="BE49">
            <v>2153</v>
          </cell>
          <cell r="BJ49">
            <v>2929</v>
          </cell>
          <cell r="BO49">
            <v>2781</v>
          </cell>
          <cell r="BT49">
            <v>0</v>
          </cell>
          <cell r="BY49">
            <v>0</v>
          </cell>
          <cell r="CD49">
            <v>0</v>
          </cell>
          <cell r="CI49">
            <v>0</v>
          </cell>
          <cell r="CN49">
            <v>0</v>
          </cell>
          <cell r="CS49">
            <v>0</v>
          </cell>
          <cell r="CX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</row>
        <row r="50">
          <cell r="B50" t="str">
            <v>Income/(loss) from unconsolidated subs &amp; associates (SEC)</v>
          </cell>
          <cell r="C50" t="str">
            <v>ASSOCIATE_SEC_JPN</v>
          </cell>
          <cell r="D50" t="str">
            <v>JPY</v>
          </cell>
          <cell r="F50">
            <v>-612</v>
          </cell>
          <cell r="G50">
            <v>-640</v>
          </cell>
          <cell r="H50">
            <v>-684</v>
          </cell>
          <cell r="I50">
            <v>1113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V50">
            <v>0</v>
          </cell>
          <cell r="AA50">
            <v>0</v>
          </cell>
          <cell r="AF50">
            <v>0</v>
          </cell>
          <cell r="AK50">
            <v>0</v>
          </cell>
          <cell r="AP50">
            <v>0</v>
          </cell>
          <cell r="AU50">
            <v>0</v>
          </cell>
          <cell r="AZ50">
            <v>0</v>
          </cell>
          <cell r="BE50">
            <v>0</v>
          </cell>
          <cell r="BJ50">
            <v>0</v>
          </cell>
          <cell r="BO50">
            <v>0</v>
          </cell>
          <cell r="BT50">
            <v>1687</v>
          </cell>
          <cell r="BY50">
            <v>2680</v>
          </cell>
          <cell r="CD50">
            <v>0</v>
          </cell>
          <cell r="CI50">
            <v>0</v>
          </cell>
          <cell r="CN50">
            <v>0</v>
          </cell>
          <cell r="CS50">
            <v>0</v>
          </cell>
          <cell r="CX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</row>
        <row r="51">
          <cell r="B51" t="str">
            <v>Other non-operating income/(expense)</v>
          </cell>
          <cell r="C51" t="str">
            <v>OTH_NOP_INC_EXP_JPN</v>
          </cell>
          <cell r="D51" t="str">
            <v>JPY</v>
          </cell>
          <cell r="F51">
            <v>1493</v>
          </cell>
          <cell r="G51">
            <v>1967</v>
          </cell>
          <cell r="H51">
            <v>478</v>
          </cell>
          <cell r="I51">
            <v>194</v>
          </cell>
          <cell r="J51">
            <v>2213</v>
          </cell>
          <cell r="K51">
            <v>2298</v>
          </cell>
          <cell r="L51">
            <v>5393</v>
          </cell>
          <cell r="M51">
            <v>4779</v>
          </cell>
          <cell r="N51">
            <v>2034</v>
          </cell>
          <cell r="O51">
            <v>2153</v>
          </cell>
          <cell r="P51">
            <v>3837</v>
          </cell>
          <cell r="Q51">
            <v>7102</v>
          </cell>
          <cell r="V51">
            <v>2184</v>
          </cell>
          <cell r="AA51">
            <v>2212</v>
          </cell>
          <cell r="AF51">
            <v>2753</v>
          </cell>
          <cell r="AK51">
            <v>2864</v>
          </cell>
          <cell r="AP51">
            <v>-438</v>
          </cell>
          <cell r="AU51">
            <v>32</v>
          </cell>
          <cell r="AZ51">
            <v>4498</v>
          </cell>
          <cell r="BE51">
            <v>4148</v>
          </cell>
          <cell r="BJ51">
            <v>5107</v>
          </cell>
          <cell r="BO51">
            <v>963</v>
          </cell>
          <cell r="BT51">
            <v>3791</v>
          </cell>
          <cell r="BY51">
            <v>5744</v>
          </cell>
          <cell r="CD51">
            <v>3965</v>
          </cell>
          <cell r="CI51">
            <v>4542</v>
          </cell>
          <cell r="CN51">
            <v>-53084</v>
          </cell>
          <cell r="CS51">
            <v>-52127</v>
          </cell>
          <cell r="CX51">
            <v>-62505</v>
          </cell>
          <cell r="DC51">
            <v>-86600</v>
          </cell>
          <cell r="DD51">
            <v>-91600</v>
          </cell>
          <cell r="DE51">
            <v>-94900</v>
          </cell>
          <cell r="DF51">
            <v>-99400</v>
          </cell>
          <cell r="DG51">
            <v>-103600</v>
          </cell>
        </row>
        <row r="52">
          <cell r="B52" t="str">
            <v>Extraordinary income</v>
          </cell>
          <cell r="C52" t="str">
            <v>EXTRA_INC_JPN</v>
          </cell>
          <cell r="D52" t="str">
            <v>JPY</v>
          </cell>
          <cell r="F52">
            <v>73</v>
          </cell>
          <cell r="G52">
            <v>581</v>
          </cell>
          <cell r="H52">
            <v>849</v>
          </cell>
          <cell r="I52">
            <v>61</v>
          </cell>
          <cell r="J52">
            <v>583</v>
          </cell>
          <cell r="K52">
            <v>2053</v>
          </cell>
          <cell r="L52">
            <v>1517</v>
          </cell>
          <cell r="M52">
            <v>97</v>
          </cell>
          <cell r="N52">
            <v>29</v>
          </cell>
          <cell r="O52">
            <v>256</v>
          </cell>
          <cell r="P52">
            <v>294</v>
          </cell>
          <cell r="Q52">
            <v>343</v>
          </cell>
          <cell r="V52">
            <v>785</v>
          </cell>
          <cell r="AA52">
            <v>204</v>
          </cell>
          <cell r="AF52">
            <v>499</v>
          </cell>
          <cell r="AK52">
            <v>136</v>
          </cell>
          <cell r="AP52">
            <v>1004</v>
          </cell>
          <cell r="AU52">
            <v>6035</v>
          </cell>
          <cell r="AZ52">
            <v>877</v>
          </cell>
          <cell r="BE52">
            <v>3492</v>
          </cell>
          <cell r="BJ52">
            <v>3090</v>
          </cell>
          <cell r="BO52">
            <v>12811</v>
          </cell>
          <cell r="BT52">
            <v>7505</v>
          </cell>
          <cell r="BY52">
            <v>6808</v>
          </cell>
        </row>
        <row r="53">
          <cell r="B53" t="str">
            <v>Extraordinary expense</v>
          </cell>
          <cell r="C53" t="str">
            <v>EXTRA_EXP_JPN</v>
          </cell>
          <cell r="D53" t="str">
            <v>JPY</v>
          </cell>
          <cell r="F53">
            <v>-621</v>
          </cell>
          <cell r="G53">
            <v>-1035</v>
          </cell>
          <cell r="H53">
            <v>-2511</v>
          </cell>
          <cell r="I53">
            <v>-7717</v>
          </cell>
          <cell r="J53">
            <v>-8403</v>
          </cell>
          <cell r="K53">
            <v>-4730</v>
          </cell>
          <cell r="L53">
            <v>-9759</v>
          </cell>
          <cell r="M53">
            <v>-10016</v>
          </cell>
          <cell r="N53">
            <v>-3185</v>
          </cell>
          <cell r="O53">
            <v>-1171</v>
          </cell>
          <cell r="P53">
            <v>-6405</v>
          </cell>
          <cell r="Q53">
            <v>-10057</v>
          </cell>
          <cell r="V53">
            <v>-5050</v>
          </cell>
          <cell r="AA53">
            <v>-5314</v>
          </cell>
          <cell r="AF53">
            <v>-5876</v>
          </cell>
          <cell r="AK53">
            <v>-1776</v>
          </cell>
          <cell r="AP53">
            <v>-2739</v>
          </cell>
          <cell r="AU53">
            <v>-2514</v>
          </cell>
          <cell r="AZ53">
            <v>-2449</v>
          </cell>
          <cell r="BE53">
            <v>-6607</v>
          </cell>
          <cell r="BJ53">
            <v>-7056</v>
          </cell>
          <cell r="BO53">
            <v>-6566</v>
          </cell>
          <cell r="BT53">
            <v>-4851</v>
          </cell>
          <cell r="BY53">
            <v>-9872</v>
          </cell>
        </row>
        <row r="54">
          <cell r="B54" t="str">
            <v>Pre-tax profit</v>
          </cell>
          <cell r="C54" t="str">
            <v>PTP_JPN</v>
          </cell>
          <cell r="D54" t="str">
            <v>JPY</v>
          </cell>
          <cell r="F54">
            <v>20711</v>
          </cell>
          <cell r="G54">
            <v>22394</v>
          </cell>
          <cell r="H54">
            <v>21667</v>
          </cell>
          <cell r="I54">
            <v>16387</v>
          </cell>
          <cell r="J54">
            <v>19067</v>
          </cell>
          <cell r="K54">
            <v>27652</v>
          </cell>
          <cell r="L54">
            <v>24896</v>
          </cell>
          <cell r="M54">
            <v>20074</v>
          </cell>
          <cell r="N54">
            <v>25520</v>
          </cell>
          <cell r="O54">
            <v>24705</v>
          </cell>
          <cell r="P54">
            <v>27072</v>
          </cell>
          <cell r="Q54">
            <v>29811</v>
          </cell>
          <cell r="V54">
            <v>33578</v>
          </cell>
          <cell r="AA54">
            <v>27688</v>
          </cell>
          <cell r="AF54">
            <v>23372</v>
          </cell>
          <cell r="AK54">
            <v>31154</v>
          </cell>
          <cell r="AP54">
            <v>34683</v>
          </cell>
          <cell r="AU54">
            <v>31620</v>
          </cell>
          <cell r="AZ54">
            <v>29392</v>
          </cell>
          <cell r="BE54">
            <v>31725</v>
          </cell>
          <cell r="BJ54">
            <v>29014</v>
          </cell>
          <cell r="BO54">
            <v>36978</v>
          </cell>
          <cell r="BT54">
            <v>35517</v>
          </cell>
          <cell r="BY54">
            <v>37525</v>
          </cell>
          <cell r="CD54">
            <v>31166</v>
          </cell>
          <cell r="CI54">
            <v>42650</v>
          </cell>
          <cell r="CN54">
            <v>56233</v>
          </cell>
          <cell r="CS54">
            <v>49182</v>
          </cell>
          <cell r="CX54">
            <v>57950</v>
          </cell>
          <cell r="DC54">
            <v>81600</v>
          </cell>
          <cell r="DD54">
            <v>86600</v>
          </cell>
          <cell r="DE54">
            <v>89900</v>
          </cell>
          <cell r="DF54">
            <v>94400</v>
          </cell>
          <cell r="DG54">
            <v>98600</v>
          </cell>
        </row>
        <row r="55">
          <cell r="B55" t="str">
            <v>NI impact from a 10% reporting currency depreciation vs USD</v>
          </cell>
          <cell r="C55" t="str">
            <v>FX_USD_NI_SENSITIVITY</v>
          </cell>
          <cell r="D55" t="str">
            <v>JPY</v>
          </cell>
        </row>
        <row r="56">
          <cell r="B56" t="str">
            <v>NI impact from a 10% reporting currency depreciation vs EUR</v>
          </cell>
          <cell r="C56" t="str">
            <v>FX_EUR_NI_SENSITIVITY</v>
          </cell>
          <cell r="D56" t="str">
            <v>JPY</v>
          </cell>
        </row>
        <row r="57">
          <cell r="B57" t="str">
            <v>Depreciation ROU assets   (applicable to IFRS cos.)</v>
          </cell>
          <cell r="C57" t="str">
            <v>DEPR_ROU_ASSETS</v>
          </cell>
          <cell r="D57" t="str">
            <v>JPY</v>
          </cell>
        </row>
        <row r="58">
          <cell r="B58" t="str">
            <v>Lease interest charge  (applicable to IFRS cos.)</v>
          </cell>
          <cell r="C58" t="str">
            <v>LEASE_INT_CHG</v>
          </cell>
          <cell r="D58" t="str">
            <v>JPY</v>
          </cell>
        </row>
        <row r="59">
          <cell r="B59" t="str">
            <v>Lease standard adopted (US GAAP ASC 842/ IFRS 16)</v>
          </cell>
          <cell r="C59" t="str">
            <v>LEASE_ADOPT</v>
          </cell>
          <cell r="E59" t="str">
            <v>Y</v>
          </cell>
        </row>
        <row r="60">
          <cell r="A60" t="str">
            <v>Balance Sheet</v>
          </cell>
        </row>
        <row r="61">
          <cell r="B61" t="str">
            <v>Cash &amp; cash equivalents</v>
          </cell>
          <cell r="C61" t="str">
            <v>CASH_EQ</v>
          </cell>
          <cell r="D61" t="str">
            <v>JPY</v>
          </cell>
          <cell r="F61">
            <v>106563</v>
          </cell>
          <cell r="G61">
            <v>98799</v>
          </cell>
          <cell r="H61">
            <v>87116</v>
          </cell>
          <cell r="I61">
            <v>85544</v>
          </cell>
          <cell r="J61">
            <v>116389</v>
          </cell>
          <cell r="K61">
            <v>109684</v>
          </cell>
          <cell r="L61">
            <v>74209</v>
          </cell>
          <cell r="M61">
            <v>96010</v>
          </cell>
          <cell r="N61">
            <v>84961</v>
          </cell>
          <cell r="O61">
            <v>78520</v>
          </cell>
          <cell r="P61">
            <v>74084</v>
          </cell>
          <cell r="Q61">
            <v>102110</v>
          </cell>
          <cell r="V61">
            <v>83305</v>
          </cell>
          <cell r="AA61">
            <v>93969</v>
          </cell>
          <cell r="AF61">
            <v>83549</v>
          </cell>
          <cell r="AK61">
            <v>89957</v>
          </cell>
          <cell r="AP61">
            <v>73492</v>
          </cell>
          <cell r="AU61">
            <v>78435</v>
          </cell>
          <cell r="AZ61">
            <v>70416</v>
          </cell>
          <cell r="BE61">
            <v>91648</v>
          </cell>
          <cell r="BJ61">
            <v>113518</v>
          </cell>
          <cell r="BO61">
            <v>90914</v>
          </cell>
          <cell r="BT61">
            <v>72074</v>
          </cell>
          <cell r="BY61">
            <v>56182</v>
          </cell>
          <cell r="CD61">
            <v>57125</v>
          </cell>
          <cell r="CI61">
            <v>60163</v>
          </cell>
          <cell r="CN61">
            <v>90294</v>
          </cell>
          <cell r="CS61">
            <v>102005</v>
          </cell>
          <cell r="CX61">
            <v>87388</v>
          </cell>
          <cell r="DC61">
            <v>66000</v>
          </cell>
          <cell r="DD61">
            <v>48000</v>
          </cell>
          <cell r="DE61">
            <v>32400</v>
          </cell>
          <cell r="DF61">
            <v>25800</v>
          </cell>
          <cell r="DG61">
            <v>26200</v>
          </cell>
        </row>
        <row r="62">
          <cell r="B62" t="str">
            <v>Accounts receivable</v>
          </cell>
          <cell r="C62" t="str">
            <v>DEBTORS</v>
          </cell>
          <cell r="D62" t="str">
            <v>JPY</v>
          </cell>
          <cell r="F62">
            <v>58033</v>
          </cell>
          <cell r="G62">
            <v>66393</v>
          </cell>
          <cell r="H62">
            <v>69955</v>
          </cell>
          <cell r="I62">
            <v>70829</v>
          </cell>
          <cell r="J62">
            <v>36764</v>
          </cell>
          <cell r="K62">
            <v>36652</v>
          </cell>
          <cell r="L62">
            <v>36990</v>
          </cell>
          <cell r="M62">
            <v>37216</v>
          </cell>
          <cell r="N62">
            <v>36870</v>
          </cell>
          <cell r="O62">
            <v>39395</v>
          </cell>
          <cell r="P62">
            <v>38552</v>
          </cell>
          <cell r="Q62">
            <v>37654</v>
          </cell>
          <cell r="V62">
            <v>53358</v>
          </cell>
          <cell r="AA62">
            <v>41410</v>
          </cell>
          <cell r="AF62">
            <v>44456</v>
          </cell>
          <cell r="AK62">
            <v>43606</v>
          </cell>
          <cell r="AP62">
            <v>47125</v>
          </cell>
          <cell r="AU62">
            <v>46490</v>
          </cell>
          <cell r="AZ62">
            <v>47072</v>
          </cell>
          <cell r="BE62">
            <v>51298</v>
          </cell>
          <cell r="BJ62">
            <v>54491</v>
          </cell>
          <cell r="BO62">
            <v>61391</v>
          </cell>
          <cell r="BT62">
            <v>65290</v>
          </cell>
          <cell r="BY62">
            <v>39133</v>
          </cell>
          <cell r="CD62">
            <v>72749</v>
          </cell>
          <cell r="CI62">
            <v>77932</v>
          </cell>
          <cell r="CN62">
            <v>84837</v>
          </cell>
          <cell r="CS62">
            <v>89600</v>
          </cell>
          <cell r="CX62">
            <v>101483</v>
          </cell>
          <cell r="DC62">
            <v>111300</v>
          </cell>
          <cell r="DD62">
            <v>116700</v>
          </cell>
          <cell r="DE62">
            <v>122000</v>
          </cell>
          <cell r="DF62">
            <v>126000</v>
          </cell>
          <cell r="DG62">
            <v>129500</v>
          </cell>
        </row>
        <row r="63">
          <cell r="B63" t="str">
            <v>Inventory</v>
          </cell>
          <cell r="C63" t="str">
            <v>STOCKS</v>
          </cell>
          <cell r="D63" t="str">
            <v>JPY</v>
          </cell>
          <cell r="F63">
            <v>10497</v>
          </cell>
          <cell r="G63">
            <v>10381</v>
          </cell>
          <cell r="H63">
            <v>11487</v>
          </cell>
          <cell r="I63">
            <v>11756</v>
          </cell>
          <cell r="J63">
            <v>9821</v>
          </cell>
          <cell r="K63">
            <v>9816</v>
          </cell>
          <cell r="L63">
            <v>10723</v>
          </cell>
          <cell r="M63">
            <v>11632</v>
          </cell>
          <cell r="N63">
            <v>11895</v>
          </cell>
          <cell r="O63">
            <v>11922</v>
          </cell>
          <cell r="P63">
            <v>12355</v>
          </cell>
          <cell r="Q63">
            <v>12708</v>
          </cell>
          <cell r="V63">
            <v>14489</v>
          </cell>
          <cell r="AA63">
            <v>14674</v>
          </cell>
          <cell r="AF63">
            <v>15225</v>
          </cell>
          <cell r="AK63">
            <v>14471</v>
          </cell>
          <cell r="AP63">
            <v>14293</v>
          </cell>
          <cell r="AU63">
            <v>17506</v>
          </cell>
          <cell r="AZ63">
            <v>19351</v>
          </cell>
          <cell r="BE63">
            <v>20958</v>
          </cell>
          <cell r="BJ63">
            <v>23068</v>
          </cell>
          <cell r="BO63">
            <v>27168</v>
          </cell>
          <cell r="BT63">
            <v>28906</v>
          </cell>
          <cell r="BY63">
            <v>29431</v>
          </cell>
          <cell r="CD63">
            <v>32729</v>
          </cell>
          <cell r="CI63">
            <v>32454</v>
          </cell>
          <cell r="CN63">
            <v>40901</v>
          </cell>
          <cell r="CS63">
            <v>47638</v>
          </cell>
          <cell r="CX63">
            <v>57187</v>
          </cell>
          <cell r="DC63">
            <v>62700</v>
          </cell>
          <cell r="DD63">
            <v>65800</v>
          </cell>
          <cell r="DE63">
            <v>68800</v>
          </cell>
          <cell r="DF63">
            <v>71100</v>
          </cell>
          <cell r="DG63">
            <v>73100</v>
          </cell>
        </row>
        <row r="64">
          <cell r="B64" t="str">
            <v>Other current assets</v>
          </cell>
          <cell r="C64" t="str">
            <v>OTH_CUR_ASS</v>
          </cell>
          <cell r="D64" t="str">
            <v>JPY</v>
          </cell>
          <cell r="F64">
            <v>816</v>
          </cell>
          <cell r="G64">
            <v>2542</v>
          </cell>
          <cell r="H64">
            <v>1408</v>
          </cell>
          <cell r="I64">
            <v>2235</v>
          </cell>
          <cell r="J64">
            <v>5096</v>
          </cell>
          <cell r="K64">
            <v>4751</v>
          </cell>
          <cell r="L64">
            <v>4628</v>
          </cell>
          <cell r="M64">
            <v>5538</v>
          </cell>
          <cell r="N64">
            <v>6007</v>
          </cell>
          <cell r="O64">
            <v>8531</v>
          </cell>
          <cell r="P64">
            <v>8156</v>
          </cell>
          <cell r="Q64">
            <v>8024</v>
          </cell>
          <cell r="V64">
            <v>8388</v>
          </cell>
          <cell r="AA64">
            <v>7580</v>
          </cell>
          <cell r="AF64">
            <v>15040</v>
          </cell>
          <cell r="AK64">
            <v>7776</v>
          </cell>
          <cell r="AP64">
            <v>9217</v>
          </cell>
          <cell r="AU64">
            <v>9384</v>
          </cell>
          <cell r="AZ64">
            <v>9835</v>
          </cell>
          <cell r="BE64">
            <v>10915</v>
          </cell>
          <cell r="BJ64">
            <v>10430</v>
          </cell>
          <cell r="BO64">
            <v>11450</v>
          </cell>
          <cell r="BT64">
            <v>11617</v>
          </cell>
          <cell r="BY64">
            <v>45401</v>
          </cell>
          <cell r="CD64">
            <v>16295</v>
          </cell>
          <cell r="CI64">
            <v>17235</v>
          </cell>
          <cell r="CN64">
            <v>13085</v>
          </cell>
          <cell r="CS64">
            <v>20383</v>
          </cell>
          <cell r="CX64">
            <v>20104</v>
          </cell>
          <cell r="DC64">
            <v>22900</v>
          </cell>
          <cell r="DD64">
            <v>25900</v>
          </cell>
          <cell r="DE64">
            <v>28900</v>
          </cell>
          <cell r="DF64">
            <v>31900</v>
          </cell>
          <cell r="DG64">
            <v>34900</v>
          </cell>
        </row>
        <row r="65">
          <cell r="B65" t="str">
            <v>Total current assets</v>
          </cell>
          <cell r="C65" t="str">
            <v>CUR_ASS</v>
          </cell>
          <cell r="D65" t="str">
            <v>JPY</v>
          </cell>
          <cell r="F65">
            <v>175909</v>
          </cell>
          <cell r="G65">
            <v>178115</v>
          </cell>
          <cell r="H65">
            <v>169966</v>
          </cell>
          <cell r="I65">
            <v>170364</v>
          </cell>
          <cell r="J65">
            <v>168070</v>
          </cell>
          <cell r="K65">
            <v>160903</v>
          </cell>
          <cell r="L65">
            <v>126550</v>
          </cell>
          <cell r="M65">
            <v>150396</v>
          </cell>
          <cell r="N65">
            <v>139733</v>
          </cell>
          <cell r="O65">
            <v>138368</v>
          </cell>
          <cell r="P65">
            <v>133147</v>
          </cell>
          <cell r="Q65">
            <v>160496</v>
          </cell>
          <cell r="V65">
            <v>159540</v>
          </cell>
          <cell r="AA65">
            <v>157633</v>
          </cell>
          <cell r="AF65">
            <v>158270</v>
          </cell>
          <cell r="AK65">
            <v>155810</v>
          </cell>
          <cell r="AP65">
            <v>144127</v>
          </cell>
          <cell r="AU65">
            <v>151815</v>
          </cell>
          <cell r="AZ65">
            <v>146674</v>
          </cell>
          <cell r="BE65">
            <v>174819</v>
          </cell>
          <cell r="BJ65">
            <v>201507</v>
          </cell>
          <cell r="BO65">
            <v>190923</v>
          </cell>
          <cell r="BT65">
            <v>177887</v>
          </cell>
          <cell r="BY65">
            <v>170147</v>
          </cell>
          <cell r="CD65">
            <v>178898</v>
          </cell>
          <cell r="CI65">
            <v>187784</v>
          </cell>
          <cell r="CN65">
            <v>229117</v>
          </cell>
          <cell r="CS65">
            <v>259626</v>
          </cell>
          <cell r="CX65">
            <v>266162</v>
          </cell>
          <cell r="DC65">
            <v>262900</v>
          </cell>
          <cell r="DD65">
            <v>256400</v>
          </cell>
          <cell r="DE65">
            <v>252100</v>
          </cell>
          <cell r="DF65">
            <v>254800</v>
          </cell>
          <cell r="DG65">
            <v>263700</v>
          </cell>
        </row>
        <row r="66">
          <cell r="B66" t="str">
            <v>Gross fixed assets, PP&amp;E</v>
          </cell>
          <cell r="C66" t="str">
            <v>GR_FIX_ASS</v>
          </cell>
          <cell r="D66" t="str">
            <v>JPY</v>
          </cell>
          <cell r="F66">
            <v>134436</v>
          </cell>
          <cell r="G66">
            <v>138141</v>
          </cell>
          <cell r="H66">
            <v>158504</v>
          </cell>
          <cell r="I66">
            <v>168461</v>
          </cell>
          <cell r="J66">
            <v>162335</v>
          </cell>
          <cell r="K66">
            <v>174238</v>
          </cell>
          <cell r="L66">
            <v>177887</v>
          </cell>
          <cell r="M66">
            <v>173208</v>
          </cell>
          <cell r="N66">
            <v>184977</v>
          </cell>
          <cell r="O66">
            <v>178936</v>
          </cell>
          <cell r="P66">
            <v>174081</v>
          </cell>
          <cell r="Q66">
            <v>174514</v>
          </cell>
          <cell r="V66">
            <v>215281</v>
          </cell>
          <cell r="AA66">
            <v>217879</v>
          </cell>
          <cell r="AF66">
            <v>225989</v>
          </cell>
          <cell r="AK66">
            <v>236326</v>
          </cell>
          <cell r="AP66">
            <v>260495</v>
          </cell>
          <cell r="AU66">
            <v>270377</v>
          </cell>
          <cell r="AZ66">
            <v>292148</v>
          </cell>
          <cell r="BE66">
            <v>320497</v>
          </cell>
          <cell r="BJ66">
            <v>335565</v>
          </cell>
          <cell r="BO66">
            <v>374701</v>
          </cell>
          <cell r="BT66">
            <v>409228</v>
          </cell>
          <cell r="BY66">
            <v>453182</v>
          </cell>
          <cell r="CD66">
            <v>476246</v>
          </cell>
          <cell r="CI66">
            <v>524669</v>
          </cell>
          <cell r="CN66">
            <v>505478</v>
          </cell>
          <cell r="CS66">
            <v>533329</v>
          </cell>
          <cell r="CX66">
            <v>567860</v>
          </cell>
          <cell r="DC66">
            <v>637900</v>
          </cell>
          <cell r="DD66">
            <v>709900</v>
          </cell>
          <cell r="DE66">
            <v>782900</v>
          </cell>
          <cell r="DF66">
            <v>851900</v>
          </cell>
          <cell r="DG66">
            <v>917900</v>
          </cell>
        </row>
        <row r="67">
          <cell r="B67" t="str">
            <v>Accumulated depreciation</v>
          </cell>
          <cell r="C67" t="str">
            <v>ACC_DDA</v>
          </cell>
          <cell r="D67" t="str">
            <v>JPY</v>
          </cell>
          <cell r="F67">
            <v>-50142</v>
          </cell>
          <cell r="G67">
            <v>-51413</v>
          </cell>
          <cell r="H67">
            <v>-57729</v>
          </cell>
          <cell r="I67">
            <v>-66331</v>
          </cell>
          <cell r="J67">
            <v>-65242</v>
          </cell>
          <cell r="K67">
            <v>-77307</v>
          </cell>
          <cell r="L67">
            <v>-83319</v>
          </cell>
          <cell r="M67">
            <v>-90764</v>
          </cell>
          <cell r="N67">
            <v>-97441</v>
          </cell>
          <cell r="O67">
            <v>-97693</v>
          </cell>
          <cell r="P67">
            <v>-98749</v>
          </cell>
          <cell r="Q67">
            <v>-105495</v>
          </cell>
          <cell r="V67">
            <v>-121648</v>
          </cell>
          <cell r="AA67">
            <v>-124077</v>
          </cell>
          <cell r="AF67">
            <v>-124858</v>
          </cell>
          <cell r="AK67">
            <v>-127048</v>
          </cell>
          <cell r="AP67">
            <v>-134613</v>
          </cell>
          <cell r="AU67">
            <v>-144017</v>
          </cell>
          <cell r="AZ67">
            <v>-158361</v>
          </cell>
          <cell r="BE67">
            <v>-172877</v>
          </cell>
          <cell r="BJ67">
            <v>-188316</v>
          </cell>
          <cell r="BO67">
            <v>-205815</v>
          </cell>
          <cell r="BT67">
            <v>-221215</v>
          </cell>
          <cell r="BY67">
            <v>-239111</v>
          </cell>
          <cell r="CD67">
            <v>-259415</v>
          </cell>
          <cell r="CI67">
            <v>-284606</v>
          </cell>
          <cell r="CN67">
            <v>-248343</v>
          </cell>
          <cell r="CS67">
            <v>-272823</v>
          </cell>
          <cell r="CX67">
            <v>-302021</v>
          </cell>
          <cell r="DC67">
            <v>-332100</v>
          </cell>
          <cell r="DD67">
            <v>-364400</v>
          </cell>
          <cell r="DE67">
            <v>-399500</v>
          </cell>
          <cell r="DF67">
            <v>-437100</v>
          </cell>
          <cell r="DG67">
            <v>-477400</v>
          </cell>
        </row>
        <row r="68">
          <cell r="B68" t="str">
            <v>Net PP&amp;E</v>
          </cell>
          <cell r="C68" t="str">
            <v>NET_FIX_ASS</v>
          </cell>
          <cell r="D68" t="str">
            <v>JPY</v>
          </cell>
          <cell r="F68">
            <v>84294</v>
          </cell>
          <cell r="G68">
            <v>86728</v>
          </cell>
          <cell r="H68">
            <v>100775</v>
          </cell>
          <cell r="I68">
            <v>102130</v>
          </cell>
          <cell r="J68">
            <v>97093</v>
          </cell>
          <cell r="K68">
            <v>96931</v>
          </cell>
          <cell r="L68">
            <v>94568</v>
          </cell>
          <cell r="M68">
            <v>82444</v>
          </cell>
          <cell r="N68">
            <v>87536</v>
          </cell>
          <cell r="O68">
            <v>81243</v>
          </cell>
          <cell r="P68">
            <v>75332</v>
          </cell>
          <cell r="Q68">
            <v>69019</v>
          </cell>
          <cell r="V68">
            <v>93633</v>
          </cell>
          <cell r="AA68">
            <v>93802</v>
          </cell>
          <cell r="AF68">
            <v>101131</v>
          </cell>
          <cell r="AK68">
            <v>109278</v>
          </cell>
          <cell r="AP68">
            <v>125882</v>
          </cell>
          <cell r="AU68">
            <v>126360</v>
          </cell>
          <cell r="AZ68">
            <v>133787</v>
          </cell>
          <cell r="BE68">
            <v>147620</v>
          </cell>
          <cell r="BJ68">
            <v>147249</v>
          </cell>
          <cell r="BO68">
            <v>168886</v>
          </cell>
          <cell r="BT68">
            <v>188013</v>
          </cell>
          <cell r="BY68">
            <v>214071</v>
          </cell>
          <cell r="CD68">
            <v>216831</v>
          </cell>
          <cell r="CI68">
            <v>240063</v>
          </cell>
          <cell r="CN68">
            <v>257135</v>
          </cell>
          <cell r="CS68">
            <v>260506</v>
          </cell>
          <cell r="CX68">
            <v>265839</v>
          </cell>
          <cell r="DC68">
            <v>305800</v>
          </cell>
          <cell r="DD68">
            <v>345500</v>
          </cell>
          <cell r="DE68">
            <v>383400</v>
          </cell>
          <cell r="DF68">
            <v>414800</v>
          </cell>
          <cell r="DG68">
            <v>440500</v>
          </cell>
        </row>
        <row r="69">
          <cell r="B69" t="str">
            <v>Gross intangibles</v>
          </cell>
          <cell r="C69" t="str">
            <v>GR_INTANG</v>
          </cell>
          <cell r="D69" t="str">
            <v>JPY</v>
          </cell>
          <cell r="F69">
            <v>5519</v>
          </cell>
          <cell r="G69">
            <v>2503</v>
          </cell>
          <cell r="H69">
            <v>355</v>
          </cell>
          <cell r="I69">
            <v>707</v>
          </cell>
          <cell r="J69">
            <v>621</v>
          </cell>
          <cell r="K69">
            <v>723</v>
          </cell>
          <cell r="L69">
            <v>997</v>
          </cell>
          <cell r="M69">
            <v>1084</v>
          </cell>
          <cell r="N69">
            <v>984</v>
          </cell>
          <cell r="O69">
            <v>813</v>
          </cell>
          <cell r="P69">
            <v>771</v>
          </cell>
          <cell r="Q69">
            <v>445</v>
          </cell>
          <cell r="V69">
            <v>5022</v>
          </cell>
          <cell r="AA69">
            <v>4321</v>
          </cell>
          <cell r="AF69">
            <v>4779</v>
          </cell>
          <cell r="AK69">
            <v>4850</v>
          </cell>
          <cell r="AP69">
            <v>4465</v>
          </cell>
          <cell r="AU69">
            <v>3939</v>
          </cell>
          <cell r="AZ69">
            <v>4677</v>
          </cell>
          <cell r="BE69">
            <v>6309</v>
          </cell>
          <cell r="BJ69">
            <v>8212</v>
          </cell>
          <cell r="BO69">
            <v>42290</v>
          </cell>
          <cell r="BT69">
            <v>44070</v>
          </cell>
          <cell r="BY69">
            <v>37264</v>
          </cell>
          <cell r="CD69">
            <v>4470</v>
          </cell>
          <cell r="CI69">
            <v>3806</v>
          </cell>
          <cell r="CN69">
            <v>12476</v>
          </cell>
          <cell r="CS69">
            <v>12205</v>
          </cell>
          <cell r="CX69">
            <v>11651</v>
          </cell>
          <cell r="DC69">
            <v>11700</v>
          </cell>
          <cell r="DD69">
            <v>11700</v>
          </cell>
          <cell r="DE69">
            <v>11700</v>
          </cell>
          <cell r="DF69">
            <v>11700</v>
          </cell>
          <cell r="DG69">
            <v>11700</v>
          </cell>
        </row>
        <row r="70">
          <cell r="B70" t="str">
            <v>Accumulated amortization</v>
          </cell>
          <cell r="C70" t="str">
            <v>ACC_AMORT</v>
          </cell>
          <cell r="D70" t="str">
            <v>JPY</v>
          </cell>
          <cell r="DC70">
            <v>-500</v>
          </cell>
          <cell r="DD70">
            <v>-1000</v>
          </cell>
          <cell r="DE70">
            <v>-1500</v>
          </cell>
          <cell r="DF70">
            <v>-2000</v>
          </cell>
          <cell r="DG70">
            <v>-2500</v>
          </cell>
        </row>
        <row r="71">
          <cell r="B71" t="str">
            <v>Net intangible assets</v>
          </cell>
          <cell r="C71" t="str">
            <v>NET_INTANG</v>
          </cell>
          <cell r="D71" t="str">
            <v>JPY</v>
          </cell>
          <cell r="F71">
            <v>5519</v>
          </cell>
          <cell r="G71">
            <v>2503</v>
          </cell>
          <cell r="H71">
            <v>355</v>
          </cell>
          <cell r="I71">
            <v>707</v>
          </cell>
          <cell r="J71">
            <v>621</v>
          </cell>
          <cell r="K71">
            <v>723</v>
          </cell>
          <cell r="L71">
            <v>997</v>
          </cell>
          <cell r="M71">
            <v>1084</v>
          </cell>
          <cell r="N71">
            <v>984</v>
          </cell>
          <cell r="O71">
            <v>813</v>
          </cell>
          <cell r="P71">
            <v>771</v>
          </cell>
          <cell r="Q71">
            <v>445</v>
          </cell>
          <cell r="V71">
            <v>5022</v>
          </cell>
          <cell r="AA71">
            <v>4321</v>
          </cell>
          <cell r="AF71">
            <v>4779</v>
          </cell>
          <cell r="AK71">
            <v>4850</v>
          </cell>
          <cell r="AP71">
            <v>4465</v>
          </cell>
          <cell r="AU71">
            <v>3939</v>
          </cell>
          <cell r="AZ71">
            <v>4677</v>
          </cell>
          <cell r="BE71">
            <v>6309</v>
          </cell>
          <cell r="BJ71">
            <v>8212</v>
          </cell>
          <cell r="BO71">
            <v>42290</v>
          </cell>
          <cell r="BT71">
            <v>44070</v>
          </cell>
          <cell r="BY71">
            <v>37264</v>
          </cell>
          <cell r="CD71">
            <v>4470</v>
          </cell>
          <cell r="CI71">
            <v>3806</v>
          </cell>
          <cell r="CN71">
            <v>12476</v>
          </cell>
          <cell r="CS71">
            <v>12205</v>
          </cell>
          <cell r="CX71">
            <v>11651</v>
          </cell>
          <cell r="DC71">
            <v>11200</v>
          </cell>
          <cell r="DD71">
            <v>10700</v>
          </cell>
          <cell r="DE71">
            <v>10200</v>
          </cell>
          <cell r="DF71">
            <v>9700</v>
          </cell>
          <cell r="DG71">
            <v>9200</v>
          </cell>
        </row>
        <row r="72">
          <cell r="B72" t="str">
            <v>Equity method investments</v>
          </cell>
          <cell r="C72" t="str">
            <v>FIX_ASS_INV</v>
          </cell>
          <cell r="D72" t="str">
            <v>JPY</v>
          </cell>
        </row>
        <row r="73">
          <cell r="B73" t="str">
            <v>Investments in securities</v>
          </cell>
          <cell r="C73" t="str">
            <v>INV_SECUR</v>
          </cell>
          <cell r="D73" t="str">
            <v>JPY</v>
          </cell>
          <cell r="F73">
            <v>4459</v>
          </cell>
          <cell r="G73">
            <v>11043</v>
          </cell>
          <cell r="H73">
            <v>10172</v>
          </cell>
          <cell r="I73">
            <v>14010</v>
          </cell>
          <cell r="J73">
            <v>13223</v>
          </cell>
          <cell r="K73">
            <v>43530</v>
          </cell>
          <cell r="L73">
            <v>95360</v>
          </cell>
          <cell r="M73">
            <v>70798</v>
          </cell>
          <cell r="N73">
            <v>83341</v>
          </cell>
          <cell r="O73">
            <v>110777</v>
          </cell>
          <cell r="P73">
            <v>139330</v>
          </cell>
          <cell r="Q73">
            <v>120493</v>
          </cell>
          <cell r="V73">
            <v>137143</v>
          </cell>
          <cell r="AA73">
            <v>123099</v>
          </cell>
          <cell r="AF73">
            <v>130134</v>
          </cell>
          <cell r="AK73">
            <v>119287</v>
          </cell>
          <cell r="AP73">
            <v>115927</v>
          </cell>
          <cell r="AU73">
            <v>117635</v>
          </cell>
          <cell r="AZ73">
            <v>138571</v>
          </cell>
          <cell r="BE73">
            <v>131843</v>
          </cell>
          <cell r="BJ73">
            <v>135441</v>
          </cell>
          <cell r="BO73">
            <v>145246</v>
          </cell>
          <cell r="BT73">
            <v>120136</v>
          </cell>
          <cell r="BY73">
            <v>138606</v>
          </cell>
          <cell r="CD73">
            <v>138606</v>
          </cell>
          <cell r="CI73">
            <v>138606</v>
          </cell>
          <cell r="CN73">
            <v>138606</v>
          </cell>
          <cell r="CS73">
            <v>138606</v>
          </cell>
          <cell r="CX73">
            <v>138606</v>
          </cell>
          <cell r="DC73">
            <v>150300</v>
          </cell>
          <cell r="DD73">
            <v>162200</v>
          </cell>
          <cell r="DE73">
            <v>174300</v>
          </cell>
          <cell r="DF73">
            <v>186600</v>
          </cell>
          <cell r="DG73">
            <v>199100</v>
          </cell>
        </row>
        <row r="74">
          <cell r="B74" t="str">
            <v>Other long-term assets</v>
          </cell>
          <cell r="C74" t="str">
            <v>OTH_LT_ASS</v>
          </cell>
          <cell r="D74" t="str">
            <v>JPY</v>
          </cell>
          <cell r="F74">
            <v>8004</v>
          </cell>
          <cell r="G74">
            <v>9126</v>
          </cell>
          <cell r="H74">
            <v>7549</v>
          </cell>
          <cell r="I74">
            <v>8983</v>
          </cell>
          <cell r="J74">
            <v>9841</v>
          </cell>
          <cell r="K74">
            <v>9987</v>
          </cell>
          <cell r="L74">
            <v>8720</v>
          </cell>
          <cell r="M74">
            <v>22190</v>
          </cell>
          <cell r="N74">
            <v>20399</v>
          </cell>
          <cell r="O74">
            <v>12442</v>
          </cell>
          <cell r="P74">
            <v>12523</v>
          </cell>
          <cell r="Q74">
            <v>16347</v>
          </cell>
          <cell r="V74">
            <v>15069</v>
          </cell>
          <cell r="AA74">
            <v>13839</v>
          </cell>
          <cell r="AF74">
            <v>14415</v>
          </cell>
          <cell r="AK74">
            <v>19185</v>
          </cell>
          <cell r="AP74">
            <v>19347</v>
          </cell>
          <cell r="AU74">
            <v>14968</v>
          </cell>
          <cell r="AZ74">
            <v>22423</v>
          </cell>
          <cell r="BE74">
            <v>18878</v>
          </cell>
          <cell r="BJ74">
            <v>20334</v>
          </cell>
          <cell r="BO74">
            <v>5723</v>
          </cell>
          <cell r="BT74">
            <v>7074</v>
          </cell>
          <cell r="BY74">
            <v>8023</v>
          </cell>
          <cell r="CD74">
            <v>18772</v>
          </cell>
          <cell r="CI74">
            <v>6362</v>
          </cell>
          <cell r="CN74">
            <v>26196</v>
          </cell>
          <cell r="CS74">
            <v>12480</v>
          </cell>
          <cell r="CX74">
            <v>26115</v>
          </cell>
          <cell r="DC74">
            <v>26100</v>
          </cell>
          <cell r="DD74">
            <v>26100</v>
          </cell>
          <cell r="DE74">
            <v>26100</v>
          </cell>
          <cell r="DF74">
            <v>26100</v>
          </cell>
          <cell r="DG74">
            <v>26100</v>
          </cell>
        </row>
        <row r="75">
          <cell r="B75" t="str">
            <v>Total assets</v>
          </cell>
          <cell r="C75" t="str">
            <v>TOT_ASSET</v>
          </cell>
          <cell r="D75" t="str">
            <v>JPY</v>
          </cell>
          <cell r="F75">
            <v>278185</v>
          </cell>
          <cell r="G75">
            <v>287515</v>
          </cell>
          <cell r="H75">
            <v>288817</v>
          </cell>
          <cell r="I75">
            <v>296194</v>
          </cell>
          <cell r="J75">
            <v>288848</v>
          </cell>
          <cell r="K75">
            <v>312074</v>
          </cell>
          <cell r="L75">
            <v>326195</v>
          </cell>
          <cell r="M75">
            <v>326912</v>
          </cell>
          <cell r="N75">
            <v>331993</v>
          </cell>
          <cell r="O75">
            <v>343643</v>
          </cell>
          <cell r="P75">
            <v>361103</v>
          </cell>
          <cell r="Q75">
            <v>366800</v>
          </cell>
          <cell r="V75">
            <v>410407</v>
          </cell>
          <cell r="AA75">
            <v>392694</v>
          </cell>
          <cell r="AF75">
            <v>408729</v>
          </cell>
          <cell r="AK75">
            <v>408410</v>
          </cell>
          <cell r="AP75">
            <v>409748</v>
          </cell>
          <cell r="AU75">
            <v>414717</v>
          </cell>
          <cell r="AZ75">
            <v>446132</v>
          </cell>
          <cell r="BE75">
            <v>479469</v>
          </cell>
          <cell r="BJ75">
            <v>512743</v>
          </cell>
          <cell r="BO75">
            <v>553068</v>
          </cell>
          <cell r="BT75">
            <v>537180</v>
          </cell>
          <cell r="BY75">
            <v>568111</v>
          </cell>
          <cell r="CD75">
            <v>557577</v>
          </cell>
          <cell r="CI75">
            <v>576621</v>
          </cell>
          <cell r="CN75">
            <v>663530</v>
          </cell>
          <cell r="CS75">
            <v>683422</v>
          </cell>
          <cell r="CX75">
            <v>708373</v>
          </cell>
          <cell r="DC75">
            <v>756300</v>
          </cell>
          <cell r="DD75">
            <v>800900</v>
          </cell>
          <cell r="DE75">
            <v>846100</v>
          </cell>
          <cell r="DF75">
            <v>892000</v>
          </cell>
          <cell r="DG75">
            <v>938600</v>
          </cell>
        </row>
        <row r="76">
          <cell r="B76" t="str">
            <v>Accounts payable</v>
          </cell>
          <cell r="C76" t="str">
            <v>ACC_PAY_GQ</v>
          </cell>
          <cell r="D76" t="str">
            <v>JPY</v>
          </cell>
          <cell r="F76">
            <v>37908</v>
          </cell>
          <cell r="G76">
            <v>40128</v>
          </cell>
          <cell r="H76">
            <v>39134</v>
          </cell>
          <cell r="I76">
            <v>38874</v>
          </cell>
          <cell r="J76">
            <v>37006</v>
          </cell>
          <cell r="K76">
            <v>35638</v>
          </cell>
          <cell r="L76">
            <v>37450</v>
          </cell>
          <cell r="M76">
            <v>34684</v>
          </cell>
          <cell r="N76">
            <v>35563</v>
          </cell>
          <cell r="O76">
            <v>34299</v>
          </cell>
          <cell r="P76">
            <v>33682</v>
          </cell>
          <cell r="Q76">
            <v>34666</v>
          </cell>
          <cell r="V76">
            <v>43324</v>
          </cell>
          <cell r="AA76">
            <v>38045</v>
          </cell>
          <cell r="AF76">
            <v>43163</v>
          </cell>
          <cell r="AK76">
            <v>40400</v>
          </cell>
          <cell r="AP76">
            <v>41422</v>
          </cell>
          <cell r="AU76">
            <v>44876</v>
          </cell>
          <cell r="AZ76">
            <v>43652</v>
          </cell>
          <cell r="BE76">
            <v>43461</v>
          </cell>
          <cell r="BJ76">
            <v>44896</v>
          </cell>
          <cell r="BO76">
            <v>51324</v>
          </cell>
          <cell r="BT76">
            <v>51705</v>
          </cell>
          <cell r="BY76">
            <v>56635</v>
          </cell>
          <cell r="CD76">
            <v>106823</v>
          </cell>
          <cell r="CI76">
            <v>104815</v>
          </cell>
          <cell r="CN76">
            <v>119275</v>
          </cell>
          <cell r="CS76">
            <v>123251</v>
          </cell>
          <cell r="CX76">
            <v>140346</v>
          </cell>
          <cell r="DC76">
            <v>153900</v>
          </cell>
          <cell r="DD76">
            <v>161400</v>
          </cell>
          <cell r="DE76">
            <v>168700</v>
          </cell>
          <cell r="DF76">
            <v>174300</v>
          </cell>
          <cell r="DG76">
            <v>179100</v>
          </cell>
        </row>
        <row r="77">
          <cell r="B77" t="str">
            <v>Short-term debt</v>
          </cell>
          <cell r="C77" t="str">
            <v>SHORT_T_DEBT</v>
          </cell>
          <cell r="D77" t="str">
            <v>JPY</v>
          </cell>
          <cell r="F77">
            <v>16498</v>
          </cell>
          <cell r="G77">
            <v>15083</v>
          </cell>
          <cell r="H77">
            <v>15578</v>
          </cell>
          <cell r="I77">
            <v>17898</v>
          </cell>
          <cell r="J77">
            <v>7794</v>
          </cell>
          <cell r="K77">
            <v>6866</v>
          </cell>
          <cell r="L77">
            <v>7478</v>
          </cell>
          <cell r="M77">
            <v>7056</v>
          </cell>
          <cell r="N77">
            <v>5246</v>
          </cell>
          <cell r="O77">
            <v>5117</v>
          </cell>
          <cell r="P77">
            <v>3038</v>
          </cell>
          <cell r="Q77">
            <v>2853</v>
          </cell>
          <cell r="V77">
            <v>3791</v>
          </cell>
          <cell r="AA77">
            <v>2353</v>
          </cell>
          <cell r="AF77">
            <v>4636</v>
          </cell>
          <cell r="AK77">
            <v>2030</v>
          </cell>
          <cell r="AP77">
            <v>1692</v>
          </cell>
          <cell r="AU77">
            <v>1780</v>
          </cell>
          <cell r="AZ77">
            <v>1342</v>
          </cell>
          <cell r="BE77">
            <v>3332</v>
          </cell>
          <cell r="BJ77">
            <v>3870</v>
          </cell>
          <cell r="BO77">
            <v>18457</v>
          </cell>
          <cell r="BT77">
            <v>18450</v>
          </cell>
          <cell r="BY77">
            <v>3235</v>
          </cell>
          <cell r="CD77">
            <v>29103</v>
          </cell>
          <cell r="CI77">
            <v>6631</v>
          </cell>
          <cell r="CN77">
            <v>9647</v>
          </cell>
          <cell r="CS77">
            <v>13242</v>
          </cell>
          <cell r="CX77">
            <v>12948</v>
          </cell>
          <cell r="DC77">
            <v>12900</v>
          </cell>
          <cell r="DD77">
            <v>12900</v>
          </cell>
          <cell r="DE77">
            <v>12900</v>
          </cell>
          <cell r="DF77">
            <v>12900</v>
          </cell>
          <cell r="DG77">
            <v>12900</v>
          </cell>
        </row>
        <row r="78">
          <cell r="B78" t="str">
            <v>Current lease liabilities (op lease: US GAAP)</v>
          </cell>
          <cell r="C78" t="str">
            <v>ST_LEASE_LIAB</v>
          </cell>
          <cell r="D78" t="str">
            <v>JPY</v>
          </cell>
        </row>
        <row r="79">
          <cell r="B79" t="str">
            <v>Other current liabilities</v>
          </cell>
          <cell r="C79" t="str">
            <v>OTH_CUR_LIABS</v>
          </cell>
          <cell r="D79" t="str">
            <v>JPY</v>
          </cell>
          <cell r="F79">
            <v>30937</v>
          </cell>
          <cell r="G79">
            <v>37762</v>
          </cell>
          <cell r="H79">
            <v>35086</v>
          </cell>
          <cell r="I79">
            <v>37717</v>
          </cell>
          <cell r="J79">
            <v>32295</v>
          </cell>
          <cell r="K79">
            <v>44290</v>
          </cell>
          <cell r="L79">
            <v>36447</v>
          </cell>
          <cell r="M79">
            <v>37570</v>
          </cell>
          <cell r="N79">
            <v>38880</v>
          </cell>
          <cell r="O79">
            <v>36933</v>
          </cell>
          <cell r="P79">
            <v>40096</v>
          </cell>
          <cell r="Q79">
            <v>40572</v>
          </cell>
          <cell r="V79">
            <v>48722</v>
          </cell>
          <cell r="AA79">
            <v>40536</v>
          </cell>
          <cell r="AF79">
            <v>40934</v>
          </cell>
          <cell r="AK79">
            <v>45658</v>
          </cell>
          <cell r="AP79">
            <v>44541</v>
          </cell>
          <cell r="AU79">
            <v>44209</v>
          </cell>
          <cell r="AZ79">
            <v>52815</v>
          </cell>
          <cell r="BE79">
            <v>53374</v>
          </cell>
          <cell r="BJ79">
            <v>54261</v>
          </cell>
          <cell r="BO79">
            <v>61104</v>
          </cell>
          <cell r="BT79">
            <v>65692</v>
          </cell>
          <cell r="BY79">
            <v>70923</v>
          </cell>
          <cell r="CD79">
            <v>25727</v>
          </cell>
          <cell r="CI79">
            <v>30235</v>
          </cell>
          <cell r="CN79">
            <v>31728</v>
          </cell>
          <cell r="CS79">
            <v>31469</v>
          </cell>
          <cell r="CX79">
            <v>31464</v>
          </cell>
          <cell r="DC79">
            <v>31500</v>
          </cell>
          <cell r="DD79">
            <v>31500</v>
          </cell>
          <cell r="DE79">
            <v>31500</v>
          </cell>
          <cell r="DF79">
            <v>31500</v>
          </cell>
          <cell r="DG79">
            <v>31500</v>
          </cell>
        </row>
        <row r="80">
          <cell r="B80" t="str">
            <v>Total current liabilities</v>
          </cell>
          <cell r="C80" t="str">
            <v>SHORT_TERM_LIABS</v>
          </cell>
          <cell r="D80" t="str">
            <v>JPY</v>
          </cell>
          <cell r="F80">
            <v>85343</v>
          </cell>
          <cell r="G80">
            <v>92973</v>
          </cell>
          <cell r="H80">
            <v>89798</v>
          </cell>
          <cell r="I80">
            <v>94489</v>
          </cell>
          <cell r="J80">
            <v>77095</v>
          </cell>
          <cell r="K80">
            <v>86794</v>
          </cell>
          <cell r="L80">
            <v>81375</v>
          </cell>
          <cell r="M80">
            <v>79310</v>
          </cell>
          <cell r="N80">
            <v>79689</v>
          </cell>
          <cell r="O80">
            <v>76349</v>
          </cell>
          <cell r="P80">
            <v>76816</v>
          </cell>
          <cell r="Q80">
            <v>78091</v>
          </cell>
          <cell r="V80">
            <v>95837</v>
          </cell>
          <cell r="AA80">
            <v>80934</v>
          </cell>
          <cell r="AF80">
            <v>88733</v>
          </cell>
          <cell r="AK80">
            <v>88088</v>
          </cell>
          <cell r="AP80">
            <v>87655</v>
          </cell>
          <cell r="AU80">
            <v>90865</v>
          </cell>
          <cell r="AZ80">
            <v>97809</v>
          </cell>
          <cell r="BE80">
            <v>100167</v>
          </cell>
          <cell r="BJ80">
            <v>103027</v>
          </cell>
          <cell r="BO80">
            <v>130885</v>
          </cell>
          <cell r="BT80">
            <v>135847</v>
          </cell>
          <cell r="BY80">
            <v>130793</v>
          </cell>
          <cell r="CD80">
            <v>161653</v>
          </cell>
          <cell r="CI80">
            <v>141681</v>
          </cell>
          <cell r="CN80">
            <v>160650</v>
          </cell>
          <cell r="CS80">
            <v>167962</v>
          </cell>
          <cell r="CX80">
            <v>184758</v>
          </cell>
          <cell r="DC80">
            <v>198300</v>
          </cell>
          <cell r="DD80">
            <v>205800</v>
          </cell>
          <cell r="DE80">
            <v>213100</v>
          </cell>
          <cell r="DF80">
            <v>218700</v>
          </cell>
          <cell r="DG80">
            <v>223500</v>
          </cell>
        </row>
        <row r="81">
          <cell r="B81" t="str">
            <v>Long-term  debt</v>
          </cell>
          <cell r="C81" t="str">
            <v>LT_DEBT</v>
          </cell>
          <cell r="D81" t="str">
            <v>JPY</v>
          </cell>
          <cell r="F81">
            <v>1944</v>
          </cell>
          <cell r="G81">
            <v>1837</v>
          </cell>
          <cell r="H81">
            <v>1109</v>
          </cell>
          <cell r="I81">
            <v>815</v>
          </cell>
          <cell r="J81">
            <v>681</v>
          </cell>
          <cell r="K81">
            <v>259</v>
          </cell>
          <cell r="AF81">
            <v>5380</v>
          </cell>
          <cell r="AK81">
            <v>9869</v>
          </cell>
          <cell r="AP81">
            <v>12980</v>
          </cell>
          <cell r="AU81">
            <v>12860</v>
          </cell>
          <cell r="AZ81">
            <v>7612</v>
          </cell>
          <cell r="BE81">
            <v>9441</v>
          </cell>
          <cell r="BJ81">
            <v>9461</v>
          </cell>
          <cell r="BO81">
            <v>13041</v>
          </cell>
          <cell r="BT81">
            <v>15867</v>
          </cell>
          <cell r="BY81">
            <v>14146</v>
          </cell>
          <cell r="CD81">
            <v>13297</v>
          </cell>
          <cell r="CI81">
            <v>41630</v>
          </cell>
          <cell r="CN81">
            <v>38283</v>
          </cell>
          <cell r="CS81">
            <v>31673</v>
          </cell>
          <cell r="CX81">
            <v>23272</v>
          </cell>
          <cell r="DC81">
            <v>23300</v>
          </cell>
          <cell r="DD81">
            <v>23300</v>
          </cell>
          <cell r="DE81">
            <v>23300</v>
          </cell>
          <cell r="DF81">
            <v>23300</v>
          </cell>
          <cell r="DG81">
            <v>23300</v>
          </cell>
        </row>
        <row r="82">
          <cell r="B82" t="str">
            <v>Non-current lease liabilities (op lease: US GAAP)</v>
          </cell>
          <cell r="C82" t="str">
            <v>LT_LEASE_LIAB</v>
          </cell>
          <cell r="D82" t="str">
            <v>JPY</v>
          </cell>
          <cell r="CD82">
            <v>5705</v>
          </cell>
          <cell r="CI82">
            <v>21427</v>
          </cell>
          <cell r="CN82">
            <v>21601</v>
          </cell>
          <cell r="CS82">
            <v>19455</v>
          </cell>
        </row>
        <row r="83">
          <cell r="B83" t="str">
            <v>Other long-term liabilities</v>
          </cell>
          <cell r="C83" t="str">
            <v>OTH_LT_CRED_GQ</v>
          </cell>
          <cell r="D83" t="str">
            <v>JPY</v>
          </cell>
          <cell r="F83">
            <v>-3622</v>
          </cell>
          <cell r="G83">
            <v>2962</v>
          </cell>
          <cell r="H83">
            <v>4521</v>
          </cell>
          <cell r="I83">
            <v>6620</v>
          </cell>
          <cell r="J83">
            <v>5177</v>
          </cell>
          <cell r="K83">
            <v>7030</v>
          </cell>
          <cell r="L83">
            <v>13890</v>
          </cell>
          <cell r="M83">
            <v>17021</v>
          </cell>
          <cell r="N83">
            <v>18597</v>
          </cell>
          <cell r="O83">
            <v>22855</v>
          </cell>
          <cell r="P83">
            <v>26149</v>
          </cell>
          <cell r="Q83">
            <v>25510</v>
          </cell>
          <cell r="V83">
            <v>26094</v>
          </cell>
          <cell r="AA83">
            <v>22916</v>
          </cell>
          <cell r="AF83">
            <v>29047</v>
          </cell>
          <cell r="AK83">
            <v>38502</v>
          </cell>
          <cell r="AP83">
            <v>31518</v>
          </cell>
          <cell r="AU83">
            <v>24335</v>
          </cell>
          <cell r="AZ83">
            <v>25685</v>
          </cell>
          <cell r="BE83">
            <v>27561</v>
          </cell>
          <cell r="BJ83">
            <v>30403</v>
          </cell>
          <cell r="BO83">
            <v>37454</v>
          </cell>
          <cell r="BT83">
            <v>31949</v>
          </cell>
          <cell r="BY83">
            <v>31396</v>
          </cell>
          <cell r="CD83">
            <v>24376</v>
          </cell>
          <cell r="CI83">
            <v>17820</v>
          </cell>
          <cell r="CN83">
            <v>21561</v>
          </cell>
          <cell r="CS83">
            <v>19742</v>
          </cell>
          <cell r="CX83">
            <v>32394</v>
          </cell>
          <cell r="DC83">
            <v>32400</v>
          </cell>
          <cell r="DD83">
            <v>32400</v>
          </cell>
          <cell r="DE83">
            <v>32400</v>
          </cell>
          <cell r="DF83">
            <v>32400</v>
          </cell>
          <cell r="DG83">
            <v>32400</v>
          </cell>
        </row>
        <row r="84">
          <cell r="B84" t="str">
            <v>Total long-term liabilities</v>
          </cell>
          <cell r="C84" t="str">
            <v>TOT_LT_LIAB</v>
          </cell>
          <cell r="D84" t="str">
            <v>JPY</v>
          </cell>
          <cell r="F84">
            <v>-1678</v>
          </cell>
          <cell r="G84">
            <v>4799</v>
          </cell>
          <cell r="H84">
            <v>5630</v>
          </cell>
          <cell r="I84">
            <v>7435</v>
          </cell>
          <cell r="J84">
            <v>5858</v>
          </cell>
          <cell r="K84">
            <v>7289</v>
          </cell>
          <cell r="L84">
            <v>13890</v>
          </cell>
          <cell r="M84">
            <v>17021</v>
          </cell>
          <cell r="N84">
            <v>18597</v>
          </cell>
          <cell r="O84">
            <v>22855</v>
          </cell>
          <cell r="P84">
            <v>26149</v>
          </cell>
          <cell r="Q84">
            <v>25510</v>
          </cell>
          <cell r="V84">
            <v>26094</v>
          </cell>
          <cell r="AA84">
            <v>22916</v>
          </cell>
          <cell r="AF84">
            <v>34427</v>
          </cell>
          <cell r="AK84">
            <v>48371</v>
          </cell>
          <cell r="AP84">
            <v>44498</v>
          </cell>
          <cell r="AU84">
            <v>37195</v>
          </cell>
          <cell r="AZ84">
            <v>33297</v>
          </cell>
          <cell r="BE84">
            <v>37002</v>
          </cell>
          <cell r="BJ84">
            <v>39864</v>
          </cell>
          <cell r="BO84">
            <v>50495</v>
          </cell>
          <cell r="BT84">
            <v>47816</v>
          </cell>
          <cell r="BY84">
            <v>45542</v>
          </cell>
          <cell r="CD84">
            <v>43378</v>
          </cell>
          <cell r="CI84">
            <v>80877</v>
          </cell>
          <cell r="CN84">
            <v>81445</v>
          </cell>
          <cell r="CS84">
            <v>70870</v>
          </cell>
          <cell r="CX84">
            <v>55666</v>
          </cell>
          <cell r="DC84">
            <v>55700</v>
          </cell>
          <cell r="DD84">
            <v>55700</v>
          </cell>
          <cell r="DE84">
            <v>55700</v>
          </cell>
          <cell r="DF84">
            <v>55700</v>
          </cell>
          <cell r="DG84">
            <v>55700</v>
          </cell>
        </row>
        <row r="85">
          <cell r="B85" t="str">
            <v>Total liabilities</v>
          </cell>
          <cell r="C85" t="str">
            <v>TOT_LIAB</v>
          </cell>
          <cell r="D85" t="str">
            <v>JPY</v>
          </cell>
          <cell r="F85">
            <v>83665</v>
          </cell>
          <cell r="G85">
            <v>97772</v>
          </cell>
          <cell r="H85">
            <v>95428</v>
          </cell>
          <cell r="I85">
            <v>101924</v>
          </cell>
          <cell r="J85">
            <v>82953</v>
          </cell>
          <cell r="K85">
            <v>94083</v>
          </cell>
          <cell r="L85">
            <v>95265</v>
          </cell>
          <cell r="M85">
            <v>96331</v>
          </cell>
          <cell r="N85">
            <v>98286</v>
          </cell>
          <cell r="O85">
            <v>99204</v>
          </cell>
          <cell r="P85">
            <v>102965</v>
          </cell>
          <cell r="Q85">
            <v>103601</v>
          </cell>
          <cell r="V85">
            <v>121931</v>
          </cell>
          <cell r="AA85">
            <v>103850</v>
          </cell>
          <cell r="AF85">
            <v>123160</v>
          </cell>
          <cell r="AK85">
            <v>136459</v>
          </cell>
          <cell r="AP85">
            <v>132153</v>
          </cell>
          <cell r="AU85">
            <v>128060</v>
          </cell>
          <cell r="AZ85">
            <v>131106</v>
          </cell>
          <cell r="BE85">
            <v>137169</v>
          </cell>
          <cell r="BJ85">
            <v>142891</v>
          </cell>
          <cell r="BO85">
            <v>181380</v>
          </cell>
          <cell r="BT85">
            <v>183663</v>
          </cell>
          <cell r="BY85">
            <v>176335</v>
          </cell>
          <cell r="CD85">
            <v>205031</v>
          </cell>
          <cell r="CI85">
            <v>222558</v>
          </cell>
          <cell r="CN85">
            <v>242095</v>
          </cell>
          <cell r="CS85">
            <v>238832</v>
          </cell>
          <cell r="CX85">
            <v>240424</v>
          </cell>
          <cell r="DC85">
            <v>254000</v>
          </cell>
          <cell r="DD85">
            <v>261500</v>
          </cell>
          <cell r="DE85">
            <v>268800</v>
          </cell>
          <cell r="DF85">
            <v>274400</v>
          </cell>
          <cell r="DG85">
            <v>279200</v>
          </cell>
        </row>
        <row r="86">
          <cell r="B86" t="str">
            <v>Preferred shares</v>
          </cell>
          <cell r="C86" t="str">
            <v>PREF_SH</v>
          </cell>
          <cell r="D86" t="str">
            <v>JPY</v>
          </cell>
        </row>
        <row r="87">
          <cell r="B87" t="str">
            <v>Total common equity</v>
          </cell>
          <cell r="C87" t="str">
            <v>ORD_SH_FUND</v>
          </cell>
          <cell r="D87" t="str">
            <v>JPY</v>
          </cell>
          <cell r="F87">
            <v>192920</v>
          </cell>
          <cell r="G87">
            <v>188220</v>
          </cell>
          <cell r="H87">
            <v>191485</v>
          </cell>
          <cell r="I87">
            <v>191841</v>
          </cell>
          <cell r="J87">
            <v>203822</v>
          </cell>
          <cell r="K87">
            <v>213586</v>
          </cell>
          <cell r="L87">
            <v>226504</v>
          </cell>
          <cell r="M87">
            <v>224678</v>
          </cell>
          <cell r="N87">
            <v>226850</v>
          </cell>
          <cell r="O87">
            <v>237759</v>
          </cell>
          <cell r="P87">
            <v>251403</v>
          </cell>
          <cell r="Q87">
            <v>256664</v>
          </cell>
          <cell r="V87">
            <v>281752</v>
          </cell>
          <cell r="AA87">
            <v>282467</v>
          </cell>
          <cell r="AF87">
            <v>279629</v>
          </cell>
          <cell r="AK87">
            <v>266457</v>
          </cell>
          <cell r="AP87">
            <v>272083</v>
          </cell>
          <cell r="AU87">
            <v>281082</v>
          </cell>
          <cell r="AZ87">
            <v>307480</v>
          </cell>
          <cell r="BE87">
            <v>333919</v>
          </cell>
          <cell r="BJ87">
            <v>363301</v>
          </cell>
          <cell r="BO87">
            <v>361902</v>
          </cell>
          <cell r="BT87">
            <v>342684</v>
          </cell>
          <cell r="BY87">
            <v>368306</v>
          </cell>
          <cell r="CD87">
            <v>326781</v>
          </cell>
          <cell r="CI87">
            <v>327995</v>
          </cell>
          <cell r="CN87">
            <v>384016</v>
          </cell>
          <cell r="CS87">
            <v>407660</v>
          </cell>
          <cell r="CX87">
            <v>430427</v>
          </cell>
          <cell r="DC87">
            <v>463400</v>
          </cell>
          <cell r="DD87">
            <v>499100</v>
          </cell>
          <cell r="DE87">
            <v>535600</v>
          </cell>
          <cell r="DF87">
            <v>574500</v>
          </cell>
          <cell r="DG87">
            <v>614900</v>
          </cell>
        </row>
        <row r="88">
          <cell r="B88" t="str">
            <v>Minority interest</v>
          </cell>
          <cell r="C88" t="str">
            <v>MINORITIES</v>
          </cell>
          <cell r="D88" t="str">
            <v>JPY</v>
          </cell>
          <cell r="F88">
            <v>1600</v>
          </cell>
          <cell r="G88">
            <v>1523</v>
          </cell>
          <cell r="H88">
            <v>1904</v>
          </cell>
          <cell r="I88">
            <v>2429</v>
          </cell>
          <cell r="J88">
            <v>2073</v>
          </cell>
          <cell r="K88">
            <v>4405</v>
          </cell>
          <cell r="L88">
            <v>4426</v>
          </cell>
          <cell r="M88">
            <v>5903</v>
          </cell>
          <cell r="N88">
            <v>6857</v>
          </cell>
          <cell r="O88">
            <v>6680</v>
          </cell>
          <cell r="P88">
            <v>6735</v>
          </cell>
          <cell r="Q88">
            <v>6535</v>
          </cell>
          <cell r="V88">
            <v>6724</v>
          </cell>
          <cell r="AA88">
            <v>6377</v>
          </cell>
          <cell r="AF88">
            <v>5940</v>
          </cell>
          <cell r="AK88">
            <v>5494</v>
          </cell>
          <cell r="AP88">
            <v>5512</v>
          </cell>
          <cell r="AU88">
            <v>5575</v>
          </cell>
          <cell r="AZ88">
            <v>7546</v>
          </cell>
          <cell r="BE88">
            <v>8381</v>
          </cell>
          <cell r="BJ88">
            <v>6551</v>
          </cell>
          <cell r="BO88">
            <v>9786</v>
          </cell>
          <cell r="BT88">
            <v>10833</v>
          </cell>
          <cell r="BY88">
            <v>23470</v>
          </cell>
          <cell r="CD88">
            <v>25764</v>
          </cell>
          <cell r="CI88">
            <v>26068</v>
          </cell>
          <cell r="CN88">
            <v>37419</v>
          </cell>
          <cell r="CS88">
            <v>36930</v>
          </cell>
          <cell r="CX88">
            <v>37522</v>
          </cell>
          <cell r="DC88">
            <v>38900</v>
          </cell>
          <cell r="DD88">
            <v>40300</v>
          </cell>
          <cell r="DE88">
            <v>41700</v>
          </cell>
          <cell r="DF88">
            <v>43100</v>
          </cell>
          <cell r="DG88">
            <v>44500</v>
          </cell>
        </row>
        <row r="89">
          <cell r="B89" t="str">
            <v>Total shareholders' equity</v>
          </cell>
          <cell r="C89" t="str">
            <v>EQ</v>
          </cell>
          <cell r="D89" t="str">
            <v>JPY</v>
          </cell>
          <cell r="F89">
            <v>194520</v>
          </cell>
          <cell r="G89">
            <v>189743</v>
          </cell>
          <cell r="H89">
            <v>193389</v>
          </cell>
          <cell r="I89">
            <v>194270</v>
          </cell>
          <cell r="J89">
            <v>205895</v>
          </cell>
          <cell r="K89">
            <v>217991</v>
          </cell>
          <cell r="L89">
            <v>230930</v>
          </cell>
          <cell r="M89">
            <v>230581</v>
          </cell>
          <cell r="N89">
            <v>233707</v>
          </cell>
          <cell r="O89">
            <v>244439</v>
          </cell>
          <cell r="P89">
            <v>258138</v>
          </cell>
          <cell r="Q89">
            <v>263199</v>
          </cell>
          <cell r="V89">
            <v>288476</v>
          </cell>
          <cell r="AA89">
            <v>288844</v>
          </cell>
          <cell r="AF89">
            <v>285569</v>
          </cell>
          <cell r="AK89">
            <v>271951</v>
          </cell>
          <cell r="AP89">
            <v>277595</v>
          </cell>
          <cell r="AU89">
            <v>286657</v>
          </cell>
          <cell r="AZ89">
            <v>315026</v>
          </cell>
          <cell r="BE89">
            <v>342300</v>
          </cell>
          <cell r="BJ89">
            <v>369852</v>
          </cell>
          <cell r="BO89">
            <v>371688</v>
          </cell>
          <cell r="BT89">
            <v>353517</v>
          </cell>
          <cell r="BY89">
            <v>391776</v>
          </cell>
          <cell r="CD89">
            <v>352545</v>
          </cell>
          <cell r="CI89">
            <v>354063</v>
          </cell>
          <cell r="CN89">
            <v>421435</v>
          </cell>
          <cell r="CS89">
            <v>444590</v>
          </cell>
          <cell r="CX89">
            <v>467949</v>
          </cell>
          <cell r="DC89">
            <v>502300</v>
          </cell>
          <cell r="DD89">
            <v>539400</v>
          </cell>
          <cell r="DE89">
            <v>577300</v>
          </cell>
          <cell r="DF89">
            <v>617600</v>
          </cell>
          <cell r="DG89">
            <v>659400</v>
          </cell>
        </row>
        <row r="90">
          <cell r="B90" t="str">
            <v>Total liabilities and equity</v>
          </cell>
          <cell r="C90" t="str">
            <v>TOT_LIAB_EQ</v>
          </cell>
          <cell r="D90" t="str">
            <v>JPY</v>
          </cell>
          <cell r="F90">
            <v>278185</v>
          </cell>
          <cell r="G90">
            <v>287515</v>
          </cell>
          <cell r="H90">
            <v>288817</v>
          </cell>
          <cell r="I90">
            <v>296194</v>
          </cell>
          <cell r="J90">
            <v>288848</v>
          </cell>
          <cell r="K90">
            <v>312074</v>
          </cell>
          <cell r="L90">
            <v>326195</v>
          </cell>
          <cell r="M90">
            <v>326912</v>
          </cell>
          <cell r="N90">
            <v>331993</v>
          </cell>
          <cell r="O90">
            <v>343643</v>
          </cell>
          <cell r="P90">
            <v>361103</v>
          </cell>
          <cell r="Q90">
            <v>366800</v>
          </cell>
          <cell r="V90">
            <v>410407</v>
          </cell>
          <cell r="AA90">
            <v>392694</v>
          </cell>
          <cell r="AF90">
            <v>408729</v>
          </cell>
          <cell r="AK90">
            <v>408410</v>
          </cell>
          <cell r="AP90">
            <v>409748</v>
          </cell>
          <cell r="AU90">
            <v>414717</v>
          </cell>
          <cell r="AZ90">
            <v>446132</v>
          </cell>
          <cell r="BE90">
            <v>479469</v>
          </cell>
          <cell r="BJ90">
            <v>512743</v>
          </cell>
          <cell r="BO90">
            <v>553068</v>
          </cell>
          <cell r="BT90">
            <v>537180</v>
          </cell>
          <cell r="BY90">
            <v>568111</v>
          </cell>
          <cell r="CD90">
            <v>557577</v>
          </cell>
          <cell r="CI90">
            <v>576621</v>
          </cell>
          <cell r="CN90">
            <v>663530</v>
          </cell>
          <cell r="CS90">
            <v>683422</v>
          </cell>
          <cell r="CX90">
            <v>708373</v>
          </cell>
          <cell r="DC90">
            <v>756300</v>
          </cell>
          <cell r="DD90">
            <v>800900</v>
          </cell>
          <cell r="DE90">
            <v>846100</v>
          </cell>
          <cell r="DF90">
            <v>892000</v>
          </cell>
          <cell r="DG90">
            <v>938600</v>
          </cell>
        </row>
        <row r="91">
          <cell r="A91" t="str">
            <v>Additional Balance Sheet Items</v>
          </cell>
        </row>
        <row r="92">
          <cell r="B92" t="str">
            <v>Total US$ debt (in US$)</v>
          </cell>
          <cell r="C92" t="str">
            <v>TOT_USD_DEBT</v>
          </cell>
          <cell r="BO92">
            <v>0</v>
          </cell>
          <cell r="BT92">
            <v>0</v>
          </cell>
          <cell r="BY92">
            <v>0</v>
          </cell>
          <cell r="CD92">
            <v>0</v>
          </cell>
          <cell r="CI92">
            <v>0</v>
          </cell>
          <cell r="CN92">
            <v>0</v>
          </cell>
          <cell r="CS92">
            <v>0</v>
          </cell>
          <cell r="CX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</row>
        <row r="93">
          <cell r="B93" t="str">
            <v>% US$ debt hedged (principal)</v>
          </cell>
          <cell r="C93" t="str">
            <v>TOT_PCT_USD_DEBT_HEDGED</v>
          </cell>
          <cell r="BO93">
            <v>0</v>
          </cell>
          <cell r="BT93">
            <v>0</v>
          </cell>
          <cell r="BY93">
            <v>0</v>
          </cell>
          <cell r="CD93">
            <v>0</v>
          </cell>
          <cell r="CI93">
            <v>0</v>
          </cell>
          <cell r="CN93">
            <v>0</v>
          </cell>
          <cell r="CS93">
            <v>0</v>
          </cell>
          <cell r="CX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</row>
        <row r="94">
          <cell r="B94" t="str">
            <v>% Floating debt (local currency debt)</v>
          </cell>
          <cell r="C94" t="str">
            <v>FLOATING_PCT_LOCAL_DEBT</v>
          </cell>
          <cell r="BO94">
            <v>0</v>
          </cell>
          <cell r="BT94">
            <v>0</v>
          </cell>
          <cell r="BY94">
            <v>0</v>
          </cell>
        </row>
        <row r="95">
          <cell r="B95" t="str">
            <v>% floating debt hedged (rates)</v>
          </cell>
          <cell r="C95" t="str">
            <v>FLOATING_PCT_LOCAL_DEBT_HEDGED</v>
          </cell>
          <cell r="BO95">
            <v>0</v>
          </cell>
          <cell r="BT95">
            <v>0</v>
          </cell>
          <cell r="BY95">
            <v>0</v>
          </cell>
        </row>
        <row r="96">
          <cell r="B96" t="str">
            <v>Net debt</v>
          </cell>
          <cell r="C96" t="str">
            <v>NET_DEBT</v>
          </cell>
          <cell r="D96" t="str">
            <v>JPY</v>
          </cell>
          <cell r="F96">
            <v>-88121</v>
          </cell>
          <cell r="G96">
            <v>-81879</v>
          </cell>
          <cell r="H96">
            <v>-70429</v>
          </cell>
          <cell r="I96">
            <v>-66831</v>
          </cell>
          <cell r="J96">
            <v>-107914</v>
          </cell>
          <cell r="K96">
            <v>-102559</v>
          </cell>
          <cell r="L96">
            <v>-66731</v>
          </cell>
          <cell r="M96">
            <v>-88954</v>
          </cell>
          <cell r="N96">
            <v>-79715</v>
          </cell>
          <cell r="O96">
            <v>-73403</v>
          </cell>
          <cell r="P96">
            <v>-71046</v>
          </cell>
          <cell r="Q96">
            <v>-99257</v>
          </cell>
          <cell r="V96">
            <v>-79514</v>
          </cell>
          <cell r="AA96">
            <v>-91616</v>
          </cell>
          <cell r="AF96">
            <v>-73533</v>
          </cell>
          <cell r="AK96">
            <v>-78058</v>
          </cell>
          <cell r="AP96">
            <v>-58820</v>
          </cell>
          <cell r="AU96">
            <v>-63795</v>
          </cell>
          <cell r="AZ96">
            <v>-61462</v>
          </cell>
          <cell r="BE96">
            <v>-78875</v>
          </cell>
          <cell r="BJ96">
            <v>-100187</v>
          </cell>
          <cell r="BO96">
            <v>-59416</v>
          </cell>
          <cell r="BT96">
            <v>-37757</v>
          </cell>
          <cell r="BY96">
            <v>-38801</v>
          </cell>
          <cell r="CD96">
            <v>-9020</v>
          </cell>
          <cell r="CI96">
            <v>9525</v>
          </cell>
          <cell r="CN96">
            <v>-20763</v>
          </cell>
          <cell r="CS96">
            <v>-37635</v>
          </cell>
          <cell r="CX96">
            <v>-51168</v>
          </cell>
          <cell r="DC96">
            <v>-29800</v>
          </cell>
          <cell r="DD96">
            <v>-11800</v>
          </cell>
          <cell r="DE96">
            <v>3800</v>
          </cell>
          <cell r="DF96">
            <v>10400</v>
          </cell>
          <cell r="DG96">
            <v>10000</v>
          </cell>
        </row>
        <row r="97">
          <cell r="B97" t="str">
            <v>Capitalized operating leases (off-balance sheet)</v>
          </cell>
          <cell r="C97" t="str">
            <v>CAP_LEASES</v>
          </cell>
          <cell r="D97" t="str">
            <v>JPY</v>
          </cell>
        </row>
        <row r="98">
          <cell r="B98" t="str">
            <v>Deferred income taxes</v>
          </cell>
          <cell r="C98" t="str">
            <v>DEF_INC_TAX</v>
          </cell>
          <cell r="D98" t="str">
            <v>JPY</v>
          </cell>
        </row>
        <row r="99">
          <cell r="B99" t="str">
            <v>Associates (mkt value) used in EV calculation</v>
          </cell>
          <cell r="C99" t="str">
            <v>MV_ASSOCIATES</v>
          </cell>
          <cell r="D99" t="str">
            <v>JPY</v>
          </cell>
        </row>
        <row r="100">
          <cell r="B100" t="str">
            <v>Net debt adjustment</v>
          </cell>
          <cell r="C100" t="str">
            <v>NET_DEBT_ADJ</v>
          </cell>
          <cell r="D100" t="str">
            <v>JPY</v>
          </cell>
        </row>
        <row r="101">
          <cell r="B101" t="str">
            <v>Company borrowing margin</v>
          </cell>
          <cell r="C101" t="str">
            <v>CO_BOR_MARGIN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2.5684210525999999E-2</v>
          </cell>
          <cell r="L101">
            <v>2.0058839262E-2</v>
          </cell>
          <cell r="M101">
            <v>1.7998866212999998E-2</v>
          </cell>
          <cell r="N101">
            <v>9.1498284409999991E-3</v>
          </cell>
          <cell r="O101">
            <v>1.0357631425E-2</v>
          </cell>
          <cell r="P101">
            <v>1.4154048716E-2</v>
          </cell>
          <cell r="Q101">
            <v>1.4020329478E-2</v>
          </cell>
          <cell r="V101">
            <v>1.2661566869E-2</v>
          </cell>
          <cell r="AA101">
            <v>2.5499362516000001E-2</v>
          </cell>
          <cell r="AF101">
            <v>8.2867412140000003E-3</v>
          </cell>
          <cell r="AK101">
            <v>1.6640053786E-2</v>
          </cell>
          <cell r="AP101">
            <v>1.4585605234E-2</v>
          </cell>
          <cell r="AU101">
            <v>1.4822404371999999E-2</v>
          </cell>
          <cell r="AZ101">
            <v>2.3788251061E-2</v>
          </cell>
          <cell r="BE101">
            <v>1.9572535818E-2</v>
          </cell>
          <cell r="BJ101">
            <v>1.8528242441999999E-2</v>
          </cell>
          <cell r="BO101">
            <v>1.0889580291E-2</v>
          </cell>
          <cell r="BT101">
            <v>1.0373867179999999E-2</v>
          </cell>
          <cell r="BY101">
            <v>2.4854726425000001E-2</v>
          </cell>
          <cell r="CD101">
            <v>7.6886792449999998E-3</v>
          </cell>
          <cell r="CI101">
            <v>2.3766602433000002E-2</v>
          </cell>
          <cell r="CN101">
            <v>2.4890465261999999E-2</v>
          </cell>
          <cell r="CS101">
            <v>1.1198931315000001E-2</v>
          </cell>
          <cell r="CX101">
            <v>2.6035339591E-2</v>
          </cell>
          <cell r="DC101">
            <v>1.3812154696000001E-2</v>
          </cell>
          <cell r="DD101">
            <v>1.3812154696000001E-2</v>
          </cell>
          <cell r="DE101">
            <v>1.3812154696000001E-2</v>
          </cell>
          <cell r="DF101">
            <v>1.3812154696000001E-2</v>
          </cell>
          <cell r="DG101">
            <v>1.3812154696000001E-2</v>
          </cell>
        </row>
        <row r="102">
          <cell r="B102" t="str">
            <v>Unfunded pensions &amp; other provisions</v>
          </cell>
          <cell r="C102" t="str">
            <v>UNF_PENS</v>
          </cell>
          <cell r="D102" t="str">
            <v>JPY</v>
          </cell>
        </row>
        <row r="103">
          <cell r="B103" t="str">
            <v>Unfunded pension liabilities (off balance sheet)</v>
          </cell>
          <cell r="C103" t="str">
            <v>UNF_PENS_OFF</v>
          </cell>
          <cell r="D103" t="str">
            <v>JPY</v>
          </cell>
        </row>
        <row r="104">
          <cell r="B104" t="str">
            <v>Unfunded pension liabilities &amp; other, used in EV</v>
          </cell>
          <cell r="C104" t="str">
            <v>UNF_PENS_LIAB_OTH</v>
          </cell>
          <cell r="D104" t="str">
            <v>JPY</v>
          </cell>
        </row>
        <row r="105">
          <cell r="B105" t="str">
            <v>Adjustment for unfunded pensions &amp; goodwill</v>
          </cell>
          <cell r="C105" t="str">
            <v>ADJ_UNF_PENS_GOOD</v>
          </cell>
          <cell r="D105" t="str">
            <v>JPY</v>
          </cell>
        </row>
        <row r="106">
          <cell r="B106" t="str">
            <v>Other GCI adjustments</v>
          </cell>
          <cell r="C106" t="str">
            <v>OTH_GCI_ADJ</v>
          </cell>
          <cell r="D106" t="str">
            <v>JPY</v>
          </cell>
        </row>
        <row r="107">
          <cell r="B107" t="str">
            <v>GCI inflator</v>
          </cell>
          <cell r="C107" t="str">
            <v>GCI_INFL</v>
          </cell>
        </row>
        <row r="108">
          <cell r="B108" t="str">
            <v>Minority interest</v>
          </cell>
          <cell r="C108" t="str">
            <v>BAL_MINO_INT</v>
          </cell>
          <cell r="D108" t="str">
            <v>JPY</v>
          </cell>
          <cell r="F108">
            <v>1600</v>
          </cell>
          <cell r="G108">
            <v>1523</v>
          </cell>
          <cell r="H108">
            <v>1904</v>
          </cell>
          <cell r="I108">
            <v>2429</v>
          </cell>
          <cell r="J108">
            <v>2073</v>
          </cell>
          <cell r="K108">
            <v>4405</v>
          </cell>
          <cell r="L108">
            <v>4426</v>
          </cell>
          <cell r="M108">
            <v>5903</v>
          </cell>
          <cell r="N108">
            <v>6857</v>
          </cell>
          <cell r="O108">
            <v>6680</v>
          </cell>
          <cell r="P108">
            <v>6735</v>
          </cell>
          <cell r="Q108">
            <v>6535</v>
          </cell>
          <cell r="V108">
            <v>6724</v>
          </cell>
          <cell r="AA108">
            <v>6377</v>
          </cell>
          <cell r="AF108">
            <v>5940</v>
          </cell>
          <cell r="AK108">
            <v>5494</v>
          </cell>
          <cell r="AP108">
            <v>5512</v>
          </cell>
          <cell r="AU108">
            <v>5575</v>
          </cell>
          <cell r="AZ108">
            <v>7546</v>
          </cell>
          <cell r="BE108">
            <v>8381</v>
          </cell>
          <cell r="BJ108">
            <v>6551</v>
          </cell>
          <cell r="BO108">
            <v>9786</v>
          </cell>
          <cell r="BT108">
            <v>10833</v>
          </cell>
          <cell r="BY108">
            <v>23470</v>
          </cell>
          <cell r="CD108">
            <v>25764</v>
          </cell>
          <cell r="CI108">
            <v>26068</v>
          </cell>
          <cell r="CN108">
            <v>37419</v>
          </cell>
          <cell r="CS108">
            <v>36930</v>
          </cell>
          <cell r="CX108">
            <v>37522</v>
          </cell>
          <cell r="DC108">
            <v>38900</v>
          </cell>
          <cell r="DD108">
            <v>40300</v>
          </cell>
          <cell r="DE108">
            <v>41700</v>
          </cell>
          <cell r="DF108">
            <v>43100</v>
          </cell>
          <cell r="DG108">
            <v>44500</v>
          </cell>
        </row>
        <row r="109">
          <cell r="B109" t="str">
            <v>Cash &amp; cash equivalents</v>
          </cell>
          <cell r="C109" t="str">
            <v>CASH_EQ_JPN</v>
          </cell>
          <cell r="D109" t="str">
            <v>JPY</v>
          </cell>
          <cell r="F109">
            <v>106563</v>
          </cell>
          <cell r="G109">
            <v>98799</v>
          </cell>
          <cell r="H109">
            <v>87116</v>
          </cell>
          <cell r="I109">
            <v>85544</v>
          </cell>
          <cell r="J109">
            <v>116389</v>
          </cell>
          <cell r="K109">
            <v>109684</v>
          </cell>
          <cell r="L109">
            <v>74209</v>
          </cell>
          <cell r="M109">
            <v>96010</v>
          </cell>
          <cell r="N109">
            <v>84961</v>
          </cell>
          <cell r="O109">
            <v>78520</v>
          </cell>
          <cell r="P109">
            <v>74084</v>
          </cell>
          <cell r="Q109">
            <v>102110</v>
          </cell>
          <cell r="V109">
            <v>83305</v>
          </cell>
          <cell r="AA109">
            <v>93969</v>
          </cell>
          <cell r="AF109">
            <v>83549</v>
          </cell>
          <cell r="AK109">
            <v>89957</v>
          </cell>
          <cell r="AP109">
            <v>73492</v>
          </cell>
          <cell r="AU109">
            <v>78435</v>
          </cell>
          <cell r="AZ109">
            <v>70416</v>
          </cell>
          <cell r="BE109">
            <v>91648</v>
          </cell>
          <cell r="BJ109">
            <v>113518</v>
          </cell>
          <cell r="BO109">
            <v>90914</v>
          </cell>
          <cell r="BT109">
            <v>72074</v>
          </cell>
          <cell r="BY109">
            <v>56182</v>
          </cell>
          <cell r="CD109">
            <v>57125</v>
          </cell>
          <cell r="CI109">
            <v>60163</v>
          </cell>
          <cell r="CN109">
            <v>90294</v>
          </cell>
          <cell r="CS109">
            <v>102005</v>
          </cell>
          <cell r="CX109">
            <v>87388</v>
          </cell>
          <cell r="DC109">
            <v>66000</v>
          </cell>
          <cell r="DD109">
            <v>48000</v>
          </cell>
          <cell r="DE109">
            <v>32400</v>
          </cell>
          <cell r="DF109">
            <v>25800</v>
          </cell>
          <cell r="DG109">
            <v>26200</v>
          </cell>
        </row>
        <row r="110">
          <cell r="B110" t="str">
            <v>Other current assets</v>
          </cell>
          <cell r="C110" t="str">
            <v>OTH_CUR_ASS_JPN</v>
          </cell>
          <cell r="D110" t="str">
            <v>JPY</v>
          </cell>
          <cell r="F110">
            <v>816</v>
          </cell>
          <cell r="G110">
            <v>2542</v>
          </cell>
          <cell r="H110">
            <v>1408</v>
          </cell>
          <cell r="I110">
            <v>2235</v>
          </cell>
          <cell r="J110">
            <v>5096</v>
          </cell>
          <cell r="K110">
            <v>4751</v>
          </cell>
          <cell r="L110">
            <v>4628</v>
          </cell>
          <cell r="M110">
            <v>5538</v>
          </cell>
          <cell r="N110">
            <v>6007</v>
          </cell>
          <cell r="O110">
            <v>8531</v>
          </cell>
          <cell r="P110">
            <v>8156</v>
          </cell>
          <cell r="Q110">
            <v>8024</v>
          </cell>
          <cell r="V110">
            <v>8388</v>
          </cell>
          <cell r="AA110">
            <v>7580</v>
          </cell>
          <cell r="AF110">
            <v>15040</v>
          </cell>
          <cell r="AK110">
            <v>7776</v>
          </cell>
          <cell r="AP110">
            <v>9217</v>
          </cell>
          <cell r="AU110">
            <v>9384</v>
          </cell>
          <cell r="AZ110">
            <v>9835</v>
          </cell>
          <cell r="BE110">
            <v>10915</v>
          </cell>
          <cell r="BJ110">
            <v>10430</v>
          </cell>
          <cell r="BO110">
            <v>11450</v>
          </cell>
          <cell r="BT110">
            <v>11617</v>
          </cell>
          <cell r="BY110">
            <v>45401</v>
          </cell>
          <cell r="CD110">
            <v>16295</v>
          </cell>
          <cell r="CI110">
            <v>17235</v>
          </cell>
          <cell r="CN110">
            <v>13085</v>
          </cell>
          <cell r="CS110">
            <v>20383</v>
          </cell>
          <cell r="CX110">
            <v>20104</v>
          </cell>
          <cell r="DC110">
            <v>22900</v>
          </cell>
          <cell r="DD110">
            <v>25900</v>
          </cell>
          <cell r="DE110">
            <v>28900</v>
          </cell>
          <cell r="DF110">
            <v>31900</v>
          </cell>
          <cell r="DG110">
            <v>34900</v>
          </cell>
        </row>
        <row r="111">
          <cell r="B111" t="str">
            <v>Right-of-use assets (op lease assets under US GAAP)</v>
          </cell>
          <cell r="C111" t="str">
            <v>ROU_ASSET</v>
          </cell>
          <cell r="D111" t="str">
            <v>JPY</v>
          </cell>
          <cell r="BY111">
            <v>4680</v>
          </cell>
          <cell r="CD111">
            <v>7520</v>
          </cell>
          <cell r="CI111">
            <v>27799</v>
          </cell>
          <cell r="CN111">
            <v>31087</v>
          </cell>
          <cell r="CS111">
            <v>33613</v>
          </cell>
        </row>
        <row r="112">
          <cell r="A112" t="str">
            <v>Cash Flow Statement</v>
          </cell>
        </row>
        <row r="113">
          <cell r="B113" t="str">
            <v>Minority interest add-back</v>
          </cell>
          <cell r="C113" t="str">
            <v>CF_INC_MINORITY</v>
          </cell>
          <cell r="D113" t="str">
            <v>JPY</v>
          </cell>
          <cell r="K113">
            <v>-39</v>
          </cell>
          <cell r="L113">
            <v>116</v>
          </cell>
          <cell r="M113">
            <v>-525</v>
          </cell>
          <cell r="N113">
            <v>-196</v>
          </cell>
          <cell r="O113">
            <v>-217</v>
          </cell>
          <cell r="P113">
            <v>216</v>
          </cell>
          <cell r="Q113">
            <v>-45</v>
          </cell>
          <cell r="V113">
            <v>62</v>
          </cell>
          <cell r="AA113">
            <v>-181</v>
          </cell>
          <cell r="AF113">
            <v>96</v>
          </cell>
          <cell r="AK113">
            <v>388</v>
          </cell>
          <cell r="AP113">
            <v>329</v>
          </cell>
          <cell r="AU113">
            <v>193</v>
          </cell>
          <cell r="AZ113">
            <v>343</v>
          </cell>
          <cell r="BE113">
            <v>20</v>
          </cell>
          <cell r="BJ113">
            <v>214</v>
          </cell>
          <cell r="BO113">
            <v>2</v>
          </cell>
          <cell r="BT113">
            <v>170</v>
          </cell>
          <cell r="BY113">
            <v>14</v>
          </cell>
          <cell r="CD113">
            <v>567</v>
          </cell>
          <cell r="CI113">
            <v>1805</v>
          </cell>
          <cell r="CN113">
            <v>2511</v>
          </cell>
          <cell r="CS113">
            <v>2842</v>
          </cell>
          <cell r="CX113">
            <v>3620</v>
          </cell>
          <cell r="DC113">
            <v>3600</v>
          </cell>
          <cell r="DD113">
            <v>3600</v>
          </cell>
          <cell r="DE113">
            <v>3600</v>
          </cell>
          <cell r="DF113">
            <v>3600</v>
          </cell>
          <cell r="DG113">
            <v>3600</v>
          </cell>
        </row>
        <row r="114">
          <cell r="B114" t="str">
            <v>Depreciation &amp; amortization add-back</v>
          </cell>
          <cell r="C114" t="str">
            <v>DEPR_AMORT</v>
          </cell>
          <cell r="D114" t="str">
            <v>JPY</v>
          </cell>
          <cell r="K114">
            <v>8077</v>
          </cell>
          <cell r="L114">
            <v>7584</v>
          </cell>
          <cell r="M114">
            <v>7223</v>
          </cell>
          <cell r="N114">
            <v>7459</v>
          </cell>
          <cell r="O114">
            <v>7078</v>
          </cell>
          <cell r="P114">
            <v>6674</v>
          </cell>
          <cell r="Q114">
            <v>5976</v>
          </cell>
          <cell r="V114">
            <v>6187</v>
          </cell>
          <cell r="AA114">
            <v>7526</v>
          </cell>
          <cell r="AF114">
            <v>7973</v>
          </cell>
          <cell r="AK114">
            <v>9577</v>
          </cell>
          <cell r="AP114">
            <v>12827</v>
          </cell>
          <cell r="AU114">
            <v>14955</v>
          </cell>
          <cell r="AZ114">
            <v>14344</v>
          </cell>
          <cell r="BE114">
            <v>14516</v>
          </cell>
          <cell r="BJ114">
            <v>15439</v>
          </cell>
          <cell r="BO114">
            <v>18333.75</v>
          </cell>
          <cell r="BT114">
            <v>17232.554499999998</v>
          </cell>
          <cell r="BY114">
            <v>19814.255499999999</v>
          </cell>
          <cell r="CD114">
            <v>20304</v>
          </cell>
          <cell r="CI114">
            <v>26823.771000000001</v>
          </cell>
          <cell r="CN114">
            <v>26865.55</v>
          </cell>
          <cell r="CS114">
            <v>29331.852999999999</v>
          </cell>
          <cell r="CX114">
            <v>29698</v>
          </cell>
          <cell r="DC114">
            <v>30600</v>
          </cell>
          <cell r="DD114">
            <v>32800</v>
          </cell>
          <cell r="DE114">
            <v>35600</v>
          </cell>
          <cell r="DF114">
            <v>38100</v>
          </cell>
          <cell r="DG114">
            <v>40800</v>
          </cell>
        </row>
        <row r="115">
          <cell r="B115" t="str">
            <v>(Increase)/decrease in working capital</v>
          </cell>
          <cell r="C115" t="str">
            <v>WORK_CAP</v>
          </cell>
          <cell r="D115" t="str">
            <v>JPY</v>
          </cell>
          <cell r="AZ115">
            <v>-1997</v>
          </cell>
          <cell r="BE115">
            <v>-3916</v>
          </cell>
          <cell r="BJ115">
            <v>-3285</v>
          </cell>
          <cell r="BO115">
            <v>-2672</v>
          </cell>
          <cell r="BT115">
            <v>-5015</v>
          </cell>
          <cell r="BY115">
            <v>-210</v>
          </cell>
          <cell r="CD115">
            <v>398</v>
          </cell>
          <cell r="CI115">
            <v>-3637</v>
          </cell>
          <cell r="CN115">
            <v>7182</v>
          </cell>
          <cell r="CS115">
            <v>-8729</v>
          </cell>
          <cell r="CX115">
            <v>-7644</v>
          </cell>
          <cell r="DC115">
            <v>-1700</v>
          </cell>
          <cell r="DD115">
            <v>-1000</v>
          </cell>
          <cell r="DE115">
            <v>-1000</v>
          </cell>
          <cell r="DF115">
            <v>-700</v>
          </cell>
          <cell r="DG115">
            <v>-700</v>
          </cell>
        </row>
        <row r="116">
          <cell r="B116" t="str">
            <v>Other operating cash flow items</v>
          </cell>
          <cell r="C116" t="str">
            <v>OTH_OP_CF</v>
          </cell>
          <cell r="D116" t="str">
            <v>JPY</v>
          </cell>
          <cell r="K116">
            <v>17113</v>
          </cell>
          <cell r="L116">
            <v>-942</v>
          </cell>
          <cell r="M116">
            <v>4176</v>
          </cell>
          <cell r="N116">
            <v>1342</v>
          </cell>
          <cell r="O116">
            <v>1302</v>
          </cell>
          <cell r="P116">
            <v>6758</v>
          </cell>
          <cell r="Q116">
            <v>5316</v>
          </cell>
          <cell r="V116">
            <v>1759</v>
          </cell>
          <cell r="AA116">
            <v>4940</v>
          </cell>
          <cell r="AF116">
            <v>2913</v>
          </cell>
          <cell r="AK116">
            <v>15527</v>
          </cell>
          <cell r="AP116">
            <v>-10388</v>
          </cell>
          <cell r="AU116">
            <v>-6470</v>
          </cell>
          <cell r="AZ116">
            <v>1757</v>
          </cell>
          <cell r="BE116">
            <v>9376</v>
          </cell>
          <cell r="BJ116">
            <v>3859</v>
          </cell>
          <cell r="BO116">
            <v>-16382.75</v>
          </cell>
          <cell r="BT116">
            <v>1083.4455</v>
          </cell>
          <cell r="BY116">
            <v>-5707.2555000000002</v>
          </cell>
          <cell r="CD116">
            <v>-8207</v>
          </cell>
          <cell r="CI116">
            <v>-714.77100000000098</v>
          </cell>
          <cell r="CN116">
            <v>-1681.55</v>
          </cell>
          <cell r="CS116">
            <v>771.14700000000096</v>
          </cell>
          <cell r="CX116">
            <v>-5318</v>
          </cell>
          <cell r="DC116">
            <v>-10688</v>
          </cell>
          <cell r="DD116">
            <v>-10900</v>
          </cell>
          <cell r="DE116">
            <v>-11100</v>
          </cell>
          <cell r="DF116">
            <v>-11300</v>
          </cell>
          <cell r="DG116">
            <v>-11500</v>
          </cell>
        </row>
        <row r="117">
          <cell r="B117" t="str">
            <v>Cash flow from operating activities</v>
          </cell>
          <cell r="C117" t="str">
            <v>CF_OPS</v>
          </cell>
          <cell r="D117" t="str">
            <v>JPY</v>
          </cell>
          <cell r="K117">
            <v>40670</v>
          </cell>
          <cell r="L117">
            <v>21961</v>
          </cell>
          <cell r="M117">
            <v>22810</v>
          </cell>
          <cell r="N117">
            <v>23027</v>
          </cell>
          <cell r="O117">
            <v>22213</v>
          </cell>
          <cell r="P117">
            <v>30259</v>
          </cell>
          <cell r="Q117">
            <v>26635</v>
          </cell>
          <cell r="V117">
            <v>26976</v>
          </cell>
          <cell r="AA117">
            <v>25875</v>
          </cell>
          <cell r="AF117">
            <v>26872</v>
          </cell>
          <cell r="AK117">
            <v>45988</v>
          </cell>
          <cell r="AP117">
            <v>23524</v>
          </cell>
          <cell r="AU117">
            <v>27216</v>
          </cell>
          <cell r="AZ117">
            <v>33302</v>
          </cell>
          <cell r="BE117">
            <v>39264</v>
          </cell>
          <cell r="BJ117">
            <v>34732</v>
          </cell>
          <cell r="BO117">
            <v>26165</v>
          </cell>
          <cell r="BT117">
            <v>37029</v>
          </cell>
          <cell r="BY117">
            <v>43015</v>
          </cell>
          <cell r="CD117">
            <v>32418</v>
          </cell>
          <cell r="CI117">
            <v>53593</v>
          </cell>
          <cell r="CN117">
            <v>75705</v>
          </cell>
          <cell r="CS117">
            <v>59628</v>
          </cell>
          <cell r="CX117">
            <v>65116</v>
          </cell>
          <cell r="DC117">
            <v>81012</v>
          </cell>
          <cell r="DD117">
            <v>87600</v>
          </cell>
          <cell r="DE117">
            <v>92700</v>
          </cell>
          <cell r="DF117">
            <v>98800</v>
          </cell>
          <cell r="DG117">
            <v>104500</v>
          </cell>
        </row>
        <row r="118">
          <cell r="B118" t="str">
            <v>Capital expenditures, Capex</v>
          </cell>
          <cell r="C118" t="str">
            <v>CAPEX</v>
          </cell>
          <cell r="D118" t="str">
            <v>JPY</v>
          </cell>
          <cell r="K118">
            <v>-6698</v>
          </cell>
          <cell r="L118">
            <v>-4278</v>
          </cell>
          <cell r="M118">
            <v>-6303</v>
          </cell>
          <cell r="N118">
            <v>-6831</v>
          </cell>
          <cell r="O118">
            <v>-7364</v>
          </cell>
          <cell r="P118">
            <v>-3061</v>
          </cell>
          <cell r="Q118">
            <v>-3124</v>
          </cell>
          <cell r="V118">
            <v>-5539</v>
          </cell>
          <cell r="AA118">
            <v>-9572</v>
          </cell>
          <cell r="AF118">
            <v>-18215</v>
          </cell>
          <cell r="AK118">
            <v>-15275</v>
          </cell>
          <cell r="AP118">
            <v>-32328</v>
          </cell>
          <cell r="AU118">
            <v>-17650</v>
          </cell>
          <cell r="AZ118">
            <v>-18930</v>
          </cell>
          <cell r="BE118">
            <v>-27527</v>
          </cell>
          <cell r="BJ118">
            <v>-22959</v>
          </cell>
          <cell r="BO118">
            <v>-32785</v>
          </cell>
          <cell r="BT118">
            <v>-36340</v>
          </cell>
          <cell r="BY118">
            <v>-52007</v>
          </cell>
          <cell r="CD118">
            <v>-57602</v>
          </cell>
          <cell r="CI118">
            <v>-39742</v>
          </cell>
          <cell r="CN118">
            <v>-34032</v>
          </cell>
          <cell r="CS118">
            <v>-28309</v>
          </cell>
          <cell r="CX118">
            <v>-32535</v>
          </cell>
          <cell r="DC118">
            <v>-70000</v>
          </cell>
          <cell r="DD118">
            <v>-72000</v>
          </cell>
          <cell r="DE118">
            <v>-73000</v>
          </cell>
          <cell r="DF118">
            <v>-69000</v>
          </cell>
          <cell r="DG118">
            <v>-66000</v>
          </cell>
        </row>
        <row r="119">
          <cell r="B119" t="str">
            <v>Acquisitions</v>
          </cell>
          <cell r="C119" t="str">
            <v>ACQ</v>
          </cell>
          <cell r="D119" t="str">
            <v>JPY</v>
          </cell>
          <cell r="AZ119">
            <v>-1903</v>
          </cell>
          <cell r="CS119">
            <v>-639</v>
          </cell>
        </row>
        <row r="120">
          <cell r="B120" t="str">
            <v>Divestitures</v>
          </cell>
          <cell r="C120" t="str">
            <v>DIVEST</v>
          </cell>
          <cell r="D120" t="str">
            <v>JPY</v>
          </cell>
          <cell r="CN120">
            <v>1230</v>
          </cell>
        </row>
        <row r="121">
          <cell r="B121" t="str">
            <v>Other investing cash flow items</v>
          </cell>
          <cell r="C121" t="str">
            <v>OTH_INV_CF</v>
          </cell>
          <cell r="D121" t="str">
            <v>JPY</v>
          </cell>
          <cell r="K121">
            <v>-56046</v>
          </cell>
          <cell r="L121">
            <v>3239</v>
          </cell>
          <cell r="M121">
            <v>11736</v>
          </cell>
          <cell r="N121">
            <v>-21986</v>
          </cell>
          <cell r="O121">
            <v>-11403</v>
          </cell>
          <cell r="P121">
            <v>-27287</v>
          </cell>
          <cell r="Q121">
            <v>-16830</v>
          </cell>
          <cell r="V121">
            <v>1020</v>
          </cell>
          <cell r="AA121">
            <v>-7028</v>
          </cell>
          <cell r="AF121">
            <v>-13614</v>
          </cell>
          <cell r="AK121">
            <v>13567</v>
          </cell>
          <cell r="AP121">
            <v>-1089</v>
          </cell>
          <cell r="AU121">
            <v>4819</v>
          </cell>
          <cell r="AZ121">
            <v>-10418</v>
          </cell>
          <cell r="BE121">
            <v>18020</v>
          </cell>
          <cell r="BJ121">
            <v>18119</v>
          </cell>
          <cell r="BO121">
            <v>-12974</v>
          </cell>
          <cell r="BT121">
            <v>6526</v>
          </cell>
          <cell r="BY121">
            <v>4226</v>
          </cell>
          <cell r="CD121">
            <v>13058</v>
          </cell>
          <cell r="CI121">
            <v>-671</v>
          </cell>
          <cell r="CN121">
            <v>6274</v>
          </cell>
          <cell r="CS121">
            <v>25480</v>
          </cell>
          <cell r="CX121">
            <v>478</v>
          </cell>
        </row>
        <row r="122">
          <cell r="B122" t="str">
            <v>Cash flow from investing</v>
          </cell>
          <cell r="C122" t="str">
            <v>CF_INV</v>
          </cell>
          <cell r="D122" t="str">
            <v>JPY</v>
          </cell>
          <cell r="K122">
            <v>-62744</v>
          </cell>
          <cell r="L122">
            <v>-1039</v>
          </cell>
          <cell r="M122">
            <v>5433</v>
          </cell>
          <cell r="N122">
            <v>-28817</v>
          </cell>
          <cell r="O122">
            <v>-18767</v>
          </cell>
          <cell r="P122">
            <v>-30348</v>
          </cell>
          <cell r="Q122">
            <v>-19954</v>
          </cell>
          <cell r="V122">
            <v>-4519</v>
          </cell>
          <cell r="AA122">
            <v>-16600</v>
          </cell>
          <cell r="AF122">
            <v>-31829</v>
          </cell>
          <cell r="AK122">
            <v>-1708</v>
          </cell>
          <cell r="AP122">
            <v>-33417</v>
          </cell>
          <cell r="AU122">
            <v>-12831</v>
          </cell>
          <cell r="AZ122">
            <v>-31251</v>
          </cell>
          <cell r="BE122">
            <v>-9507</v>
          </cell>
          <cell r="BJ122">
            <v>-4840</v>
          </cell>
          <cell r="BO122">
            <v>-45759</v>
          </cell>
          <cell r="BT122">
            <v>-29814</v>
          </cell>
          <cell r="BY122">
            <v>-47781</v>
          </cell>
          <cell r="CD122">
            <v>-44544</v>
          </cell>
          <cell r="CI122">
            <v>-40413</v>
          </cell>
          <cell r="CN122">
            <v>-26528</v>
          </cell>
          <cell r="CS122">
            <v>-3468</v>
          </cell>
          <cell r="CX122">
            <v>-32057</v>
          </cell>
          <cell r="DC122">
            <v>-70000</v>
          </cell>
          <cell r="DD122">
            <v>-72000</v>
          </cell>
          <cell r="DE122">
            <v>-73000</v>
          </cell>
          <cell r="DF122">
            <v>-69000</v>
          </cell>
          <cell r="DG122">
            <v>-66000</v>
          </cell>
        </row>
        <row r="123">
          <cell r="B123" t="str">
            <v>Dividends paid</v>
          </cell>
          <cell r="C123" t="str">
            <v>DIV_PAID</v>
          </cell>
          <cell r="D123" t="str">
            <v>JPY</v>
          </cell>
          <cell r="K123">
            <v>-3133</v>
          </cell>
          <cell r="L123">
            <v>-3466</v>
          </cell>
          <cell r="M123">
            <v>-3071</v>
          </cell>
          <cell r="N123">
            <v>-3783</v>
          </cell>
          <cell r="O123">
            <v>-3715</v>
          </cell>
          <cell r="P123">
            <v>-3715</v>
          </cell>
          <cell r="Q123">
            <v>-5565</v>
          </cell>
          <cell r="V123">
            <v>-6070</v>
          </cell>
          <cell r="AA123">
            <v>-4890</v>
          </cell>
          <cell r="AF123">
            <v>-6112</v>
          </cell>
          <cell r="AK123">
            <v>-5947</v>
          </cell>
          <cell r="AP123">
            <v>-7746</v>
          </cell>
          <cell r="AU123">
            <v>-8280</v>
          </cell>
          <cell r="AZ123">
            <v>-8263</v>
          </cell>
          <cell r="BE123">
            <v>-8266</v>
          </cell>
          <cell r="BJ123">
            <v>-8267</v>
          </cell>
          <cell r="BO123">
            <v>-8730</v>
          </cell>
          <cell r="BT123">
            <v>-9011</v>
          </cell>
          <cell r="BY123">
            <v>-9371</v>
          </cell>
          <cell r="CD123">
            <v>-11457</v>
          </cell>
          <cell r="CI123">
            <v>-11458</v>
          </cell>
          <cell r="CN123">
            <v>-12500</v>
          </cell>
          <cell r="CS123">
            <v>-13359</v>
          </cell>
          <cell r="CX123">
            <v>-14188</v>
          </cell>
          <cell r="DC123">
            <v>-21200</v>
          </cell>
          <cell r="DD123">
            <v>-22400</v>
          </cell>
          <cell r="DE123">
            <v>-24100</v>
          </cell>
          <cell r="DF123">
            <v>-25200</v>
          </cell>
          <cell r="DG123">
            <v>-26900</v>
          </cell>
        </row>
        <row r="124">
          <cell r="B124" t="str">
            <v>Common stock issuance/(repurchase)</v>
          </cell>
          <cell r="C124" t="str">
            <v>SH_REPUR</v>
          </cell>
          <cell r="D124" t="str">
            <v>JPY</v>
          </cell>
          <cell r="AK124">
            <v>-34047</v>
          </cell>
          <cell r="AP124">
            <v>-3</v>
          </cell>
          <cell r="AU124">
            <v>-1477</v>
          </cell>
          <cell r="AZ124">
            <v>-2</v>
          </cell>
          <cell r="BE124">
            <v>-6</v>
          </cell>
          <cell r="BJ124">
            <v>-9</v>
          </cell>
          <cell r="BO124">
            <v>-14180</v>
          </cell>
          <cell r="BT124">
            <v>-22939</v>
          </cell>
          <cell r="BY124">
            <v>-8</v>
          </cell>
          <cell r="CD124">
            <v>-8</v>
          </cell>
          <cell r="CI124">
            <v>-6</v>
          </cell>
          <cell r="CN124">
            <v>-4</v>
          </cell>
          <cell r="CS124">
            <v>-14664</v>
          </cell>
          <cell r="CX124">
            <v>-9812</v>
          </cell>
          <cell r="DC124">
            <v>-5000</v>
          </cell>
          <cell r="DD124">
            <v>-5000</v>
          </cell>
          <cell r="DE124">
            <v>-5000</v>
          </cell>
          <cell r="DF124">
            <v>-5000</v>
          </cell>
          <cell r="DG124">
            <v>-5000</v>
          </cell>
        </row>
        <row r="125">
          <cell r="B125" t="str">
            <v>Increase/(decrease) in total debt</v>
          </cell>
          <cell r="C125" t="str">
            <v>CHG_LT_DEBT</v>
          </cell>
          <cell r="D125" t="str">
            <v>JPY</v>
          </cell>
          <cell r="AU125">
            <v>403</v>
          </cell>
          <cell r="AZ125">
            <v>-1693</v>
          </cell>
          <cell r="BE125">
            <v>-132</v>
          </cell>
          <cell r="BJ125">
            <v>396</v>
          </cell>
          <cell r="BO125">
            <v>17284</v>
          </cell>
          <cell r="BT125">
            <v>2839</v>
          </cell>
          <cell r="BY125">
            <v>-16021</v>
          </cell>
          <cell r="CD125">
            <v>21817</v>
          </cell>
          <cell r="CI125">
            <v>6105</v>
          </cell>
          <cell r="CN125">
            <v>-1478</v>
          </cell>
          <cell r="CS125">
            <v>-3561</v>
          </cell>
          <cell r="CX125">
            <v>-9276</v>
          </cell>
        </row>
        <row r="126">
          <cell r="B126" t="str">
            <v>Lease principal payments  (applicable to IFRS cos.)</v>
          </cell>
          <cell r="C126" t="str">
            <v>LEASE_PRINCIPAL_CASH</v>
          </cell>
          <cell r="D126" t="str">
            <v>JPY</v>
          </cell>
          <cell r="CD126">
            <v>-320</v>
          </cell>
          <cell r="CI126">
            <v>-4183</v>
          </cell>
          <cell r="CN126">
            <v>-5119</v>
          </cell>
          <cell r="CS126">
            <v>-5507</v>
          </cell>
        </row>
        <row r="127">
          <cell r="B127" t="str">
            <v>Other financing cash flow items</v>
          </cell>
          <cell r="C127" t="str">
            <v>OTH_FIN_CF</v>
          </cell>
          <cell r="D127" t="str">
            <v>JPY</v>
          </cell>
          <cell r="K127">
            <v>-8841</v>
          </cell>
          <cell r="L127">
            <v>790</v>
          </cell>
          <cell r="M127">
            <v>-2816</v>
          </cell>
          <cell r="N127">
            <v>-7667</v>
          </cell>
          <cell r="O127">
            <v>-1473</v>
          </cell>
          <cell r="P127">
            <v>-2009</v>
          </cell>
          <cell r="Q127">
            <v>-5872</v>
          </cell>
          <cell r="V127">
            <v>-1468</v>
          </cell>
          <cell r="AA127">
            <v>-2306</v>
          </cell>
          <cell r="AF127">
            <v>649</v>
          </cell>
          <cell r="AK127">
            <v>2122</v>
          </cell>
          <cell r="AP127">
            <v>1177</v>
          </cell>
          <cell r="AU127">
            <v>-88</v>
          </cell>
          <cell r="AZ127">
            <v>-112</v>
          </cell>
          <cell r="BE127">
            <v>-121</v>
          </cell>
          <cell r="BJ127">
            <v>-142</v>
          </cell>
          <cell r="BO127">
            <v>2616</v>
          </cell>
          <cell r="BT127">
            <v>3056</v>
          </cell>
          <cell r="BY127">
            <v>14274</v>
          </cell>
          <cell r="CD127">
            <v>3037</v>
          </cell>
          <cell r="CI127">
            <v>-600</v>
          </cell>
          <cell r="CN127">
            <v>55</v>
          </cell>
          <cell r="CS127">
            <v>-7358</v>
          </cell>
          <cell r="CX127">
            <v>-14707</v>
          </cell>
          <cell r="DC127">
            <v>-6212</v>
          </cell>
          <cell r="DD127">
            <v>-6200</v>
          </cell>
          <cell r="DE127">
            <v>-6200</v>
          </cell>
          <cell r="DF127">
            <v>-6200</v>
          </cell>
          <cell r="DG127">
            <v>-6200</v>
          </cell>
        </row>
        <row r="128">
          <cell r="B128" t="str">
            <v>Cash flow from financing</v>
          </cell>
          <cell r="C128" t="str">
            <v>CF_FIN</v>
          </cell>
          <cell r="D128" t="str">
            <v>JPY</v>
          </cell>
          <cell r="K128">
            <v>-11974</v>
          </cell>
          <cell r="L128">
            <v>-2676</v>
          </cell>
          <cell r="M128">
            <v>-5887</v>
          </cell>
          <cell r="N128">
            <v>-11450</v>
          </cell>
          <cell r="O128">
            <v>-5188</v>
          </cell>
          <cell r="P128">
            <v>-5724</v>
          </cell>
          <cell r="Q128">
            <v>-11437</v>
          </cell>
          <cell r="V128">
            <v>-7538</v>
          </cell>
          <cell r="AA128">
            <v>-7196</v>
          </cell>
          <cell r="AF128">
            <v>-5463</v>
          </cell>
          <cell r="AK128">
            <v>-37872</v>
          </cell>
          <cell r="AP128">
            <v>-6572</v>
          </cell>
          <cell r="AU128">
            <v>-9442</v>
          </cell>
          <cell r="AZ128">
            <v>-10070</v>
          </cell>
          <cell r="BE128">
            <v>-8525</v>
          </cell>
          <cell r="BJ128">
            <v>-8022</v>
          </cell>
          <cell r="BO128">
            <v>-3010</v>
          </cell>
          <cell r="BT128">
            <v>-26055</v>
          </cell>
          <cell r="BY128">
            <v>-11126</v>
          </cell>
          <cell r="CD128">
            <v>13069</v>
          </cell>
          <cell r="CI128">
            <v>-10142</v>
          </cell>
          <cell r="CN128">
            <v>-19046</v>
          </cell>
          <cell r="CS128">
            <v>-44449</v>
          </cell>
          <cell r="CX128">
            <v>-47983</v>
          </cell>
          <cell r="DC128">
            <v>-32412</v>
          </cell>
          <cell r="DD128">
            <v>-33600</v>
          </cell>
          <cell r="DE128">
            <v>-35300</v>
          </cell>
          <cell r="DF128">
            <v>-36400</v>
          </cell>
          <cell r="DG128">
            <v>-38100</v>
          </cell>
        </row>
        <row r="129">
          <cell r="B129" t="str">
            <v>Total cash flow</v>
          </cell>
          <cell r="C129" t="str">
            <v>TOT_CF</v>
          </cell>
          <cell r="D129" t="str">
            <v>JPY</v>
          </cell>
          <cell r="K129">
            <v>-34048</v>
          </cell>
          <cell r="L129">
            <v>18246</v>
          </cell>
          <cell r="M129">
            <v>22356</v>
          </cell>
          <cell r="N129">
            <v>-17240</v>
          </cell>
          <cell r="O129">
            <v>-1742</v>
          </cell>
          <cell r="P129">
            <v>-5813</v>
          </cell>
          <cell r="Q129">
            <v>-4756</v>
          </cell>
          <cell r="V129">
            <v>14919</v>
          </cell>
          <cell r="AA129">
            <v>2079</v>
          </cell>
          <cell r="AF129">
            <v>-10420</v>
          </cell>
          <cell r="AK129">
            <v>6408</v>
          </cell>
          <cell r="AP129">
            <v>-16465</v>
          </cell>
          <cell r="AU129">
            <v>4943</v>
          </cell>
          <cell r="AZ129">
            <v>-8019</v>
          </cell>
          <cell r="BE129">
            <v>21232</v>
          </cell>
          <cell r="BJ129">
            <v>21870</v>
          </cell>
          <cell r="BO129">
            <v>-22604</v>
          </cell>
          <cell r="BT129">
            <v>-18840</v>
          </cell>
          <cell r="BY129">
            <v>-15892</v>
          </cell>
          <cell r="CD129">
            <v>943</v>
          </cell>
          <cell r="CI129">
            <v>3038</v>
          </cell>
          <cell r="CN129">
            <v>30131</v>
          </cell>
          <cell r="CS129">
            <v>11711</v>
          </cell>
          <cell r="CX129">
            <v>-14617</v>
          </cell>
          <cell r="DC129">
            <v>-21388</v>
          </cell>
          <cell r="DD129">
            <v>-18000</v>
          </cell>
          <cell r="DE129">
            <v>-15600</v>
          </cell>
          <cell r="DF129">
            <v>-6600</v>
          </cell>
          <cell r="DG129">
            <v>400</v>
          </cell>
        </row>
        <row r="130">
          <cell r="A130" t="str">
            <v>Additional Cash Flow Items</v>
          </cell>
        </row>
        <row r="131">
          <cell r="B131" t="str">
            <v>Associate and JV add-back</v>
          </cell>
          <cell r="C131" t="str">
            <v>ASSOC_JV_ADDBK</v>
          </cell>
          <cell r="D131" t="str">
            <v>JPY</v>
          </cell>
        </row>
        <row r="132">
          <cell r="B132" t="str">
            <v>Profit/(loss) on sale of assets</v>
          </cell>
          <cell r="C132" t="str">
            <v>PL_SALE_ASSETS</v>
          </cell>
          <cell r="D132" t="str">
            <v>JPY</v>
          </cell>
        </row>
        <row r="133">
          <cell r="B133" t="str">
            <v>Other non-cash adjustments</v>
          </cell>
          <cell r="C133" t="str">
            <v>OTH_NONCASH_ADJ</v>
          </cell>
          <cell r="D133" t="str">
            <v>JPY</v>
          </cell>
        </row>
        <row r="134">
          <cell r="B134" t="str">
            <v>Other DACF adjustments</v>
          </cell>
          <cell r="C134" t="str">
            <v>OTH_DACF_ADJ</v>
          </cell>
          <cell r="D134" t="str">
            <v>JPY</v>
          </cell>
        </row>
        <row r="135">
          <cell r="B135" t="str">
            <v>Cash interest expense</v>
          </cell>
          <cell r="C135" t="str">
            <v>CASH_INT_EXP</v>
          </cell>
          <cell r="D135" t="str">
            <v>JPY</v>
          </cell>
        </row>
        <row r="136">
          <cell r="B136" t="str">
            <v>Cash tax expense</v>
          </cell>
          <cell r="C136" t="str">
            <v>CASH_TAX_EXP</v>
          </cell>
          <cell r="D136" t="str">
            <v>JPY</v>
          </cell>
        </row>
        <row r="137">
          <cell r="B137" t="str">
            <v>Dividends received from associates/JVs</v>
          </cell>
          <cell r="C137" t="str">
            <v>DIVDS_ASSOC_JV</v>
          </cell>
          <cell r="D137" t="str">
            <v>JPY</v>
          </cell>
        </row>
        <row r="138">
          <cell r="B138" t="str">
            <v>Capex maintenance</v>
          </cell>
          <cell r="C138" t="str">
            <v>CAPEX_MAINTENANCE</v>
          </cell>
          <cell r="D138" t="str">
            <v>JPY</v>
          </cell>
        </row>
        <row r="139">
          <cell r="B139" t="str">
            <v>Capex expansion</v>
          </cell>
          <cell r="C139" t="str">
            <v>CAPEX_EXPANSION</v>
          </cell>
          <cell r="D139" t="str">
            <v>JPY</v>
          </cell>
        </row>
        <row r="140">
          <cell r="B140" t="str">
            <v>Non-PP&amp;E capex</v>
          </cell>
          <cell r="C140" t="str">
            <v>NONPPE_CAPEX</v>
          </cell>
          <cell r="D140" t="str">
            <v>JPY</v>
          </cell>
        </row>
        <row r="141">
          <cell r="B141" t="str">
            <v>Dividends paid to minorities</v>
          </cell>
          <cell r="C141" t="str">
            <v>DIVDS_PD_MINORITIES</v>
          </cell>
          <cell r="D141" t="str">
            <v>JPY</v>
          </cell>
        </row>
        <row r="142">
          <cell r="B142" t="str">
            <v>Capital expenditures (excl. leases)</v>
          </cell>
          <cell r="C142" t="str">
            <v>CAPEX_EX_LEASES</v>
          </cell>
          <cell r="D142" t="str">
            <v>JPY</v>
          </cell>
          <cell r="K142">
            <v>-6698</v>
          </cell>
          <cell r="L142">
            <v>-4278</v>
          </cell>
          <cell r="M142">
            <v>-6303</v>
          </cell>
          <cell r="N142">
            <v>-6831</v>
          </cell>
          <cell r="O142">
            <v>-7364</v>
          </cell>
          <cell r="P142">
            <v>-3061</v>
          </cell>
          <cell r="Q142">
            <v>-3124</v>
          </cell>
          <cell r="V142">
            <v>-5539</v>
          </cell>
          <cell r="AA142">
            <v>-9572</v>
          </cell>
          <cell r="AF142">
            <v>-18215</v>
          </cell>
          <cell r="AK142">
            <v>-15275</v>
          </cell>
          <cell r="AP142">
            <v>-32328</v>
          </cell>
          <cell r="AU142">
            <v>-17650</v>
          </cell>
          <cell r="AZ142">
            <v>-18930</v>
          </cell>
          <cell r="BE142">
            <v>-27527</v>
          </cell>
          <cell r="BJ142">
            <v>-22959</v>
          </cell>
          <cell r="BO142">
            <v>-32785</v>
          </cell>
          <cell r="BT142">
            <v>-36340</v>
          </cell>
          <cell r="BY142">
            <v>-52007</v>
          </cell>
          <cell r="CD142">
            <v>-57602</v>
          </cell>
          <cell r="CI142">
            <v>-39742</v>
          </cell>
          <cell r="CN142">
            <v>-34032</v>
          </cell>
          <cell r="CS142">
            <v>-28309</v>
          </cell>
          <cell r="CX142">
            <v>-32535</v>
          </cell>
          <cell r="DC142">
            <v>-70000</v>
          </cell>
          <cell r="DD142">
            <v>-72000</v>
          </cell>
          <cell r="DE142">
            <v>-73000</v>
          </cell>
          <cell r="DF142">
            <v>-69000</v>
          </cell>
          <cell r="DG142">
            <v>-66000</v>
          </cell>
        </row>
        <row r="143">
          <cell r="A143" t="str">
            <v>Other Items</v>
          </cell>
        </row>
        <row r="144">
          <cell r="B144" t="str">
            <v>Number of employees</v>
          </cell>
          <cell r="C144" t="str">
            <v>EMPLOYEES</v>
          </cell>
          <cell r="AZ144">
            <v>7.8220000000000001</v>
          </cell>
          <cell r="BE144">
            <v>7.9805000000000001</v>
          </cell>
          <cell r="BJ144">
            <v>8.6999999999999993</v>
          </cell>
          <cell r="BO144">
            <v>11.2</v>
          </cell>
          <cell r="BT144">
            <v>11.7</v>
          </cell>
          <cell r="BY144">
            <v>11.8</v>
          </cell>
        </row>
        <row r="145">
          <cell r="B145" t="str">
            <v>Media/advertising expense</v>
          </cell>
          <cell r="C145" t="str">
            <v>MEDIA_ADVERTISING</v>
          </cell>
          <cell r="D145" t="str">
            <v>JPY</v>
          </cell>
          <cell r="AZ145">
            <v>11000</v>
          </cell>
          <cell r="BE145">
            <v>12062.169910696301</v>
          </cell>
        </row>
        <row r="146">
          <cell r="A146" t="str">
            <v>COGS Breakdown</v>
          </cell>
        </row>
        <row r="147">
          <cell r="B147" t="str">
            <v>% of COGS from Corn</v>
          </cell>
          <cell r="C147" t="str">
            <v>COGS_CORN</v>
          </cell>
          <cell r="AZ147">
            <v>0</v>
          </cell>
          <cell r="BE147">
            <v>0</v>
          </cell>
        </row>
        <row r="148">
          <cell r="B148" t="str">
            <v>% of COGS from Wheat</v>
          </cell>
          <cell r="C148" t="str">
            <v>COGS_WHEAT</v>
          </cell>
          <cell r="AZ148">
            <v>0.2</v>
          </cell>
          <cell r="BE148">
            <v>0.2</v>
          </cell>
        </row>
        <row r="149">
          <cell r="B149" t="str">
            <v>% of COGS from Other agriculture</v>
          </cell>
          <cell r="C149" t="str">
            <v>COGS_OTH_AGRI</v>
          </cell>
          <cell r="AZ149">
            <v>0</v>
          </cell>
          <cell r="BE149">
            <v>0</v>
          </cell>
        </row>
        <row r="150">
          <cell r="B150" t="str">
            <v>% of COGS from Beef</v>
          </cell>
          <cell r="C150" t="str">
            <v>COGS_BEEF</v>
          </cell>
          <cell r="AZ150">
            <v>0</v>
          </cell>
          <cell r="BE150">
            <v>0</v>
          </cell>
        </row>
        <row r="151">
          <cell r="B151" t="str">
            <v>% of COGS from Chicken</v>
          </cell>
          <cell r="C151" t="str">
            <v>COGS_CHICKEN</v>
          </cell>
          <cell r="AZ151">
            <v>0</v>
          </cell>
          <cell r="BE151">
            <v>0</v>
          </cell>
        </row>
        <row r="152">
          <cell r="B152" t="str">
            <v>% of COGS from Pork</v>
          </cell>
          <cell r="C152" t="str">
            <v>COGS_PORK</v>
          </cell>
          <cell r="AZ152">
            <v>0</v>
          </cell>
          <cell r="BE152">
            <v>0</v>
          </cell>
        </row>
        <row r="153">
          <cell r="B153" t="str">
            <v>% of COGS from Sugar</v>
          </cell>
          <cell r="C153" t="str">
            <v>COGS_SUGAR</v>
          </cell>
          <cell r="AZ153">
            <v>0</v>
          </cell>
          <cell r="BE153">
            <v>0</v>
          </cell>
        </row>
        <row r="154">
          <cell r="B154" t="str">
            <v>% of COGS from Coffee</v>
          </cell>
          <cell r="C154" t="str">
            <v>COGS_COFFEE</v>
          </cell>
          <cell r="AZ154">
            <v>0</v>
          </cell>
          <cell r="BE154">
            <v>0</v>
          </cell>
        </row>
        <row r="155">
          <cell r="B155" t="str">
            <v>% of COGS from Dairy</v>
          </cell>
          <cell r="C155" t="str">
            <v>COGS_DAIRY</v>
          </cell>
          <cell r="AZ155">
            <v>0</v>
          </cell>
          <cell r="BE155">
            <v>0</v>
          </cell>
        </row>
        <row r="156">
          <cell r="B156" t="str">
            <v>% of COGS from Nuts</v>
          </cell>
          <cell r="C156" t="str">
            <v>COGS_NUTS</v>
          </cell>
          <cell r="AZ156">
            <v>0</v>
          </cell>
          <cell r="BE156">
            <v>0</v>
          </cell>
        </row>
        <row r="157">
          <cell r="B157" t="str">
            <v>% of COGS from Palm oil</v>
          </cell>
          <cell r="C157" t="str">
            <v>COGS_PALM_OIL</v>
          </cell>
          <cell r="AZ157">
            <v>0.1</v>
          </cell>
          <cell r="BE157">
            <v>0.1</v>
          </cell>
        </row>
        <row r="158">
          <cell r="B158" t="str">
            <v>% of COGS from Other edible oil</v>
          </cell>
          <cell r="C158" t="str">
            <v>COGS_OTH_EDIBLE_OIL</v>
          </cell>
          <cell r="AZ158">
            <v>0</v>
          </cell>
          <cell r="BE158">
            <v>0</v>
          </cell>
        </row>
        <row r="159">
          <cell r="B159" t="str">
            <v>% of COGS from Soybean</v>
          </cell>
          <cell r="C159" t="str">
            <v>COGS_SOYBEAN</v>
          </cell>
          <cell r="AZ159">
            <v>0</v>
          </cell>
          <cell r="BE159">
            <v>0</v>
          </cell>
        </row>
        <row r="160">
          <cell r="B160" t="str">
            <v>% of COGS from Tobacco leaf</v>
          </cell>
          <cell r="C160" t="str">
            <v>COGS_TOBACCO</v>
          </cell>
          <cell r="AZ160">
            <v>0</v>
          </cell>
          <cell r="BE160">
            <v>0</v>
          </cell>
        </row>
        <row r="161">
          <cell r="B161" t="str">
            <v>% of COGS from Energy</v>
          </cell>
          <cell r="C161" t="str">
            <v>COGS_ENERGY</v>
          </cell>
          <cell r="AZ161">
            <v>0.05</v>
          </cell>
          <cell r="BE161">
            <v>0.05</v>
          </cell>
        </row>
        <row r="162">
          <cell r="B162" t="str">
            <v>% of COGS from Raws - Pulp</v>
          </cell>
          <cell r="C162" t="str">
            <v>COGS_RAW_PULP</v>
          </cell>
          <cell r="AZ162">
            <v>0</v>
          </cell>
          <cell r="BE162">
            <v>0</v>
          </cell>
        </row>
        <row r="163">
          <cell r="B163" t="str">
            <v>% of COGS from Raws - Oil derivatives</v>
          </cell>
          <cell r="C163" t="str">
            <v>COGS_RAW_OIL_DERIV</v>
          </cell>
          <cell r="AZ163">
            <v>0</v>
          </cell>
          <cell r="BE163">
            <v>0</v>
          </cell>
        </row>
        <row r="164">
          <cell r="B164" t="str">
            <v>% of COGS from Raws - Other</v>
          </cell>
          <cell r="C164" t="str">
            <v>COGS_RAW_OTH</v>
          </cell>
          <cell r="AZ164">
            <v>0</v>
          </cell>
          <cell r="BE164">
            <v>0</v>
          </cell>
        </row>
        <row r="165">
          <cell r="B165" t="str">
            <v>% of COGS from Pack - Paper/pulp</v>
          </cell>
          <cell r="C165" t="str">
            <v>COGS_PACK_PAPER</v>
          </cell>
          <cell r="AZ165">
            <v>0</v>
          </cell>
          <cell r="BE165">
            <v>0</v>
          </cell>
        </row>
        <row r="166">
          <cell r="B166" t="str">
            <v>% of COGS from Pack - Glass</v>
          </cell>
          <cell r="C166" t="str">
            <v>COGS_PACK_GLASS</v>
          </cell>
          <cell r="AZ166">
            <v>0</v>
          </cell>
          <cell r="BE166">
            <v>0</v>
          </cell>
        </row>
        <row r="167">
          <cell r="B167" t="str">
            <v>% of COGS from Pack - Oil derivatives/plastics</v>
          </cell>
          <cell r="C167" t="str">
            <v>COGS_PACK_OIL_DERIV</v>
          </cell>
          <cell r="AZ167">
            <v>0</v>
          </cell>
          <cell r="BE167">
            <v>0</v>
          </cell>
        </row>
        <row r="168">
          <cell r="B168" t="str">
            <v>% of COGS from Pack - Tin</v>
          </cell>
          <cell r="C168" t="str">
            <v>COGS_PACK_TIN</v>
          </cell>
          <cell r="AZ168">
            <v>0</v>
          </cell>
          <cell r="BE168">
            <v>0</v>
          </cell>
        </row>
        <row r="169">
          <cell r="B169" t="str">
            <v>% of COGS from Pack - Aluminium</v>
          </cell>
          <cell r="C169" t="str">
            <v>COGS_PACK_ALUM</v>
          </cell>
          <cell r="AZ169">
            <v>0</v>
          </cell>
          <cell r="BE169">
            <v>0</v>
          </cell>
        </row>
        <row r="170">
          <cell r="B170" t="str">
            <v>% of COGS from Overhead / wages</v>
          </cell>
          <cell r="C170" t="str">
            <v>COGS_OH_WAGES</v>
          </cell>
          <cell r="AZ170">
            <v>0.1</v>
          </cell>
          <cell r="BE170">
            <v>0.1</v>
          </cell>
        </row>
        <row r="171">
          <cell r="A171" t="str">
            <v>Regional Sales Growth</v>
          </cell>
        </row>
        <row r="172">
          <cell r="B172" t="str">
            <v>North America sales growth</v>
          </cell>
          <cell r="C172" t="str">
            <v>NAMERICA_SALES_GROWTH</v>
          </cell>
          <cell r="AZ172">
            <v>7.2796934866000002E-2</v>
          </cell>
          <cell r="BE172">
            <v>0.23283124999999999</v>
          </cell>
          <cell r="BJ172">
            <v>0.14827035330300001</v>
          </cell>
          <cell r="BO172">
            <v>0.103806058401</v>
          </cell>
        </row>
        <row r="173">
          <cell r="B173" t="str">
            <v>LatAm sales growth</v>
          </cell>
          <cell r="C173" t="str">
            <v>LATAM_SALES_GROWTH</v>
          </cell>
          <cell r="AZ173">
            <v>-1.2986362455999999E-2</v>
          </cell>
          <cell r="BE173">
            <v>0.17299836275800001</v>
          </cell>
          <cell r="BJ173">
            <v>2.3030875849000002E-2</v>
          </cell>
          <cell r="BO173">
            <v>-0.110862148424</v>
          </cell>
        </row>
        <row r="174">
          <cell r="B174" t="str">
            <v>Europe sales growth</v>
          </cell>
          <cell r="C174" t="str">
            <v>EUROPE_SALES_GROWTH</v>
          </cell>
          <cell r="AZ174">
            <v>-6.8965517241000002E-2</v>
          </cell>
          <cell r="BE174">
            <v>1.2222222222220001</v>
          </cell>
          <cell r="BJ174">
            <v>-0.21666666666699999</v>
          </cell>
          <cell r="BO174">
            <v>-1</v>
          </cell>
        </row>
        <row r="175">
          <cell r="B175" t="str">
            <v>EEMEA sales growth</v>
          </cell>
          <cell r="C175" t="str">
            <v>EEMEA_SALES_GROWTH</v>
          </cell>
          <cell r="AZ175">
            <v>0</v>
          </cell>
          <cell r="BE175">
            <v>0</v>
          </cell>
          <cell r="BJ175">
            <v>0</v>
          </cell>
          <cell r="BO175">
            <v>0</v>
          </cell>
        </row>
        <row r="176">
          <cell r="B176" t="str">
            <v>Asia sales growth</v>
          </cell>
          <cell r="C176" t="str">
            <v>ASIA_SALES_GROWTH</v>
          </cell>
          <cell r="AZ176">
            <v>2.7313164029999998E-3</v>
          </cell>
          <cell r="BE176">
            <v>7.2828607500000003E-2</v>
          </cell>
          <cell r="BJ176">
            <v>2.9728054678999999E-2</v>
          </cell>
          <cell r="BO176">
            <v>9.9148410335999998E-2</v>
          </cell>
        </row>
        <row r="177">
          <cell r="A177" t="str">
            <v>Geographical Breakdown</v>
          </cell>
        </row>
        <row r="178">
          <cell r="B178" t="str">
            <v>Sales - % Canada</v>
          </cell>
          <cell r="C178" t="str">
            <v>SALES_CANADA</v>
          </cell>
        </row>
        <row r="179">
          <cell r="B179" t="str">
            <v>Sales - % United States</v>
          </cell>
          <cell r="C179" t="str">
            <v>SALES_US</v>
          </cell>
          <cell r="AZ179">
            <v>5.4652548575000001E-2</v>
          </cell>
          <cell r="BE179">
            <v>6.1758501769000003E-2</v>
          </cell>
          <cell r="BJ179">
            <v>6.8622401678000003E-2</v>
          </cell>
          <cell r="BO179">
            <v>6.9837899689000005E-2</v>
          </cell>
          <cell r="BT179">
            <v>6.1274764314000002E-2</v>
          </cell>
          <cell r="BY179">
            <v>6.2567293151E-2</v>
          </cell>
          <cell r="CD179">
            <v>7.3174526173999999E-2</v>
          </cell>
          <cell r="CI179">
            <v>7.5413646934000003E-2</v>
          </cell>
          <cell r="CN179">
            <v>8.2702191605999995E-2</v>
          </cell>
          <cell r="CS179">
            <v>8.3909188272999993E-2</v>
          </cell>
          <cell r="CX179">
            <v>0.112364923018</v>
          </cell>
          <cell r="DC179">
            <v>0.11946601280499999</v>
          </cell>
          <cell r="DD179">
            <v>0.12365242239300001</v>
          </cell>
          <cell r="DE179">
            <v>0.13484961471500001</v>
          </cell>
          <cell r="DF179">
            <v>0.13907603464900001</v>
          </cell>
          <cell r="DG179">
            <v>0.142104647079</v>
          </cell>
        </row>
        <row r="180">
          <cell r="B180" t="str">
            <v>Sales - % Other North Americas</v>
          </cell>
          <cell r="C180" t="str">
            <v>SALES_OTH_NO_AMER</v>
          </cell>
        </row>
        <row r="181">
          <cell r="B181" t="str">
            <v>Sales - % Argentina</v>
          </cell>
          <cell r="C181" t="str">
            <v>SALES_ARGENTINA</v>
          </cell>
        </row>
        <row r="182">
          <cell r="B182" t="str">
            <v>Sales - % Brazil</v>
          </cell>
          <cell r="C182" t="str">
            <v>SALES_BRAZIL</v>
          </cell>
          <cell r="BT182">
            <v>5.0432203988000003E-2</v>
          </cell>
          <cell r="BY182">
            <v>5.1704105345000001E-2</v>
          </cell>
          <cell r="CD182">
            <v>5.5434339133999998E-2</v>
          </cell>
          <cell r="CI182">
            <v>5.5024857158999997E-2</v>
          </cell>
          <cell r="CN182">
            <v>4.6519807076000001E-2</v>
          </cell>
          <cell r="CS182">
            <v>5.6442264823999999E-2</v>
          </cell>
          <cell r="CX182">
            <v>7.1813235153000005E-2</v>
          </cell>
          <cell r="DC182">
            <v>7.3695681787000006E-2</v>
          </cell>
          <cell r="DD182">
            <v>7.9231068969999999E-2</v>
          </cell>
          <cell r="DE182">
            <v>8.1158339548000002E-2</v>
          </cell>
          <cell r="DF182">
            <v>8.3253128007999999E-2</v>
          </cell>
          <cell r="DG182">
            <v>8.4981856490999999E-2</v>
          </cell>
        </row>
        <row r="183">
          <cell r="B183" t="str">
            <v>Sales - % Chile</v>
          </cell>
          <cell r="C183" t="str">
            <v>SALES_CHILE</v>
          </cell>
        </row>
        <row r="184">
          <cell r="B184" t="str">
            <v>Sales - % Colombia</v>
          </cell>
          <cell r="C184" t="str">
            <v>SALES_COLOMBIA</v>
          </cell>
        </row>
        <row r="185">
          <cell r="B185" t="str">
            <v>Sales - % Mexico</v>
          </cell>
          <cell r="C185" t="str">
            <v>SALES_MEXICO</v>
          </cell>
          <cell r="AZ185">
            <v>7.762910221E-3</v>
          </cell>
          <cell r="BE185">
            <v>9.1750017319999991E-3</v>
          </cell>
          <cell r="BJ185">
            <v>9.1895326609999998E-3</v>
          </cell>
          <cell r="BO185">
            <v>7.9143316649999997E-3</v>
          </cell>
          <cell r="BT185">
            <v>6.5022922909999999E-3</v>
          </cell>
          <cell r="BY185">
            <v>7.0932262249999998E-3</v>
          </cell>
          <cell r="CD185">
            <v>9.4954119520000001E-3</v>
          </cell>
          <cell r="CI185">
            <v>1.0883244161E-2</v>
          </cell>
          <cell r="CN185">
            <v>1.0813606437E-2</v>
          </cell>
          <cell r="CS185">
            <v>1.2930322928000001E-2</v>
          </cell>
          <cell r="CX185">
            <v>2.5102801950999998E-2</v>
          </cell>
          <cell r="DC185">
            <v>3.2011987467999999E-2</v>
          </cell>
          <cell r="DD185">
            <v>3.3251071568000001E-2</v>
          </cell>
          <cell r="DE185">
            <v>3.4054188417000003E-2</v>
          </cell>
          <cell r="DF185">
            <v>3.5129932628000002E-2</v>
          </cell>
          <cell r="DG185">
            <v>3.6169963712999999E-2</v>
          </cell>
        </row>
        <row r="186">
          <cell r="B186" t="str">
            <v>Sales - % Venezuela</v>
          </cell>
          <cell r="C186" t="str">
            <v>SALES_VENEZUELA</v>
          </cell>
        </row>
        <row r="187">
          <cell r="B187" t="str">
            <v>Sales - % Other Latin Americas</v>
          </cell>
          <cell r="C187" t="str">
            <v>SALES_OTH_LATAM</v>
          </cell>
        </row>
        <row r="188">
          <cell r="B188" t="str">
            <v>Sales - % Austria</v>
          </cell>
          <cell r="C188" t="str">
            <v>SALES_AUSTRIA</v>
          </cell>
        </row>
        <row r="189">
          <cell r="B189" t="str">
            <v>Sales - % Belgium</v>
          </cell>
          <cell r="C189" t="str">
            <v>SALES_BEL</v>
          </cell>
        </row>
        <row r="190">
          <cell r="B190" t="str">
            <v>Sales - % France</v>
          </cell>
          <cell r="C190" t="str">
            <v>SALES_FRA</v>
          </cell>
        </row>
        <row r="191">
          <cell r="B191" t="str">
            <v>Sales - % Germany</v>
          </cell>
          <cell r="C191" t="str">
            <v>SALES_GER</v>
          </cell>
        </row>
        <row r="192">
          <cell r="B192" t="str">
            <v>Sales - % Greece</v>
          </cell>
          <cell r="C192" t="str">
            <v>SALES_GRE</v>
          </cell>
        </row>
        <row r="193">
          <cell r="B193" t="str">
            <v>Sales - % Ireland</v>
          </cell>
          <cell r="C193" t="str">
            <v>SALES_IRE</v>
          </cell>
        </row>
        <row r="194">
          <cell r="B194" t="str">
            <v>Sales - % Italy</v>
          </cell>
          <cell r="C194" t="str">
            <v>SALES_ITA</v>
          </cell>
        </row>
        <row r="195">
          <cell r="B195" t="str">
            <v>Sales - % Netherlands</v>
          </cell>
          <cell r="C195" t="str">
            <v>SALES_NETH</v>
          </cell>
        </row>
        <row r="196">
          <cell r="B196" t="str">
            <v>Sales - % Norway</v>
          </cell>
          <cell r="C196" t="str">
            <v>SALES_NOR</v>
          </cell>
        </row>
        <row r="197">
          <cell r="B197" t="str">
            <v>Sales - % Portugal</v>
          </cell>
          <cell r="C197" t="str">
            <v>SALES_POR</v>
          </cell>
        </row>
        <row r="198">
          <cell r="B198" t="str">
            <v>Sales - % Spain</v>
          </cell>
          <cell r="C198" t="str">
            <v>SALES_SPA</v>
          </cell>
        </row>
        <row r="199">
          <cell r="B199" t="str">
            <v>Sales - % Sweden</v>
          </cell>
          <cell r="C199" t="str">
            <v>SALES_SWE</v>
          </cell>
        </row>
        <row r="200">
          <cell r="B200" t="str">
            <v>Sales - % Switzerland</v>
          </cell>
          <cell r="C200" t="str">
            <v>SALES_SWIT</v>
          </cell>
        </row>
        <row r="201">
          <cell r="B201" t="str">
            <v>Sales - % UK</v>
          </cell>
          <cell r="C201" t="str">
            <v>SALES_UK</v>
          </cell>
        </row>
        <row r="202">
          <cell r="B202" t="str">
            <v>Sales - % Other Western Europe</v>
          </cell>
          <cell r="C202" t="str">
            <v>SALES_OTH_WEST_EURO</v>
          </cell>
        </row>
        <row r="203">
          <cell r="B203" t="str">
            <v>Sales - % Poland</v>
          </cell>
          <cell r="C203" t="str">
            <v>SALES_POLAND</v>
          </cell>
        </row>
        <row r="204">
          <cell r="B204" t="str">
            <v>Sales - % Russia</v>
          </cell>
          <cell r="C204" t="str">
            <v>SALES_RUSSIA</v>
          </cell>
        </row>
        <row r="205">
          <cell r="B205" t="str">
            <v>Sales - % Turkey</v>
          </cell>
          <cell r="C205" t="str">
            <v>SALES_TURKEY</v>
          </cell>
        </row>
        <row r="206">
          <cell r="B206" t="str">
            <v>Sales - % Other CEE</v>
          </cell>
          <cell r="C206" t="str">
            <v>SALES_OTH_CEE</v>
          </cell>
        </row>
        <row r="207">
          <cell r="B207" t="str">
            <v>Sales - % Saudi Arabia</v>
          </cell>
          <cell r="C207" t="str">
            <v>SALES_SAUDI_ARABIA</v>
          </cell>
        </row>
        <row r="208">
          <cell r="B208" t="str">
            <v>Sales - % United Arab Emirates</v>
          </cell>
          <cell r="C208" t="str">
            <v>SALES_UAE</v>
          </cell>
        </row>
        <row r="209">
          <cell r="B209" t="str">
            <v>Sales - % Other Middle East</v>
          </cell>
          <cell r="C209" t="str">
            <v>SALES_OTH_ME</v>
          </cell>
        </row>
        <row r="210">
          <cell r="B210" t="str">
            <v>Sales - % Nigeria</v>
          </cell>
          <cell r="C210" t="str">
            <v>SALES_NIGERIA</v>
          </cell>
        </row>
        <row r="211">
          <cell r="B211" t="str">
            <v>Sales - % South Africa</v>
          </cell>
          <cell r="C211" t="str">
            <v>SALES_SO_AFRICA</v>
          </cell>
        </row>
        <row r="212">
          <cell r="B212" t="str">
            <v>Sales - % Other Africa</v>
          </cell>
          <cell r="C212" t="str">
            <v>SALES_OTH_AFRICA</v>
          </cell>
        </row>
        <row r="213">
          <cell r="B213" t="str">
            <v>Sales - % Hong Kong</v>
          </cell>
          <cell r="C213" t="str">
            <v>SALES_HONG_KONG</v>
          </cell>
        </row>
        <row r="214">
          <cell r="B214" t="str">
            <v>Sales - % Japan</v>
          </cell>
          <cell r="C214" t="str">
            <v>SALES_JAPAN</v>
          </cell>
          <cell r="AZ214">
            <v>0.85999482749199996</v>
          </cell>
          <cell r="BE214">
            <v>0.82371533930399998</v>
          </cell>
          <cell r="BJ214">
            <v>0.80820251404700005</v>
          </cell>
          <cell r="BO214">
            <v>0.78426094461700002</v>
          </cell>
          <cell r="BT214">
            <v>0.77799945533199999</v>
          </cell>
          <cell r="BY214">
            <v>0.76316808675400005</v>
          </cell>
          <cell r="CD214">
            <v>0.72707679208099996</v>
          </cell>
          <cell r="CI214">
            <v>0.727590700373</v>
          </cell>
          <cell r="CN214">
            <v>0.72179203211999998</v>
          </cell>
          <cell r="CS214">
            <v>0.70345185897700002</v>
          </cell>
          <cell r="CX214">
            <v>0.63696865735899999</v>
          </cell>
          <cell r="DC214">
            <v>0.61994278708600004</v>
          </cell>
          <cell r="DD214">
            <v>0.60657228211500003</v>
          </cell>
          <cell r="DE214">
            <v>0.59072831220499999</v>
          </cell>
          <cell r="DF214">
            <v>0.58072666024999997</v>
          </cell>
          <cell r="DG214">
            <v>0.57193023527999998</v>
          </cell>
        </row>
        <row r="215">
          <cell r="B215" t="str">
            <v>Sales - % Singapore</v>
          </cell>
          <cell r="C215" t="str">
            <v>SALES_SINGAPORE</v>
          </cell>
        </row>
        <row r="216">
          <cell r="B216" t="str">
            <v>Sales - % South Korea</v>
          </cell>
          <cell r="C216" t="str">
            <v>SALES_SK</v>
          </cell>
        </row>
        <row r="217">
          <cell r="B217" t="str">
            <v>Sales - % Taiwan</v>
          </cell>
          <cell r="C217" t="str">
            <v>SALES_TAIWAN</v>
          </cell>
        </row>
        <row r="218">
          <cell r="B218" t="str">
            <v>Sales - % Other Developed Asia</v>
          </cell>
          <cell r="C218" t="str">
            <v>SALES_OTH_DEV_ASIA</v>
          </cell>
        </row>
        <row r="219">
          <cell r="B219" t="str">
            <v>Sales - % China</v>
          </cell>
          <cell r="C219" t="str">
            <v>SALES_CHINA</v>
          </cell>
          <cell r="AZ219">
            <v>5.4337461761000003E-2</v>
          </cell>
          <cell r="BE219">
            <v>7.1596187921999996E-2</v>
          </cell>
          <cell r="BJ219">
            <v>7.9939755547000002E-2</v>
          </cell>
          <cell r="BO219">
            <v>8.6950205518999998E-2</v>
          </cell>
          <cell r="BT219">
            <v>7.2824102559000001E-2</v>
          </cell>
          <cell r="BY219">
            <v>8.2494190549999999E-2</v>
          </cell>
          <cell r="CD219">
            <v>8.7807993188000005E-2</v>
          </cell>
          <cell r="CI219">
            <v>9.1885113217000006E-2</v>
          </cell>
          <cell r="CN219">
            <v>9.5191333057999997E-2</v>
          </cell>
          <cell r="CS219">
            <v>9.7377317357999996E-2</v>
          </cell>
          <cell r="CX219">
            <v>9.8809409964999997E-2</v>
          </cell>
          <cell r="DC219">
            <v>9.2902874267999994E-2</v>
          </cell>
          <cell r="DD219">
            <v>9.2999090790999994E-2</v>
          </cell>
          <cell r="DE219">
            <v>9.3089734029000004E-2</v>
          </cell>
          <cell r="DF219">
            <v>9.3960538979999994E-2</v>
          </cell>
          <cell r="DG219">
            <v>9.4814467984999998E-2</v>
          </cell>
        </row>
        <row r="220">
          <cell r="B220" t="str">
            <v>Sales - % India</v>
          </cell>
          <cell r="C220" t="str">
            <v>SALES_INDIA</v>
          </cell>
        </row>
        <row r="221">
          <cell r="B221" t="str">
            <v>Sales - % Indonesia</v>
          </cell>
          <cell r="C221" t="str">
            <v>SALES_INDONESIA</v>
          </cell>
        </row>
        <row r="222">
          <cell r="B222" t="str">
            <v>Sales - % Thailand</v>
          </cell>
          <cell r="C222" t="str">
            <v>SALES_THAILAND</v>
          </cell>
        </row>
        <row r="223">
          <cell r="B223" t="str">
            <v>Sales - % Other Emerging Asia</v>
          </cell>
          <cell r="C223" t="str">
            <v>SALES_OTH_EMERG_ASIA</v>
          </cell>
        </row>
        <row r="224">
          <cell r="B224" t="str">
            <v>Sales - % Australia</v>
          </cell>
          <cell r="C224" t="str">
            <v>SALES_AUSTRA</v>
          </cell>
        </row>
        <row r="225">
          <cell r="B225" t="str">
            <v>Sales - % New Zealand</v>
          </cell>
          <cell r="C225" t="str">
            <v>SALES_NZ</v>
          </cell>
        </row>
        <row r="226">
          <cell r="B226" t="str">
            <v>Sales - % Others</v>
          </cell>
          <cell r="C226" t="str">
            <v>SALES_OTHER</v>
          </cell>
          <cell r="AZ226">
            <v>2.325225195E-2</v>
          </cell>
          <cell r="BE226">
            <v>3.3754969273E-2</v>
          </cell>
          <cell r="BJ226">
            <v>3.4045796066999999E-2</v>
          </cell>
          <cell r="BO226">
            <v>5.1036618510999998E-2</v>
          </cell>
          <cell r="BT226">
            <v>3.0967181516E-2</v>
          </cell>
          <cell r="BY226">
            <v>3.2973097974999997E-2</v>
          </cell>
          <cell r="CD226">
            <v>4.7010937470999999E-2</v>
          </cell>
          <cell r="CI226">
            <v>3.9202438155999997E-2</v>
          </cell>
          <cell r="CN226">
            <v>4.2981029703000002E-2</v>
          </cell>
          <cell r="CS226">
            <v>4.5889047640999998E-2</v>
          </cell>
          <cell r="CX226">
            <v>5.4940972554000003E-2</v>
          </cell>
          <cell r="DC226">
            <v>6.1980656586000001E-2</v>
          </cell>
          <cell r="DD226">
            <v>6.4294064164000006E-2</v>
          </cell>
          <cell r="DE226">
            <v>6.6119811085999999E-2</v>
          </cell>
          <cell r="DF226">
            <v>6.7853705486000004E-2</v>
          </cell>
          <cell r="DG226">
            <v>6.9998829451E-2</v>
          </cell>
        </row>
        <row r="227">
          <cell r="B227" t="str">
            <v>% of CoGS from U.S. (GS estimate)</v>
          </cell>
          <cell r="C227" t="str">
            <v>COGS_PCT_US</v>
          </cell>
          <cell r="AZ227">
            <v>5.4652548575000001E-2</v>
          </cell>
          <cell r="BE227">
            <v>6.1758501769000003E-2</v>
          </cell>
          <cell r="BJ227">
            <v>6.8622401678000003E-2</v>
          </cell>
          <cell r="BO227">
            <v>6.9837899689000005E-2</v>
          </cell>
          <cell r="BT227">
            <v>6.1274764314000002E-2</v>
          </cell>
          <cell r="BY227">
            <v>6.2567293151E-2</v>
          </cell>
          <cell r="CD227">
            <v>7.3174526173999999E-2</v>
          </cell>
          <cell r="CI227">
            <v>7.5413646934000003E-2</v>
          </cell>
          <cell r="CN227">
            <v>8.2702191605999995E-2</v>
          </cell>
          <cell r="CS227">
            <v>8.3909188272999993E-2</v>
          </cell>
          <cell r="CX227">
            <v>0.112364923018</v>
          </cell>
          <cell r="DC227">
            <v>0.11946601280499999</v>
          </cell>
          <cell r="DD227">
            <v>0.12365242239300001</v>
          </cell>
          <cell r="DE227">
            <v>0.13484961471500001</v>
          </cell>
          <cell r="DF227">
            <v>0.13907603464900001</v>
          </cell>
          <cell r="DG227">
            <v>0.142104647079</v>
          </cell>
        </row>
        <row r="228">
          <cell r="B228" t="str">
            <v>% of CoGS from non-U.S. (GS estimate)</v>
          </cell>
          <cell r="C228" t="str">
            <v>COGS_PCT_ROW</v>
          </cell>
          <cell r="AZ228">
            <v>0.94534745142499998</v>
          </cell>
          <cell r="BE228">
            <v>0.938241498231</v>
          </cell>
          <cell r="BJ228">
            <v>0.93137759832199996</v>
          </cell>
          <cell r="BO228">
            <v>0.930162100311</v>
          </cell>
          <cell r="BT228">
            <v>0.93872523568599997</v>
          </cell>
          <cell r="BY228">
            <v>0.93743270684900004</v>
          </cell>
          <cell r="CD228">
            <v>0.926825473826</v>
          </cell>
          <cell r="CI228">
            <v>0.92458635306600001</v>
          </cell>
          <cell r="CN228">
            <v>0.91729780839399999</v>
          </cell>
          <cell r="CS228">
            <v>0.91609081172700002</v>
          </cell>
          <cell r="CX228">
            <v>0.88763507698199995</v>
          </cell>
          <cell r="DC228">
            <v>0.88053398719499998</v>
          </cell>
          <cell r="DD228">
            <v>0.87634757760699999</v>
          </cell>
          <cell r="DE228">
            <v>0.86515038528499999</v>
          </cell>
          <cell r="DF228">
            <v>0.86092396535100002</v>
          </cell>
          <cell r="DG228">
            <v>0.85789535292100005</v>
          </cell>
        </row>
        <row r="229">
          <cell r="B229" t="str">
            <v>% of SG&amp;A from U.S. (GS estimate)</v>
          </cell>
          <cell r="C229" t="str">
            <v>SGA_PCT_US</v>
          </cell>
          <cell r="AZ229">
            <v>5.4652548575000001E-2</v>
          </cell>
          <cell r="BE229">
            <v>6.1758501769000003E-2</v>
          </cell>
          <cell r="BJ229">
            <v>6.8622401678000003E-2</v>
          </cell>
          <cell r="BO229">
            <v>6.9837899689000005E-2</v>
          </cell>
          <cell r="BT229">
            <v>6.1274764314000002E-2</v>
          </cell>
          <cell r="BY229">
            <v>6.2567293151E-2</v>
          </cell>
          <cell r="CD229">
            <v>7.3174526173999999E-2</v>
          </cell>
          <cell r="CI229">
            <v>7.5413646934000003E-2</v>
          </cell>
          <cell r="CN229">
            <v>8.2702191605999995E-2</v>
          </cell>
          <cell r="CS229">
            <v>8.3909188272999993E-2</v>
          </cell>
          <cell r="CX229">
            <v>0.112364923018</v>
          </cell>
          <cell r="DC229">
            <v>0.11946601280499999</v>
          </cell>
          <cell r="DD229">
            <v>0.12365242239300001</v>
          </cell>
          <cell r="DE229">
            <v>0.13484961471500001</v>
          </cell>
          <cell r="DF229">
            <v>0.13907603464900001</v>
          </cell>
          <cell r="DG229">
            <v>0.142104647079</v>
          </cell>
        </row>
        <row r="230">
          <cell r="B230" t="str">
            <v>% of SG&amp;A from non-U.S. (GS estimate)</v>
          </cell>
          <cell r="C230" t="str">
            <v>SGA_PCT_ROW</v>
          </cell>
          <cell r="AZ230">
            <v>0.94534745142499998</v>
          </cell>
          <cell r="BE230">
            <v>0.938241498231</v>
          </cell>
          <cell r="BJ230">
            <v>0.93137759832199996</v>
          </cell>
          <cell r="BO230">
            <v>0.930162100311</v>
          </cell>
          <cell r="BT230">
            <v>0.93872523568599997</v>
          </cell>
          <cell r="BY230">
            <v>0.93743270684900004</v>
          </cell>
          <cell r="CD230">
            <v>0.926825473826</v>
          </cell>
          <cell r="CI230">
            <v>0.92458635306600001</v>
          </cell>
          <cell r="CN230">
            <v>0.91729780839399999</v>
          </cell>
          <cell r="CS230">
            <v>0.91609081172700002</v>
          </cell>
          <cell r="CX230">
            <v>0.88763507698199995</v>
          </cell>
          <cell r="DC230">
            <v>0.88053398719499998</v>
          </cell>
          <cell r="DD230">
            <v>0.87634757760699999</v>
          </cell>
          <cell r="DE230">
            <v>0.86515038528499999</v>
          </cell>
          <cell r="DF230">
            <v>0.86092396535100002</v>
          </cell>
          <cell r="DG230">
            <v>0.85789535292100005</v>
          </cell>
        </row>
        <row r="231">
          <cell r="B231" t="str">
            <v>Sales -% Consumer (C)</v>
          </cell>
          <cell r="C231" t="str">
            <v>SALES_CONS</v>
          </cell>
          <cell r="F231">
            <v>1</v>
          </cell>
          <cell r="G231">
            <v>1</v>
          </cell>
          <cell r="H231">
            <v>1</v>
          </cell>
          <cell r="I231">
            <v>1</v>
          </cell>
          <cell r="J231">
            <v>1</v>
          </cell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Y231">
            <v>1</v>
          </cell>
          <cell r="CD231">
            <v>1</v>
          </cell>
          <cell r="CI231">
            <v>1</v>
          </cell>
          <cell r="CN231">
            <v>1</v>
          </cell>
          <cell r="CS231">
            <v>1</v>
          </cell>
          <cell r="CX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</row>
        <row r="232">
          <cell r="B232" t="str">
            <v>Sales -% Industry (I)</v>
          </cell>
          <cell r="C232" t="str">
            <v>SALES_IND</v>
          </cell>
        </row>
        <row r="233">
          <cell r="B233" t="str">
            <v>Sales -% Government (G)</v>
          </cell>
          <cell r="C233" t="str">
            <v>SALES_GOV</v>
          </cell>
        </row>
        <row r="234">
          <cell r="B234" t="str">
            <v>Sales - % Industry Sub-Segment: Financial Services</v>
          </cell>
          <cell r="C234" t="str">
            <v>SALES_FINAN</v>
          </cell>
        </row>
        <row r="235">
          <cell r="B235" t="str">
            <v>Sales - % Industry Sub-Segment: Oil &amp; Gas</v>
          </cell>
          <cell r="C235" t="str">
            <v>SALES_OIL_GAS</v>
          </cell>
        </row>
        <row r="236">
          <cell r="B236" t="str">
            <v>Sales - % from Captive Financing Business</v>
          </cell>
          <cell r="C236" t="str">
            <v>REV_FIN_SEGMENT</v>
          </cell>
        </row>
        <row r="237">
          <cell r="A237" t="str">
            <v>Commodities Exposure - Sales</v>
          </cell>
        </row>
        <row r="238">
          <cell r="B238" t="str">
            <v>Sales - % Wheat</v>
          </cell>
          <cell r="C238" t="str">
            <v>SALES_WHEAT</v>
          </cell>
        </row>
        <row r="239">
          <cell r="B239" t="str">
            <v>Sales - % Sugar</v>
          </cell>
          <cell r="C239" t="str">
            <v>SALES_SUGAR</v>
          </cell>
        </row>
        <row r="240">
          <cell r="B240" t="str">
            <v>Sales - % Soybean</v>
          </cell>
          <cell r="C240" t="str">
            <v>SALES_SOYBEAN</v>
          </cell>
        </row>
        <row r="241">
          <cell r="B241" t="str">
            <v>Sales - % Corn</v>
          </cell>
          <cell r="C241" t="str">
            <v>SALES_CORN</v>
          </cell>
        </row>
        <row r="242">
          <cell r="B242" t="str">
            <v>Sales - % Coffee</v>
          </cell>
          <cell r="C242" t="str">
            <v>SALES_COFFEE</v>
          </cell>
        </row>
        <row r="243">
          <cell r="B243" t="str">
            <v>Sales - % Cocoa</v>
          </cell>
          <cell r="C243" t="str">
            <v>SALES_COCOA</v>
          </cell>
        </row>
        <row r="244">
          <cell r="B244" t="str">
            <v>Sales - % Beef</v>
          </cell>
          <cell r="C244" t="str">
            <v>SALES_BEEF</v>
          </cell>
        </row>
        <row r="245">
          <cell r="B245" t="str">
            <v>Sales - % Pork</v>
          </cell>
          <cell r="C245" t="str">
            <v>SALES_PORK</v>
          </cell>
        </row>
        <row r="246">
          <cell r="B246" t="str">
            <v>Sales - % Chicken</v>
          </cell>
          <cell r="C246" t="str">
            <v>SALES_CHICKEN</v>
          </cell>
        </row>
        <row r="247">
          <cell r="B247" t="str">
            <v>Sales - % Dairy</v>
          </cell>
          <cell r="C247" t="str">
            <v>SALES_DAIRY</v>
          </cell>
        </row>
        <row r="248">
          <cell r="B248" t="str">
            <v>Sales - % Nuts</v>
          </cell>
          <cell r="C248" t="str">
            <v>SALES_NUTS</v>
          </cell>
        </row>
        <row r="249">
          <cell r="B249" t="str">
            <v>Sales - % Water</v>
          </cell>
          <cell r="C249" t="str">
            <v>SALES_WATER</v>
          </cell>
        </row>
        <row r="250">
          <cell r="B250" t="str">
            <v>Sales - % Other commodity</v>
          </cell>
          <cell r="C250" t="str">
            <v>SALES_OTH_COMMODITY</v>
          </cell>
        </row>
        <row r="251">
          <cell r="B251" t="str">
            <v>Sales - % Other (Non-Commodity) sales sources</v>
          </cell>
          <cell r="C251" t="str">
            <v>SALES_OTH_SALES_SOURCES</v>
          </cell>
        </row>
        <row r="252">
          <cell r="A252" t="str">
            <v>Commodities Exposure - Expense</v>
          </cell>
        </row>
        <row r="253">
          <cell r="B253" t="str">
            <v>Expense - % Oil/Petrol/Fuel</v>
          </cell>
          <cell r="C253" t="str">
            <v>EXP_OIL_PETRO_FUEL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Y253">
            <v>0</v>
          </cell>
          <cell r="CD253">
            <v>0</v>
          </cell>
          <cell r="CI253">
            <v>0</v>
          </cell>
          <cell r="CN253">
            <v>0</v>
          </cell>
          <cell r="CS253">
            <v>0</v>
          </cell>
          <cell r="CX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</row>
        <row r="254">
          <cell r="B254" t="str">
            <v>Expense - % Oil derivatives/NGLs/plastics</v>
          </cell>
          <cell r="C254" t="str">
            <v>EXP_OIL_DERIV_NGLS_PLASTICS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Y254">
            <v>0</v>
          </cell>
          <cell r="CD254">
            <v>0</v>
          </cell>
          <cell r="CI254">
            <v>0</v>
          </cell>
          <cell r="CN254">
            <v>0</v>
          </cell>
          <cell r="CS254">
            <v>0</v>
          </cell>
          <cell r="CX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</row>
        <row r="255">
          <cell r="B255" t="str">
            <v>Expense - % Aluminium</v>
          </cell>
          <cell r="C255" t="str">
            <v>EXP_ALUMINIUM</v>
          </cell>
        </row>
        <row r="256">
          <cell r="B256" t="str">
            <v>Expense - % Steel</v>
          </cell>
          <cell r="C256" t="str">
            <v>EXP_STEEL</v>
          </cell>
        </row>
        <row r="257">
          <cell r="B257" t="str">
            <v>Expense - % Tin</v>
          </cell>
          <cell r="C257" t="str">
            <v>EXP_TIN</v>
          </cell>
        </row>
        <row r="258">
          <cell r="B258" t="str">
            <v>Expense - % Paper/pulp</v>
          </cell>
          <cell r="C258" t="str">
            <v>EXP_PAPER_PULP</v>
          </cell>
        </row>
        <row r="259">
          <cell r="B259" t="str">
            <v>Expense - % Glass</v>
          </cell>
          <cell r="C259" t="str">
            <v>EXP_GLASS</v>
          </cell>
        </row>
        <row r="260">
          <cell r="B260" t="str">
            <v>Expense - % Wheat</v>
          </cell>
          <cell r="C260" t="str">
            <v>EXP_WHEAT</v>
          </cell>
        </row>
        <row r="261">
          <cell r="B261" t="str">
            <v>Expense - % Sugar</v>
          </cell>
          <cell r="C261" t="str">
            <v>EXP_SUGAR</v>
          </cell>
        </row>
        <row r="262">
          <cell r="B262" t="str">
            <v>Expense - % Soybean</v>
          </cell>
          <cell r="C262" t="str">
            <v>EXP_SOYBEAN</v>
          </cell>
        </row>
        <row r="263">
          <cell r="B263" t="str">
            <v>Expense - % Corn</v>
          </cell>
          <cell r="C263" t="str">
            <v>EXP_CORN</v>
          </cell>
        </row>
        <row r="264">
          <cell r="B264" t="str">
            <v>Expense - % Coffee</v>
          </cell>
          <cell r="C264" t="str">
            <v>EXP_COFFEE</v>
          </cell>
        </row>
        <row r="265">
          <cell r="B265" t="str">
            <v>Expense - % Cocoa</v>
          </cell>
          <cell r="C265" t="str">
            <v>EXP_COCOA</v>
          </cell>
        </row>
        <row r="266">
          <cell r="B266" t="str">
            <v>Expense - % Beef</v>
          </cell>
          <cell r="C266" t="str">
            <v>EXP_BEEF</v>
          </cell>
        </row>
        <row r="267">
          <cell r="B267" t="str">
            <v>Expense - % Pork</v>
          </cell>
          <cell r="C267" t="str">
            <v>EXP_PORK</v>
          </cell>
        </row>
        <row r="268">
          <cell r="B268" t="str">
            <v>Expense - % Chicken</v>
          </cell>
          <cell r="C268" t="str">
            <v>EXP_CHICKEN</v>
          </cell>
        </row>
        <row r="269">
          <cell r="B269" t="str">
            <v>Expense - % Dairy</v>
          </cell>
          <cell r="C269" t="str">
            <v>EXP_DAIRY</v>
          </cell>
        </row>
        <row r="270">
          <cell r="B270" t="str">
            <v>Expense - % Nuts</v>
          </cell>
          <cell r="C270" t="str">
            <v>EXP_NUTS</v>
          </cell>
        </row>
        <row r="271">
          <cell r="B271" t="str">
            <v>Expense - % Palm oil</v>
          </cell>
          <cell r="C271" t="str">
            <v>EXP_PALM_OIL</v>
          </cell>
        </row>
        <row r="272">
          <cell r="B272" t="str">
            <v>Expense - % Other edible oil</v>
          </cell>
          <cell r="C272" t="str">
            <v>EXP_OTH_EDIBLE_OIL</v>
          </cell>
        </row>
        <row r="273">
          <cell r="B273" t="str">
            <v>Expense - % Water</v>
          </cell>
          <cell r="C273" t="str">
            <v>EXP_WATER</v>
          </cell>
        </row>
        <row r="274">
          <cell r="B274" t="str">
            <v>Expense - % Other commodity</v>
          </cell>
          <cell r="C274" t="str">
            <v>EXP_OTH_COMMODITY</v>
          </cell>
        </row>
        <row r="275">
          <cell r="B275" t="str">
            <v>Expense - % Other (Non-Commodity) cost</v>
          </cell>
          <cell r="C275" t="str">
            <v>EXP_OTH_COST</v>
          </cell>
        </row>
        <row r="276">
          <cell r="A276" t="str">
            <v>FX Exposure - Sales</v>
          </cell>
        </row>
        <row r="277">
          <cell r="B277" t="str">
            <v>Sales - % FX: British Pounds/Pence</v>
          </cell>
          <cell r="C277" t="str">
            <v>SALES_FX_GPB</v>
          </cell>
          <cell r="AZ277">
            <v>0</v>
          </cell>
        </row>
        <row r="278">
          <cell r="B278" t="str">
            <v>Sales - % FX: Euro</v>
          </cell>
          <cell r="C278" t="str">
            <v>SALES_FX_EUR</v>
          </cell>
          <cell r="AZ278">
            <v>7.0534205169999996E-3</v>
          </cell>
        </row>
        <row r="279">
          <cell r="B279" t="str">
            <v>Sales - % FX: New Russian Ruble</v>
          </cell>
          <cell r="C279" t="str">
            <v>SALES_FX_RUB</v>
          </cell>
          <cell r="AZ279">
            <v>0</v>
          </cell>
        </row>
        <row r="280">
          <cell r="B280" t="str">
            <v>Sales - % FX: U.S. Dollar</v>
          </cell>
          <cell r="C280" t="str">
            <v>SALES_FX_USD</v>
          </cell>
          <cell r="AZ280">
            <v>5.4652548575000001E-2</v>
          </cell>
          <cell r="BE280">
            <v>6.1758501769000003E-2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6.8622401678000003E-2</v>
          </cell>
          <cell r="BO280">
            <v>6.9837899689000005E-2</v>
          </cell>
          <cell r="BT280">
            <v>6.1274764314000002E-2</v>
          </cell>
          <cell r="BY280">
            <v>6.2567293151E-2</v>
          </cell>
          <cell r="CD280">
            <v>7.3174526173999999E-2</v>
          </cell>
          <cell r="CI280">
            <v>7.5413646934000003E-2</v>
          </cell>
          <cell r="CN280">
            <v>8.2702191605999995E-2</v>
          </cell>
          <cell r="CS280">
            <v>8.3909188272999993E-2</v>
          </cell>
          <cell r="CX280">
            <v>0.112364923018</v>
          </cell>
          <cell r="DC280">
            <v>0.11946601280499999</v>
          </cell>
          <cell r="DD280">
            <v>0.12365242239300001</v>
          </cell>
          <cell r="DE280">
            <v>0.13484961471500001</v>
          </cell>
          <cell r="DF280">
            <v>0.13907603464900001</v>
          </cell>
          <cell r="DG280">
            <v>0.142104647079</v>
          </cell>
        </row>
        <row r="281">
          <cell r="B281" t="str">
            <v>Sales - % FX: Brazilian Real</v>
          </cell>
          <cell r="C281" t="str">
            <v>SALES_FX_BRL</v>
          </cell>
          <cell r="AZ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O281">
            <v>0</v>
          </cell>
          <cell r="BT281">
            <v>5.0432203988000003E-2</v>
          </cell>
          <cell r="BY281">
            <v>5.1704105345000001E-2</v>
          </cell>
          <cell r="CD281">
            <v>5.5434339133999998E-2</v>
          </cell>
          <cell r="CI281">
            <v>5.5024857158999997E-2</v>
          </cell>
          <cell r="CN281">
            <v>4.6519807076000001E-2</v>
          </cell>
          <cell r="CS281">
            <v>5.6442264823999999E-2</v>
          </cell>
          <cell r="CX281">
            <v>7.1813235153000005E-2</v>
          </cell>
          <cell r="DC281">
            <v>7.3695681787000006E-2</v>
          </cell>
          <cell r="DD281">
            <v>7.9231068969999999E-2</v>
          </cell>
          <cell r="DE281">
            <v>8.1158339548000002E-2</v>
          </cell>
          <cell r="DF281">
            <v>8.3253128007999999E-2</v>
          </cell>
          <cell r="DG281">
            <v>8.4981856490999999E-2</v>
          </cell>
        </row>
        <row r="282">
          <cell r="B282" t="str">
            <v>Sales - % FX: Japanese Yen</v>
          </cell>
          <cell r="C282" t="str">
            <v>SALES_FX_YEN</v>
          </cell>
          <cell r="AZ282">
            <v>0.85999482749199996</v>
          </cell>
          <cell r="BE282">
            <v>0.82371533930399998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0.80820251404700005</v>
          </cell>
          <cell r="BO282">
            <v>0.78426094461700002</v>
          </cell>
          <cell r="BT282">
            <v>0.77799945533199999</v>
          </cell>
          <cell r="BY282">
            <v>0.76316808675400005</v>
          </cell>
          <cell r="CD282">
            <v>0.72707679208099996</v>
          </cell>
          <cell r="CI282">
            <v>0.727590700373</v>
          </cell>
          <cell r="CN282">
            <v>0.72179203211999998</v>
          </cell>
          <cell r="CS282">
            <v>0.70345185897700002</v>
          </cell>
          <cell r="CX282">
            <v>0.63696865735899999</v>
          </cell>
          <cell r="DC282">
            <v>0.61994278708600004</v>
          </cell>
          <cell r="DD282">
            <v>0.60657228211500003</v>
          </cell>
          <cell r="DE282">
            <v>0.59072831220499999</v>
          </cell>
          <cell r="DF282">
            <v>0.58072666024999997</v>
          </cell>
          <cell r="DG282">
            <v>0.57193023527999998</v>
          </cell>
        </row>
        <row r="283">
          <cell r="B283" t="str">
            <v>Sales - % FX: Chinese Renminbi</v>
          </cell>
          <cell r="C283" t="str">
            <v>SALES_FX_CNY</v>
          </cell>
          <cell r="AZ283">
            <v>5.4337461761000003E-2</v>
          </cell>
          <cell r="BE283">
            <v>7.1596187921999996E-2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7.9939755547000002E-2</v>
          </cell>
          <cell r="BO283">
            <v>8.6950205518999998E-2</v>
          </cell>
          <cell r="BT283">
            <v>7.2824102559000001E-2</v>
          </cell>
          <cell r="BY283">
            <v>8.2494190549999999E-2</v>
          </cell>
          <cell r="CD283">
            <v>8.7807993188000005E-2</v>
          </cell>
          <cell r="CI283">
            <v>9.1885113217000006E-2</v>
          </cell>
          <cell r="CN283">
            <v>9.5191333057999997E-2</v>
          </cell>
          <cell r="CS283">
            <v>9.7377317357999996E-2</v>
          </cell>
          <cell r="CX283">
            <v>9.8809409964999997E-2</v>
          </cell>
          <cell r="DC283">
            <v>9.2902874267999994E-2</v>
          </cell>
          <cell r="DD283">
            <v>9.2999090790999994E-2</v>
          </cell>
          <cell r="DE283">
            <v>9.3089734029000004E-2</v>
          </cell>
          <cell r="DF283">
            <v>9.3960538979999994E-2</v>
          </cell>
          <cell r="DG283">
            <v>9.4814467984999998E-2</v>
          </cell>
        </row>
        <row r="284">
          <cell r="B284" t="str">
            <v>Sales - % FX: Indian Rupee</v>
          </cell>
          <cell r="C284" t="str">
            <v>SALES_FX_INR</v>
          </cell>
          <cell r="AZ284">
            <v>0</v>
          </cell>
        </row>
        <row r="285">
          <cell r="B285" t="str">
            <v>Sales - % FX: Indonesian Rupiah</v>
          </cell>
          <cell r="C285" t="str">
            <v>SALES_FX_IDR</v>
          </cell>
          <cell r="AZ285">
            <v>0</v>
          </cell>
        </row>
        <row r="286">
          <cell r="B286" t="str">
            <v>Sales - % FX: Thai Baht</v>
          </cell>
          <cell r="C286" t="str">
            <v>SALES_FX_THB</v>
          </cell>
          <cell r="AZ286">
            <v>0</v>
          </cell>
        </row>
        <row r="287">
          <cell r="B287" t="str">
            <v>Sales - % FX: Australian Dollar</v>
          </cell>
          <cell r="C287" t="str">
            <v>SALES_FX_AUD</v>
          </cell>
          <cell r="AZ287">
            <v>0</v>
          </cell>
        </row>
        <row r="288">
          <cell r="B288" t="str">
            <v>Sales - % FX: Other Currency</v>
          </cell>
          <cell r="C288" t="str">
            <v>SALES_FX_OTH</v>
          </cell>
          <cell r="AZ288">
            <v>2.3961741655E-2</v>
          </cell>
          <cell r="BE288">
            <v>4.2929971006000003E-2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4.3235328727999997E-2</v>
          </cell>
          <cell r="BO288">
            <v>5.8950950176000001E-2</v>
          </cell>
          <cell r="BT288">
            <v>3.7469473806999998E-2</v>
          </cell>
          <cell r="BY288">
            <v>4.0066324200000003E-2</v>
          </cell>
          <cell r="CD288">
            <v>5.6506349423E-2</v>
          </cell>
          <cell r="CI288">
            <v>5.0085682317000002E-2</v>
          </cell>
          <cell r="CN288">
            <v>5.3794636139999998E-2</v>
          </cell>
          <cell r="CS288">
            <v>5.8819370567999997E-2</v>
          </cell>
          <cell r="CX288">
            <v>8.0043774504999998E-2</v>
          </cell>
          <cell r="DC288">
            <v>9.3992644053999999E-2</v>
          </cell>
          <cell r="DD288">
            <v>9.7545135731999993E-2</v>
          </cell>
          <cell r="DE288">
            <v>0.100173999503</v>
          </cell>
          <cell r="DF288">
            <v>0.10298363811400001</v>
          </cell>
          <cell r="DG288">
            <v>0.10616879316400001</v>
          </cell>
        </row>
        <row r="289">
          <cell r="A289" t="str">
            <v>Items to be removed</v>
          </cell>
        </row>
        <row r="290">
          <cell r="B290" t="str">
            <v>Sales - Total % Americas</v>
          </cell>
          <cell r="C290" t="str">
            <v>SALES_TOT_AM</v>
          </cell>
          <cell r="AZ290">
            <v>6.7640214734999995E-2</v>
          </cell>
          <cell r="BE290">
            <v>7.5722546170999994E-2</v>
          </cell>
          <cell r="BJ290">
            <v>8.2446123065999993E-2</v>
          </cell>
          <cell r="BO290">
            <v>8.1170421251000005E-2</v>
          </cell>
        </row>
        <row r="291">
          <cell r="B291" t="str">
            <v>Sales - % Other Americas</v>
          </cell>
          <cell r="C291" t="str">
            <v>SALES_OTH_AM</v>
          </cell>
          <cell r="AZ291">
            <v>1.298766616E-2</v>
          </cell>
          <cell r="BE291">
            <v>1.3964044403E-2</v>
          </cell>
          <cell r="BJ291">
            <v>1.3823721388000001E-2</v>
          </cell>
          <cell r="BO291">
            <v>1.1332521562E-2</v>
          </cell>
        </row>
        <row r="292">
          <cell r="B292" t="str">
            <v>Sales - Total % EMEA</v>
          </cell>
          <cell r="C292" t="str">
            <v>SALES_TOT_EMEA</v>
          </cell>
          <cell r="AZ292">
            <v>7.0534205169999996E-3</v>
          </cell>
          <cell r="BE292">
            <v>1.4367128010999999E-2</v>
          </cell>
          <cell r="BJ292">
            <v>1.0890343509E-2</v>
          </cell>
        </row>
        <row r="293">
          <cell r="B293" t="str">
            <v>Sales - % Western Europe-Ex UK</v>
          </cell>
          <cell r="C293" t="str">
            <v>SALES_EU_EX_UK</v>
          </cell>
        </row>
        <row r="294">
          <cell r="B294" t="str">
            <v>Sales - % Central &amp; Eastern Europe</v>
          </cell>
          <cell r="C294" t="str">
            <v>SALES_CEE</v>
          </cell>
        </row>
        <row r="295">
          <cell r="B295" t="str">
            <v>Sales - % Middle East</v>
          </cell>
          <cell r="C295" t="str">
            <v>SALES_ME</v>
          </cell>
        </row>
        <row r="296">
          <cell r="B296" t="str">
            <v>Sales - % Total Africa</v>
          </cell>
          <cell r="C296" t="str">
            <v>SALES_TOT_AFRICA</v>
          </cell>
        </row>
        <row r="297">
          <cell r="B297" t="str">
            <v>Sales - % Other EMEA</v>
          </cell>
          <cell r="C297" t="str">
            <v>SALES_OTH_EMEA</v>
          </cell>
        </row>
        <row r="298">
          <cell r="B298" t="str">
            <v>Sales - Total % Asia (incl Australia &amp; New Zealand)</v>
          </cell>
          <cell r="C298" t="str">
            <v>SALES_TOT_ASIA</v>
          </cell>
          <cell r="AZ298">
            <v>0.92530636474799999</v>
          </cell>
          <cell r="BE298">
            <v>0.90991032581800002</v>
          </cell>
          <cell r="BJ298">
            <v>0.90666353342399997</v>
          </cell>
          <cell r="BO298">
            <v>0.91882957874899995</v>
          </cell>
        </row>
        <row r="299">
          <cell r="B299" t="str">
            <v>Sales - % Other Asia</v>
          </cell>
          <cell r="C299" t="str">
            <v>SALES_OTH_AEJ</v>
          </cell>
          <cell r="AZ299">
            <v>1.0974075495000001E-2</v>
          </cell>
          <cell r="BE299">
            <v>1.4598798592000001E-2</v>
          </cell>
          <cell r="BJ299">
            <v>1.8521263831000001E-2</v>
          </cell>
          <cell r="BO299">
            <v>4.7618428614000001E-2</v>
          </cell>
        </row>
        <row r="300">
          <cell r="A300" t="str">
            <v>Analyst Defined Items</v>
          </cell>
        </row>
        <row r="301">
          <cell r="B301" t="str">
            <v>Currency contribution to % sales growth</v>
          </cell>
          <cell r="C301" t="str">
            <v>SALES_FX</v>
          </cell>
        </row>
        <row r="303">
          <cell r="AZ303">
            <v>0</v>
          </cell>
          <cell r="BE303">
            <v>0</v>
          </cell>
        </row>
        <row r="304">
          <cell r="B304" t="str">
            <v>Inorganic sales contribution to % sales growth</v>
          </cell>
          <cell r="C304" t="str">
            <v>SALES_INORGANIC</v>
          </cell>
        </row>
        <row r="305">
          <cell r="AZ305">
            <v>2.8336732270000001E-3</v>
          </cell>
          <cell r="BE305">
            <v>5.8395562784000002E-2</v>
          </cell>
        </row>
        <row r="306">
          <cell r="B306" t="str">
            <v>Pricing contribution to % sales growth</v>
          </cell>
          <cell r="C306" t="str">
            <v>SALES_PRICE</v>
          </cell>
        </row>
        <row r="307">
          <cell r="AZ307">
            <v>0</v>
          </cell>
          <cell r="BE307">
            <v>0</v>
          </cell>
        </row>
        <row r="308">
          <cell r="B308" t="str">
            <v>Volume contribution to % sales growth</v>
          </cell>
          <cell r="C308" t="str">
            <v>SALES_VOLUME</v>
          </cell>
        </row>
        <row r="309">
          <cell r="AZ309">
            <v>2.7327694509999998E-3</v>
          </cell>
          <cell r="BE309">
            <v>3.2585724752E-2</v>
          </cell>
        </row>
        <row r="310">
          <cell r="A310" t="str">
            <v>Security: Nissin Foods Holdings</v>
          </cell>
          <cell r="B310" t="str">
            <v>132YOV</v>
          </cell>
        </row>
        <row r="311">
          <cell r="A311" t="str">
            <v>Reference Data</v>
          </cell>
        </row>
        <row r="312">
          <cell r="B312" t="str">
            <v>Ticker</v>
          </cell>
          <cell r="C312" t="str">
            <v>Ticker</v>
          </cell>
          <cell r="E312" t="str">
            <v>2897.T</v>
          </cell>
        </row>
        <row r="313">
          <cell r="B313" t="str">
            <v>Security Name</v>
          </cell>
          <cell r="C313" t="str">
            <v>Security Name</v>
          </cell>
          <cell r="E313" t="str">
            <v>Nissin Foods Holdings</v>
          </cell>
        </row>
        <row r="314">
          <cell r="B314" t="str">
            <v>Interim Type</v>
          </cell>
          <cell r="C314" t="str">
            <v>Interim Type</v>
          </cell>
          <cell r="E314" t="str">
            <v>Q</v>
          </cell>
        </row>
        <row r="315">
          <cell r="B315" t="str">
            <v>Publishing Currency</v>
          </cell>
          <cell r="C315" t="str">
            <v>PUB_CURRENCY_ISO</v>
          </cell>
          <cell r="E315" t="str">
            <v>JPY</v>
          </cell>
        </row>
        <row r="316">
          <cell r="B316" t="str">
            <v>Pricing Currency</v>
          </cell>
          <cell r="C316" t="str">
            <v>PRICE_CURRENCY_ISO</v>
          </cell>
          <cell r="E316" t="str">
            <v>JPY</v>
          </cell>
        </row>
        <row r="317">
          <cell r="B317" t="str">
            <v>Reporting Currency</v>
          </cell>
          <cell r="C317" t="str">
            <v>CURRENCY_ISO</v>
          </cell>
          <cell r="E317" t="str">
            <v>JPY</v>
          </cell>
        </row>
        <row r="318">
          <cell r="A318" t="str">
            <v>General Information</v>
          </cell>
        </row>
        <row r="319">
          <cell r="B319" t="str">
            <v>Japan Investment List</v>
          </cell>
          <cell r="C319" t="str">
            <v>JAPAN_LIST</v>
          </cell>
          <cell r="E319" t="str">
            <v>Buy</v>
          </cell>
        </row>
        <row r="320">
          <cell r="B320" t="str">
            <v>Japan Conviction List</v>
          </cell>
          <cell r="C320" t="str">
            <v>NOT IN USE</v>
          </cell>
        </row>
        <row r="322">
          <cell r="B322" t="str">
            <v>Legal rating</v>
          </cell>
          <cell r="C322" t="str">
            <v>LEGAL_RATING</v>
          </cell>
        </row>
        <row r="323">
          <cell r="B323" t="str">
            <v>Target price</v>
          </cell>
          <cell r="C323" t="str">
            <v>TARGET_PRICE</v>
          </cell>
          <cell r="D323" t="str">
            <v>JPY</v>
          </cell>
          <cell r="E323">
            <v>6000</v>
          </cell>
        </row>
        <row r="324">
          <cell r="B324" t="str">
            <v>Target price period</v>
          </cell>
          <cell r="C324" t="str">
            <v>TP_PERIOD</v>
          </cell>
          <cell r="E324" t="str">
            <v>12 months</v>
          </cell>
        </row>
        <row r="325">
          <cell r="B325" t="str">
            <v>Fundamental value</v>
          </cell>
          <cell r="C325" t="str">
            <v>TARGET_PRICE_FUNDAMENTAL</v>
          </cell>
          <cell r="D325" t="str">
            <v>JPY</v>
          </cell>
        </row>
        <row r="326">
          <cell r="B326" t="str">
            <v>M&amp;A value</v>
          </cell>
          <cell r="C326" t="str">
            <v>TARGET_PRICE_MA</v>
          </cell>
          <cell r="D326" t="str">
            <v>JPY</v>
          </cell>
        </row>
        <row r="327">
          <cell r="B327" t="str">
            <v>Current shares outstanding (mn)</v>
          </cell>
          <cell r="C327" t="str">
            <v>NUM_SH</v>
          </cell>
          <cell r="E327">
            <v>302.79926960879197</v>
          </cell>
        </row>
        <row r="328">
          <cell r="B328" t="str">
            <v>Free float</v>
          </cell>
          <cell r="C328" t="str">
            <v>FREE_FLOAT</v>
          </cell>
        </row>
        <row r="329">
          <cell r="B329" t="str">
            <v>Catalyst 1 date</v>
          </cell>
          <cell r="C329" t="str">
            <v>CATALYST1_DATE</v>
          </cell>
        </row>
        <row r="330">
          <cell r="B330" t="str">
            <v>Catalyst 1 description</v>
          </cell>
          <cell r="C330" t="str">
            <v>CATALYST1_EVENT</v>
          </cell>
        </row>
        <row r="331">
          <cell r="B331" t="str">
            <v>Catalyst 2 date</v>
          </cell>
          <cell r="C331" t="str">
            <v>CATALYST2_DATE</v>
          </cell>
        </row>
        <row r="332">
          <cell r="B332" t="str">
            <v>Catalyst 2 description</v>
          </cell>
          <cell r="C332" t="str">
            <v>CATALYST2_EVENT</v>
          </cell>
        </row>
        <row r="333">
          <cell r="B333" t="str">
            <v>Catalyst 3 date</v>
          </cell>
          <cell r="C333" t="str">
            <v>CATALYST3_DATE</v>
          </cell>
        </row>
        <row r="334">
          <cell r="B334" t="str">
            <v>Catalyst 3 description</v>
          </cell>
          <cell r="C334" t="str">
            <v>CATALYST3_EVENT</v>
          </cell>
        </row>
        <row r="335">
          <cell r="B335" t="str">
            <v>Catalyst 4 date</v>
          </cell>
          <cell r="C335" t="str">
            <v>CATALYST4_DATE</v>
          </cell>
        </row>
        <row r="336">
          <cell r="B336" t="str">
            <v>Catalyst 4 description</v>
          </cell>
          <cell r="C336" t="str">
            <v>CATALYST4_EVENT</v>
          </cell>
        </row>
        <row r="337">
          <cell r="B337" t="str">
            <v>Catalyst 5 date</v>
          </cell>
          <cell r="C337" t="str">
            <v>CATALYST5_DATE</v>
          </cell>
        </row>
        <row r="338">
          <cell r="B338" t="str">
            <v>Catalyst 5 description</v>
          </cell>
          <cell r="C338" t="str">
            <v>CATALYST5_EVENT</v>
          </cell>
        </row>
        <row r="339">
          <cell r="B339" t="str">
            <v>Target price multiple</v>
          </cell>
          <cell r="C339" t="str">
            <v>PRI_TARG_MULT</v>
          </cell>
        </row>
        <row r="340">
          <cell r="B340" t="str">
            <v>Target price methodology</v>
          </cell>
          <cell r="C340" t="str">
            <v>PRI_TARG_METH</v>
          </cell>
          <cell r="E340" t="str">
            <v>EV/NOPAT</v>
          </cell>
        </row>
        <row r="341">
          <cell r="B341" t="str">
            <v>Dividend policy</v>
          </cell>
          <cell r="C341" t="str">
            <v>DIV_POLICY</v>
          </cell>
          <cell r="E341" t="str">
            <v>Payout ratio of c40%, progressive dividend</v>
          </cell>
        </row>
        <row r="342">
          <cell r="A342" t="str">
            <v>Publishing Items</v>
          </cell>
        </row>
        <row r="343">
          <cell r="B343" t="str">
            <v>Book value per share, BVPS (Pub)</v>
          </cell>
          <cell r="C343" t="str">
            <v>BVPS_PUB</v>
          </cell>
          <cell r="D343" t="str">
            <v>JPY</v>
          </cell>
          <cell r="F343">
            <v>483.563309096784</v>
          </cell>
          <cell r="G343">
            <v>471.15543468651799</v>
          </cell>
          <cell r="H343">
            <v>479.32843699366703</v>
          </cell>
          <cell r="I343">
            <v>489.83515636857999</v>
          </cell>
          <cell r="J343">
            <v>523.76473727121299</v>
          </cell>
          <cell r="K343">
            <v>558.55248012155505</v>
          </cell>
          <cell r="L343">
            <v>592.33921471943302</v>
          </cell>
          <cell r="M343">
            <v>587.56397275427003</v>
          </cell>
          <cell r="N343">
            <v>593.24405252243105</v>
          </cell>
          <cell r="O343">
            <v>621.77259276868301</v>
          </cell>
          <cell r="P343">
            <v>657.45353553580298</v>
          </cell>
          <cell r="Q343">
            <v>671.20816927669296</v>
          </cell>
          <cell r="V343">
            <v>736.81639852120804</v>
          </cell>
          <cell r="AA343">
            <v>738.68621213368499</v>
          </cell>
          <cell r="AF343">
            <v>731.26449041031299</v>
          </cell>
          <cell r="AK343">
            <v>756.14007852724899</v>
          </cell>
          <cell r="AP343">
            <v>819.51626457181203</v>
          </cell>
          <cell r="AU343">
            <v>850.43006915583396</v>
          </cell>
          <cell r="AZ343">
            <v>930.136179188406</v>
          </cell>
          <cell r="BE343">
            <v>1009.84072654363</v>
          </cell>
          <cell r="BJ343">
            <v>1098.5961007513699</v>
          </cell>
          <cell r="BO343">
            <v>1116.71746052188</v>
          </cell>
          <cell r="BT343">
            <v>1097.3917395880201</v>
          </cell>
          <cell r="BY343">
            <v>1178.9445368741599</v>
          </cell>
          <cell r="CD343">
            <v>1045.7989205873801</v>
          </cell>
          <cell r="CI343">
            <v>1049.68409105198</v>
          </cell>
          <cell r="CN343">
            <v>1228.7910697233899</v>
          </cell>
          <cell r="CS343">
            <v>1326.5532358518601</v>
          </cell>
          <cell r="CX343">
            <v>1415.69695452726</v>
          </cell>
          <cell r="DC343">
            <v>1530.3867827853101</v>
          </cell>
          <cell r="DD343">
            <v>1655.0625473044599</v>
          </cell>
          <cell r="DE343">
            <v>1783.4314182486</v>
          </cell>
          <cell r="DF343">
            <v>1920.8890532456301</v>
          </cell>
          <cell r="DG343">
            <v>2064.5271891677198</v>
          </cell>
        </row>
        <row r="344">
          <cell r="B344" t="str">
            <v>DPS, dividend per share (Pub)</v>
          </cell>
          <cell r="C344" t="str">
            <v>DPS_PUB</v>
          </cell>
          <cell r="D344" t="str">
            <v>JPY</v>
          </cell>
          <cell r="F344">
            <v>7.9999999991999999</v>
          </cell>
          <cell r="G344">
            <v>7.9999999991999999</v>
          </cell>
          <cell r="H344">
            <v>8.6666666657999993</v>
          </cell>
          <cell r="I344">
            <v>7.9999999991999999</v>
          </cell>
          <cell r="J344">
            <v>7.9999999991999999</v>
          </cell>
          <cell r="K344">
            <v>8.9999999990999999</v>
          </cell>
          <cell r="L344">
            <v>7.9999999991999999</v>
          </cell>
          <cell r="M344">
            <v>9.9999999989999999</v>
          </cell>
          <cell r="N344">
            <v>9.9999999989999999</v>
          </cell>
          <cell r="O344">
            <v>9.9999999989999999</v>
          </cell>
          <cell r="P344">
            <v>9.9999999989999999</v>
          </cell>
          <cell r="Q344">
            <v>9.9999999989999999</v>
          </cell>
          <cell r="V344">
            <v>16.666666665000001</v>
          </cell>
          <cell r="AA344">
            <v>16.666666665000001</v>
          </cell>
          <cell r="AF344">
            <v>16.666666665000001</v>
          </cell>
          <cell r="AK344">
            <v>19.999999998</v>
          </cell>
          <cell r="AP344">
            <v>23.333333330999999</v>
          </cell>
          <cell r="AQ344">
            <v>0</v>
          </cell>
          <cell r="AR344">
            <v>12.499999998750001</v>
          </cell>
          <cell r="AS344">
            <v>0</v>
          </cell>
          <cell r="AT344">
            <v>12.499999998750001</v>
          </cell>
          <cell r="AU344">
            <v>24.999999997500002</v>
          </cell>
          <cell r="AV344">
            <v>0</v>
          </cell>
          <cell r="AW344">
            <v>12.499999998750001</v>
          </cell>
          <cell r="AX344">
            <v>0</v>
          </cell>
          <cell r="AY344">
            <v>12.499999998750001</v>
          </cell>
          <cell r="AZ344">
            <v>24.999999997500002</v>
          </cell>
          <cell r="BA344">
            <v>0</v>
          </cell>
          <cell r="BB344">
            <v>12.499999998750001</v>
          </cell>
          <cell r="BC344">
            <v>0</v>
          </cell>
          <cell r="BD344">
            <v>12.499999998750001</v>
          </cell>
          <cell r="BE344">
            <v>24.999999997500002</v>
          </cell>
          <cell r="BJ344">
            <v>24.999999997500002</v>
          </cell>
          <cell r="BO344">
            <v>26.666666664000001</v>
          </cell>
          <cell r="BT344">
            <v>28.3333333305</v>
          </cell>
          <cell r="BY344">
            <v>29.999999997</v>
          </cell>
          <cell r="CD344">
            <v>36.666666663000001</v>
          </cell>
          <cell r="CI344">
            <v>36.666666663000001</v>
          </cell>
          <cell r="CN344">
            <v>39.999999996</v>
          </cell>
          <cell r="CS344">
            <v>43.333333328999998</v>
          </cell>
          <cell r="CX344">
            <v>46.666666661999997</v>
          </cell>
          <cell r="DC344">
            <v>69.999999993000003</v>
          </cell>
          <cell r="DD344">
            <v>74</v>
          </cell>
          <cell r="DE344">
            <v>79.999999991999999</v>
          </cell>
          <cell r="DF344">
            <v>84</v>
          </cell>
          <cell r="DG344">
            <v>89.999999990999996</v>
          </cell>
        </row>
        <row r="345">
          <cell r="B345" t="str">
            <v>Special dividend per share</v>
          </cell>
          <cell r="C345" t="str">
            <v>DPS_SPECIAL_PUB</v>
          </cell>
          <cell r="D345" t="str">
            <v>JPY</v>
          </cell>
        </row>
        <row r="346">
          <cell r="B346" t="str">
            <v>EBITDA (Pub)</v>
          </cell>
          <cell r="C346" t="str">
            <v>EBITDA_PUB</v>
          </cell>
          <cell r="D346" t="str">
            <v>JPY</v>
          </cell>
          <cell r="F346">
            <v>20728</v>
          </cell>
          <cell r="G346">
            <v>21764</v>
          </cell>
          <cell r="H346">
            <v>23736</v>
          </cell>
          <cell r="I346">
            <v>24675</v>
          </cell>
          <cell r="J346">
            <v>29950</v>
          </cell>
          <cell r="K346">
            <v>35708</v>
          </cell>
          <cell r="L346">
            <v>34867</v>
          </cell>
          <cell r="M346">
            <v>32039</v>
          </cell>
          <cell r="N346">
            <v>33859</v>
          </cell>
          <cell r="O346">
            <v>30281</v>
          </cell>
          <cell r="P346">
            <v>35636</v>
          </cell>
          <cell r="Q346">
            <v>37955</v>
          </cell>
          <cell r="V346">
            <v>39921</v>
          </cell>
          <cell r="AA346">
            <v>35197</v>
          </cell>
          <cell r="AF346">
            <v>31525</v>
          </cell>
          <cell r="AK346">
            <v>36918</v>
          </cell>
          <cell r="AP346">
            <v>47364</v>
          </cell>
          <cell r="AU346">
            <v>41166</v>
          </cell>
          <cell r="AZ346">
            <v>38298</v>
          </cell>
          <cell r="BE346">
            <v>42221</v>
          </cell>
          <cell r="BJ346">
            <v>39741</v>
          </cell>
          <cell r="BO346">
            <v>44733.75</v>
          </cell>
          <cell r="BT346">
            <v>45850.554499999998</v>
          </cell>
          <cell r="BY346">
            <v>53927.255499999999</v>
          </cell>
          <cell r="CD346">
            <v>49272</v>
          </cell>
          <cell r="CI346">
            <v>68076.770999999993</v>
          </cell>
          <cell r="CN346">
            <v>79247.55</v>
          </cell>
          <cell r="CS346">
            <v>78890.853000000003</v>
          </cell>
          <cell r="CX346">
            <v>89890</v>
          </cell>
          <cell r="DC346">
            <v>114700</v>
          </cell>
          <cell r="DD346">
            <v>122600</v>
          </cell>
          <cell r="DE346">
            <v>129300</v>
          </cell>
          <cell r="DF346">
            <v>136900</v>
          </cell>
          <cell r="DG346">
            <v>144000</v>
          </cell>
        </row>
        <row r="347">
          <cell r="B347" t="str">
            <v>EPS (Pub)</v>
          </cell>
          <cell r="C347" t="str">
            <v>EPS_PUB</v>
          </cell>
          <cell r="D347" t="str">
            <v>JPY</v>
          </cell>
          <cell r="F347">
            <v>17.337794987675998</v>
          </cell>
          <cell r="G347">
            <v>19.064497877869002</v>
          </cell>
          <cell r="H347">
            <v>21.124645166930001</v>
          </cell>
          <cell r="I347">
            <v>24.723984023837001</v>
          </cell>
          <cell r="J347">
            <v>43.351115766528999</v>
          </cell>
          <cell r="K347">
            <v>40.584008029583003</v>
          </cell>
          <cell r="L347">
            <v>39.757942823877997</v>
          </cell>
          <cell r="M347">
            <v>31.214287018733</v>
          </cell>
          <cell r="N347">
            <v>36.566632455891003</v>
          </cell>
          <cell r="O347">
            <v>35.623177758384003</v>
          </cell>
          <cell r="P347">
            <v>42.115944605616001</v>
          </cell>
          <cell r="Q347">
            <v>38.414719198454002</v>
          </cell>
          <cell r="V347">
            <v>47.660367432746</v>
          </cell>
          <cell r="AA347">
            <v>34.145758152718003</v>
          </cell>
          <cell r="AF347">
            <v>39.923676278469003</v>
          </cell>
          <cell r="AK347">
            <v>54.973841594797001</v>
          </cell>
          <cell r="AP347">
            <v>58.900473503575</v>
          </cell>
          <cell r="AQ347">
            <v>26.788421173334999</v>
          </cell>
          <cell r="AR347">
            <v>3.3457148901870002</v>
          </cell>
          <cell r="AS347">
            <v>16.138321103046</v>
          </cell>
          <cell r="AT347">
            <v>6.3338724638650001</v>
          </cell>
          <cell r="AU347">
            <v>52.606329630433002</v>
          </cell>
          <cell r="AV347">
            <v>8.4793449757729995</v>
          </cell>
          <cell r="AW347">
            <v>10.285327476856001</v>
          </cell>
          <cell r="AX347">
            <v>24.427652757532002</v>
          </cell>
          <cell r="AY347">
            <v>13.845865841638</v>
          </cell>
          <cell r="AZ347">
            <v>57.038191051798997</v>
          </cell>
          <cell r="BA347">
            <v>15.892983813122999</v>
          </cell>
          <cell r="BB347">
            <v>9.9471025235700008</v>
          </cell>
          <cell r="BC347">
            <v>30.485495116323001</v>
          </cell>
          <cell r="BD347">
            <v>1.9476844102099999</v>
          </cell>
          <cell r="BE347">
            <v>58.273265863226001</v>
          </cell>
          <cell r="BF347">
            <v>12.207855537603001</v>
          </cell>
          <cell r="BG347">
            <v>12.340911183789</v>
          </cell>
          <cell r="BH347">
            <v>32.982680294436001</v>
          </cell>
          <cell r="BI347">
            <v>-1.572475818567</v>
          </cell>
          <cell r="BJ347">
            <v>55.958971197261</v>
          </cell>
          <cell r="BK347">
            <v>16.557049501266999</v>
          </cell>
          <cell r="BL347">
            <v>16.371357273196001</v>
          </cell>
          <cell r="BM347">
            <v>37.150621822626</v>
          </cell>
          <cell r="BN347">
            <v>11.75949296139</v>
          </cell>
          <cell r="BO347">
            <v>81.838521556824006</v>
          </cell>
          <cell r="BP347">
            <v>9.3887886667539995</v>
          </cell>
          <cell r="BQ347">
            <v>28.864731534848001</v>
          </cell>
          <cell r="BR347">
            <v>24.045069841006999</v>
          </cell>
          <cell r="BS347">
            <v>11.477621902487</v>
          </cell>
          <cell r="BT347">
            <v>73.776211945095994</v>
          </cell>
          <cell r="BU347">
            <v>18.430297424837001</v>
          </cell>
          <cell r="BV347">
            <v>26.747461348708001</v>
          </cell>
          <cell r="BW347">
            <v>44.163676236846001</v>
          </cell>
          <cell r="BX347">
            <v>3.8312897164559998</v>
          </cell>
          <cell r="BY347">
            <v>93.172724726846994</v>
          </cell>
          <cell r="BZ347">
            <v>26.476666664019</v>
          </cell>
          <cell r="CA347">
            <v>22.013333331131999</v>
          </cell>
          <cell r="CB347">
            <v>30.593333330274</v>
          </cell>
          <cell r="CC347">
            <v>-17.134672928674998</v>
          </cell>
          <cell r="CD347">
            <v>61.94866039675</v>
          </cell>
          <cell r="CE347">
            <v>18.563333331477001</v>
          </cell>
          <cell r="CF347">
            <v>24.539999997546001</v>
          </cell>
          <cell r="CG347">
            <v>38.973333329436002</v>
          </cell>
          <cell r="CH347">
            <v>11.748861766378001</v>
          </cell>
          <cell r="CI347">
            <v>93.825528424835994</v>
          </cell>
          <cell r="CJ347">
            <v>38.703333329463</v>
          </cell>
          <cell r="CK347">
            <v>31.609999996839001</v>
          </cell>
          <cell r="CL347">
            <v>45.779999995422003</v>
          </cell>
          <cell r="CM347">
            <v>14.549961506259001</v>
          </cell>
          <cell r="CN347">
            <v>130.643294827983</v>
          </cell>
          <cell r="CO347">
            <v>25.339999997465998</v>
          </cell>
          <cell r="CP347">
            <v>29.809999997018998</v>
          </cell>
          <cell r="CQ347">
            <v>44.116666662255</v>
          </cell>
          <cell r="CR347">
            <v>15.228110191441999</v>
          </cell>
          <cell r="CS347">
            <v>114.494776848182</v>
          </cell>
          <cell r="CT347">
            <v>24.609999997538999</v>
          </cell>
          <cell r="CU347">
            <v>32.346666663432003</v>
          </cell>
          <cell r="CV347">
            <v>57.584087238891001</v>
          </cell>
          <cell r="CW347">
            <v>32.398630674149999</v>
          </cell>
          <cell r="CX347">
            <v>146.939384574012</v>
          </cell>
          <cell r="CY347">
            <v>45.863333328746997</v>
          </cell>
          <cell r="CZ347">
            <v>59.416666660724999</v>
          </cell>
          <cell r="DA347">
            <v>57.229511639164997</v>
          </cell>
          <cell r="DB347">
            <v>32.600154039061003</v>
          </cell>
          <cell r="DC347">
            <v>195.109665683949</v>
          </cell>
          <cell r="DD347">
            <v>208.81632804565999</v>
          </cell>
          <cell r="DE347">
            <v>217.983821123533</v>
          </cell>
          <cell r="DF347">
            <v>230.56382335721199</v>
          </cell>
          <cell r="DG347">
            <v>242.24317046928499</v>
          </cell>
        </row>
        <row r="348">
          <cell r="B348" t="str">
            <v>EV adjustment (Pub)</v>
          </cell>
          <cell r="C348" t="str">
            <v>EV_ADJ_PUB</v>
          </cell>
          <cell r="D348" t="str">
            <v>JPY</v>
          </cell>
        </row>
        <row r="349">
          <cell r="B349" t="str">
            <v>Net debt (Pub)</v>
          </cell>
          <cell r="C349" t="str">
            <v>NET_DEBT_PUB</v>
          </cell>
          <cell r="D349" t="str">
            <v>JPY</v>
          </cell>
          <cell r="F349">
            <v>-88121</v>
          </cell>
          <cell r="G349">
            <v>-81879</v>
          </cell>
          <cell r="H349">
            <v>-70429</v>
          </cell>
          <cell r="I349">
            <v>-66831</v>
          </cell>
          <cell r="J349">
            <v>-107914</v>
          </cell>
          <cell r="K349">
            <v>-102559</v>
          </cell>
          <cell r="L349">
            <v>-66731</v>
          </cell>
          <cell r="M349">
            <v>-88954</v>
          </cell>
          <cell r="N349">
            <v>-79715</v>
          </cell>
          <cell r="O349">
            <v>-73403</v>
          </cell>
          <cell r="P349">
            <v>-71046</v>
          </cell>
          <cell r="Q349">
            <v>-99257</v>
          </cell>
          <cell r="V349">
            <v>-79514</v>
          </cell>
          <cell r="AA349">
            <v>-91616</v>
          </cell>
          <cell r="AF349">
            <v>-73533</v>
          </cell>
          <cell r="AK349">
            <v>-78058</v>
          </cell>
          <cell r="AP349">
            <v>-58820</v>
          </cell>
          <cell r="AU349">
            <v>-63795</v>
          </cell>
          <cell r="AZ349">
            <v>-61462</v>
          </cell>
          <cell r="BE349">
            <v>-78875</v>
          </cell>
          <cell r="BJ349">
            <v>-100187</v>
          </cell>
          <cell r="BO349">
            <v>-59416</v>
          </cell>
          <cell r="BT349">
            <v>-37757</v>
          </cell>
          <cell r="BY349">
            <v>-38801</v>
          </cell>
          <cell r="CD349">
            <v>-9020</v>
          </cell>
          <cell r="CI349">
            <v>9525</v>
          </cell>
          <cell r="CN349">
            <v>-20763</v>
          </cell>
          <cell r="CS349">
            <v>-37635</v>
          </cell>
          <cell r="CX349">
            <v>-51168</v>
          </cell>
          <cell r="DC349">
            <v>-29800</v>
          </cell>
          <cell r="DD349">
            <v>-11800</v>
          </cell>
          <cell r="DE349">
            <v>3800</v>
          </cell>
          <cell r="DF349">
            <v>10400</v>
          </cell>
          <cell r="DG349">
            <v>10000</v>
          </cell>
        </row>
        <row r="350">
          <cell r="B350" t="str">
            <v>Net Debt (ex leases) (Pub)</v>
          </cell>
          <cell r="C350" t="str">
            <v>NET_DEBT_EX_LEASES_PUB</v>
          </cell>
          <cell r="D350" t="str">
            <v>JPY</v>
          </cell>
          <cell r="F350">
            <v>-88121</v>
          </cell>
          <cell r="G350">
            <v>-81879</v>
          </cell>
          <cell r="H350">
            <v>-70429</v>
          </cell>
          <cell r="I350">
            <v>-66831</v>
          </cell>
          <cell r="J350">
            <v>-107914</v>
          </cell>
          <cell r="K350">
            <v>-102559</v>
          </cell>
          <cell r="L350">
            <v>-66731</v>
          </cell>
          <cell r="M350">
            <v>-88954</v>
          </cell>
          <cell r="N350">
            <v>-79715</v>
          </cell>
          <cell r="O350">
            <v>-73403</v>
          </cell>
          <cell r="P350">
            <v>-71046</v>
          </cell>
          <cell r="Q350">
            <v>-99257</v>
          </cell>
          <cell r="V350">
            <v>-79514</v>
          </cell>
          <cell r="AA350">
            <v>-91616</v>
          </cell>
          <cell r="AF350">
            <v>-73533</v>
          </cell>
          <cell r="AK350">
            <v>-78058</v>
          </cell>
          <cell r="AP350">
            <v>-58820</v>
          </cell>
          <cell r="AU350">
            <v>-63795</v>
          </cell>
          <cell r="AZ350">
            <v>-61462</v>
          </cell>
          <cell r="BE350">
            <v>-78875</v>
          </cell>
          <cell r="BJ350">
            <v>-100187</v>
          </cell>
          <cell r="BO350">
            <v>-59416</v>
          </cell>
          <cell r="BT350">
            <v>-37757</v>
          </cell>
          <cell r="BY350">
            <v>-38801</v>
          </cell>
          <cell r="CD350">
            <v>-14725</v>
          </cell>
          <cell r="CI350">
            <v>-11902</v>
          </cell>
          <cell r="CN350">
            <v>-42364</v>
          </cell>
          <cell r="CS350">
            <v>-57090</v>
          </cell>
          <cell r="CX350">
            <v>-51168</v>
          </cell>
          <cell r="DC350">
            <v>-29800</v>
          </cell>
          <cell r="DD350">
            <v>-11800</v>
          </cell>
          <cell r="DE350">
            <v>3800</v>
          </cell>
          <cell r="DF350">
            <v>10400</v>
          </cell>
          <cell r="DG350">
            <v>10000</v>
          </cell>
        </row>
        <row r="351">
          <cell r="B351" t="str">
            <v>Consensus equivalent net debt</v>
          </cell>
          <cell r="C351" t="str">
            <v>CEEE_NDEBT</v>
          </cell>
          <cell r="D351" t="str">
            <v>JPY</v>
          </cell>
        </row>
        <row r="352">
          <cell r="B352" t="str">
            <v>Net income (Pub)</v>
          </cell>
          <cell r="C352" t="str">
            <v>NI_PUB</v>
          </cell>
          <cell r="D352" t="str">
            <v>JPY</v>
          </cell>
          <cell r="F352">
            <v>6917</v>
          </cell>
          <cell r="G352">
            <v>7616</v>
          </cell>
          <cell r="H352">
            <v>8439</v>
          </cell>
          <cell r="I352">
            <v>9683</v>
          </cell>
          <cell r="J352">
            <v>16870</v>
          </cell>
          <cell r="K352">
            <v>15519</v>
          </cell>
          <cell r="L352">
            <v>15203</v>
          </cell>
          <cell r="M352">
            <v>11936</v>
          </cell>
          <cell r="N352">
            <v>14422</v>
          </cell>
          <cell r="O352">
            <v>14050</v>
          </cell>
          <cell r="P352">
            <v>16611</v>
          </cell>
          <cell r="Q352">
            <v>15388</v>
          </cell>
          <cell r="V352">
            <v>18968</v>
          </cell>
          <cell r="AA352">
            <v>13590</v>
          </cell>
          <cell r="AF352">
            <v>15890</v>
          </cell>
          <cell r="AK352">
            <v>20496</v>
          </cell>
          <cell r="AP352">
            <v>20756</v>
          </cell>
          <cell r="AQ352">
            <v>9440</v>
          </cell>
          <cell r="AR352">
            <v>1179</v>
          </cell>
          <cell r="AS352">
            <v>5687</v>
          </cell>
          <cell r="AT352">
            <v>2232</v>
          </cell>
          <cell r="AU352">
            <v>18538</v>
          </cell>
          <cell r="AV352">
            <v>2803</v>
          </cell>
          <cell r="AW352">
            <v>3400</v>
          </cell>
          <cell r="AX352">
            <v>8075</v>
          </cell>
          <cell r="AY352">
            <v>4577</v>
          </cell>
          <cell r="AZ352">
            <v>18855</v>
          </cell>
          <cell r="BA352">
            <v>5255</v>
          </cell>
          <cell r="BB352">
            <v>3289</v>
          </cell>
          <cell r="BC352">
            <v>10080</v>
          </cell>
          <cell r="BD352">
            <v>644</v>
          </cell>
          <cell r="BE352">
            <v>19268</v>
          </cell>
          <cell r="BF352">
            <v>4037</v>
          </cell>
          <cell r="BG352">
            <v>4081</v>
          </cell>
          <cell r="BH352">
            <v>10907</v>
          </cell>
          <cell r="BI352">
            <v>-520</v>
          </cell>
          <cell r="BJ352">
            <v>18505</v>
          </cell>
          <cell r="BK352">
            <v>5439</v>
          </cell>
          <cell r="BL352">
            <v>5378</v>
          </cell>
          <cell r="BM352">
            <v>12204</v>
          </cell>
          <cell r="BN352">
            <v>3863</v>
          </cell>
          <cell r="BO352">
            <v>26884</v>
          </cell>
          <cell r="BP352">
            <v>2998</v>
          </cell>
          <cell r="BQ352">
            <v>9217</v>
          </cell>
          <cell r="BR352">
            <v>7678</v>
          </cell>
          <cell r="BS352">
            <v>3665</v>
          </cell>
          <cell r="BT352">
            <v>23558</v>
          </cell>
          <cell r="BU352">
            <v>5757</v>
          </cell>
          <cell r="BV352">
            <v>8355</v>
          </cell>
          <cell r="BW352">
            <v>13795.235000000001</v>
          </cell>
          <cell r="BX352">
            <v>1196.7650000000001</v>
          </cell>
          <cell r="BY352">
            <v>29104</v>
          </cell>
          <cell r="BZ352">
            <v>8271</v>
          </cell>
          <cell r="CA352">
            <v>6879</v>
          </cell>
          <cell r="CB352">
            <v>9558</v>
          </cell>
          <cell r="CC352">
            <v>-5352</v>
          </cell>
          <cell r="CD352">
            <v>19356</v>
          </cell>
          <cell r="CE352">
            <v>5800</v>
          </cell>
          <cell r="CF352">
            <v>7669</v>
          </cell>
          <cell r="CG352">
            <v>12179</v>
          </cell>
          <cell r="CH352">
            <v>3668</v>
          </cell>
          <cell r="CI352">
            <v>29316</v>
          </cell>
          <cell r="CJ352">
            <v>12095</v>
          </cell>
          <cell r="CK352">
            <v>9878</v>
          </cell>
          <cell r="CL352">
            <v>14308</v>
          </cell>
          <cell r="CM352">
            <v>4547</v>
          </cell>
          <cell r="CN352">
            <v>40828</v>
          </cell>
          <cell r="CO352">
            <v>7894</v>
          </cell>
          <cell r="CP352">
            <v>9228</v>
          </cell>
          <cell r="CQ352">
            <v>13625</v>
          </cell>
          <cell r="CR352">
            <v>4665</v>
          </cell>
          <cell r="CS352">
            <v>35412</v>
          </cell>
          <cell r="CT352">
            <v>7530</v>
          </cell>
          <cell r="CU352">
            <v>9852</v>
          </cell>
          <cell r="CV352">
            <v>17541</v>
          </cell>
          <cell r="CW352">
            <v>9837</v>
          </cell>
          <cell r="CX352">
            <v>44760</v>
          </cell>
          <cell r="CY352">
            <v>14031</v>
          </cell>
          <cell r="CZ352">
            <v>17979</v>
          </cell>
          <cell r="DA352">
            <v>17400</v>
          </cell>
          <cell r="DB352">
            <v>9790</v>
          </cell>
          <cell r="DC352">
            <v>59200</v>
          </cell>
          <cell r="DD352">
            <v>63100</v>
          </cell>
          <cell r="DE352">
            <v>65600</v>
          </cell>
          <cell r="DF352">
            <v>69100</v>
          </cell>
          <cell r="DG352">
            <v>72300</v>
          </cell>
        </row>
        <row r="353">
          <cell r="B353" t="str">
            <v>EBIT, operating profit (Pub)</v>
          </cell>
          <cell r="C353" t="str">
            <v>EBIT_PUB</v>
          </cell>
          <cell r="D353" t="str">
            <v>JPY</v>
          </cell>
          <cell r="F353">
            <v>19766</v>
          </cell>
          <cell r="G353">
            <v>20881</v>
          </cell>
          <cell r="H353">
            <v>22851</v>
          </cell>
          <cell r="I353">
            <v>23849</v>
          </cell>
          <cell r="J353">
            <v>24674</v>
          </cell>
          <cell r="K353">
            <v>27631</v>
          </cell>
          <cell r="L353">
            <v>27283</v>
          </cell>
          <cell r="M353">
            <v>24816</v>
          </cell>
          <cell r="N353">
            <v>26400</v>
          </cell>
          <cell r="O353">
            <v>23203</v>
          </cell>
          <cell r="P353">
            <v>28962</v>
          </cell>
          <cell r="Q353">
            <v>31979</v>
          </cell>
          <cell r="V353">
            <v>33734</v>
          </cell>
          <cell r="AA353">
            <v>27671</v>
          </cell>
          <cell r="AF353">
            <v>23552</v>
          </cell>
          <cell r="AK353">
            <v>27341</v>
          </cell>
          <cell r="AP353">
            <v>34537</v>
          </cell>
          <cell r="AQ353">
            <v>9832</v>
          </cell>
          <cell r="AR353">
            <v>2201</v>
          </cell>
          <cell r="AS353">
            <v>8789</v>
          </cell>
          <cell r="AT353">
            <v>5389</v>
          </cell>
          <cell r="AU353">
            <v>26211</v>
          </cell>
          <cell r="AV353">
            <v>4579</v>
          </cell>
          <cell r="AW353">
            <v>4318</v>
          </cell>
          <cell r="AX353">
            <v>10253</v>
          </cell>
          <cell r="AY353">
            <v>4804</v>
          </cell>
          <cell r="AZ353">
            <v>23954</v>
          </cell>
          <cell r="BA353">
            <v>5936</v>
          </cell>
          <cell r="BB353">
            <v>4032</v>
          </cell>
          <cell r="BC353">
            <v>11778</v>
          </cell>
          <cell r="BD353">
            <v>5959</v>
          </cell>
          <cell r="BE353">
            <v>27705</v>
          </cell>
          <cell r="BF353">
            <v>5050</v>
          </cell>
          <cell r="BG353">
            <v>4353</v>
          </cell>
          <cell r="BH353">
            <v>10761</v>
          </cell>
          <cell r="BI353">
            <v>4138</v>
          </cell>
          <cell r="BJ353">
            <v>24302</v>
          </cell>
          <cell r="BK353">
            <v>5603</v>
          </cell>
          <cell r="BL353">
            <v>6795</v>
          </cell>
          <cell r="BM353">
            <v>9869</v>
          </cell>
          <cell r="BN353">
            <v>4133</v>
          </cell>
          <cell r="BO353">
            <v>26400</v>
          </cell>
          <cell r="BP353">
            <v>6824</v>
          </cell>
          <cell r="BQ353">
            <v>4911</v>
          </cell>
          <cell r="BR353">
            <v>9983</v>
          </cell>
          <cell r="BS353">
            <v>6900</v>
          </cell>
          <cell r="BT353">
            <v>28618</v>
          </cell>
          <cell r="BU353">
            <v>7121</v>
          </cell>
          <cell r="BV353">
            <v>8219</v>
          </cell>
          <cell r="BW353">
            <v>11557</v>
          </cell>
          <cell r="BX353">
            <v>7216</v>
          </cell>
          <cell r="BY353">
            <v>34113</v>
          </cell>
          <cell r="BZ353">
            <v>12833</v>
          </cell>
          <cell r="CA353">
            <v>9704</v>
          </cell>
          <cell r="CB353">
            <v>12235</v>
          </cell>
          <cell r="CC353">
            <v>-5804</v>
          </cell>
          <cell r="CD353">
            <v>28968</v>
          </cell>
          <cell r="CE353">
            <v>8627</v>
          </cell>
          <cell r="CF353">
            <v>11094</v>
          </cell>
          <cell r="CG353">
            <v>15812</v>
          </cell>
          <cell r="CH353">
            <v>5720</v>
          </cell>
          <cell r="CI353">
            <v>41253</v>
          </cell>
          <cell r="CJ353">
            <v>17452</v>
          </cell>
          <cell r="CK353">
            <v>14388</v>
          </cell>
          <cell r="CL353">
            <v>18126</v>
          </cell>
          <cell r="CM353">
            <v>2416</v>
          </cell>
          <cell r="CN353">
            <v>52382</v>
          </cell>
          <cell r="CO353">
            <v>13248</v>
          </cell>
          <cell r="CP353">
            <v>13588</v>
          </cell>
          <cell r="CQ353">
            <v>15752</v>
          </cell>
          <cell r="CR353">
            <v>6971</v>
          </cell>
          <cell r="CS353">
            <v>49559</v>
          </cell>
          <cell r="CT353">
            <v>13426</v>
          </cell>
          <cell r="CU353">
            <v>14898</v>
          </cell>
          <cell r="CV353">
            <v>23028</v>
          </cell>
          <cell r="CW353">
            <v>8840</v>
          </cell>
          <cell r="CX353">
            <v>60192</v>
          </cell>
          <cell r="CY353">
            <v>22186</v>
          </cell>
          <cell r="CZ353">
            <v>25423</v>
          </cell>
          <cell r="DA353">
            <v>22800</v>
          </cell>
          <cell r="DB353">
            <v>13691</v>
          </cell>
          <cell r="DC353">
            <v>84100</v>
          </cell>
          <cell r="DD353">
            <v>89800</v>
          </cell>
          <cell r="DE353">
            <v>93700</v>
          </cell>
          <cell r="DF353">
            <v>98800</v>
          </cell>
          <cell r="DG353">
            <v>103200</v>
          </cell>
        </row>
        <row r="354">
          <cell r="B354" t="str">
            <v>Pre-tax profit (Pub)</v>
          </cell>
          <cell r="C354" t="str">
            <v>PTP_PUB</v>
          </cell>
          <cell r="D354" t="str">
            <v>JPY</v>
          </cell>
          <cell r="F354">
            <v>20711</v>
          </cell>
          <cell r="G354">
            <v>22394</v>
          </cell>
          <cell r="H354">
            <v>21667</v>
          </cell>
          <cell r="I354">
            <v>16387</v>
          </cell>
          <cell r="J354">
            <v>19067</v>
          </cell>
          <cell r="K354">
            <v>27652</v>
          </cell>
          <cell r="L354">
            <v>24896</v>
          </cell>
          <cell r="M354">
            <v>20074</v>
          </cell>
          <cell r="N354">
            <v>25520</v>
          </cell>
          <cell r="O354">
            <v>24705</v>
          </cell>
          <cell r="P354">
            <v>27072</v>
          </cell>
          <cell r="Q354">
            <v>29811</v>
          </cell>
          <cell r="V354">
            <v>33578</v>
          </cell>
          <cell r="AA354">
            <v>27688</v>
          </cell>
          <cell r="AF354">
            <v>23372</v>
          </cell>
          <cell r="AK354">
            <v>31154</v>
          </cell>
          <cell r="AP354">
            <v>34683</v>
          </cell>
          <cell r="AU354">
            <v>31620</v>
          </cell>
          <cell r="AZ354">
            <v>29392</v>
          </cell>
          <cell r="BE354">
            <v>31725</v>
          </cell>
          <cell r="BJ354">
            <v>29014</v>
          </cell>
          <cell r="BO354">
            <v>36978</v>
          </cell>
          <cell r="BT354">
            <v>35517</v>
          </cell>
          <cell r="BY354">
            <v>37525</v>
          </cell>
          <cell r="CD354">
            <v>31166</v>
          </cell>
          <cell r="CI354">
            <v>42650</v>
          </cell>
          <cell r="CN354">
            <v>56233</v>
          </cell>
          <cell r="CS354">
            <v>49182</v>
          </cell>
          <cell r="CX354">
            <v>57950</v>
          </cell>
          <cell r="DC354">
            <v>81600</v>
          </cell>
          <cell r="DD354">
            <v>86600</v>
          </cell>
          <cell r="DE354">
            <v>89900</v>
          </cell>
          <cell r="DF354">
            <v>94400</v>
          </cell>
          <cell r="DG354">
            <v>98600</v>
          </cell>
        </row>
        <row r="355">
          <cell r="B355" t="str">
            <v>Sales, revenue (Pub)</v>
          </cell>
          <cell r="C355" t="str">
            <v>REVS_PUB</v>
          </cell>
          <cell r="D355" t="str">
            <v>JPY</v>
          </cell>
          <cell r="F355">
            <v>265639</v>
          </cell>
          <cell r="G355">
            <v>275936</v>
          </cell>
          <cell r="H355">
            <v>287835</v>
          </cell>
          <cell r="I355">
            <v>297551</v>
          </cell>
          <cell r="J355">
            <v>290877</v>
          </cell>
          <cell r="K355">
            <v>292540</v>
          </cell>
          <cell r="L355">
            <v>301081</v>
          </cell>
          <cell r="M355">
            <v>308462</v>
          </cell>
          <cell r="N355">
            <v>315279</v>
          </cell>
          <cell r="O355">
            <v>320032</v>
          </cell>
          <cell r="P355">
            <v>316972</v>
          </cell>
          <cell r="Q355">
            <v>321700</v>
          </cell>
          <cell r="V355">
            <v>358238</v>
          </cell>
          <cell r="AA355">
            <v>385469</v>
          </cell>
          <cell r="AF355">
            <v>362057</v>
          </cell>
          <cell r="AK355">
            <v>371178</v>
          </cell>
          <cell r="AP355">
            <v>374932</v>
          </cell>
          <cell r="AQ355">
            <v>91104</v>
          </cell>
          <cell r="AR355">
            <v>88930</v>
          </cell>
          <cell r="AS355">
            <v>105091</v>
          </cell>
          <cell r="AT355">
            <v>95549</v>
          </cell>
          <cell r="AU355">
            <v>380674</v>
          </cell>
          <cell r="AV355">
            <v>89648</v>
          </cell>
          <cell r="AW355">
            <v>88750</v>
          </cell>
          <cell r="AX355">
            <v>107370</v>
          </cell>
          <cell r="AY355">
            <v>97025</v>
          </cell>
          <cell r="AZ355">
            <v>382793</v>
          </cell>
          <cell r="BA355">
            <v>94854</v>
          </cell>
          <cell r="BB355">
            <v>98404</v>
          </cell>
          <cell r="BC355">
            <v>118465</v>
          </cell>
          <cell r="BD355">
            <v>105897</v>
          </cell>
          <cell r="BE355">
            <v>417620</v>
          </cell>
          <cell r="BF355">
            <v>98396</v>
          </cell>
          <cell r="BG355">
            <v>103578</v>
          </cell>
          <cell r="BH355">
            <v>121975</v>
          </cell>
          <cell r="BI355">
            <v>107626</v>
          </cell>
          <cell r="BJ355">
            <v>431575</v>
          </cell>
          <cell r="BK355">
            <v>104396</v>
          </cell>
          <cell r="BL355">
            <v>113546</v>
          </cell>
          <cell r="BM355">
            <v>129594</v>
          </cell>
          <cell r="BN355">
            <v>120548</v>
          </cell>
          <cell r="BO355">
            <v>468084</v>
          </cell>
          <cell r="BP355">
            <v>115481</v>
          </cell>
          <cell r="BQ355">
            <v>120363</v>
          </cell>
          <cell r="BR355">
            <v>133994</v>
          </cell>
          <cell r="BS355">
            <v>125877</v>
          </cell>
          <cell r="BT355">
            <v>495715</v>
          </cell>
          <cell r="BU355">
            <v>119045</v>
          </cell>
          <cell r="BV355">
            <v>128300</v>
          </cell>
          <cell r="BW355">
            <v>139426</v>
          </cell>
          <cell r="BX355">
            <v>129629</v>
          </cell>
          <cell r="BY355">
            <v>516400</v>
          </cell>
          <cell r="BZ355">
            <v>103399</v>
          </cell>
          <cell r="CA355">
            <v>111263</v>
          </cell>
          <cell r="CB355">
            <v>122103</v>
          </cell>
          <cell r="CC355">
            <v>114219</v>
          </cell>
          <cell r="CD355">
            <v>450984</v>
          </cell>
          <cell r="CE355">
            <v>105894</v>
          </cell>
          <cell r="CF355">
            <v>115467</v>
          </cell>
          <cell r="CG355">
            <v>126683</v>
          </cell>
          <cell r="CH355">
            <v>120835</v>
          </cell>
          <cell r="CI355">
            <v>468879</v>
          </cell>
          <cell r="CJ355">
            <v>120561</v>
          </cell>
          <cell r="CK355">
            <v>120570</v>
          </cell>
          <cell r="CL355">
            <v>132728</v>
          </cell>
          <cell r="CM355">
            <v>132248</v>
          </cell>
          <cell r="CN355">
            <v>506107</v>
          </cell>
          <cell r="CO355">
            <v>132457</v>
          </cell>
          <cell r="CP355">
            <v>142580</v>
          </cell>
          <cell r="CQ355">
            <v>149758</v>
          </cell>
          <cell r="CR355">
            <v>144927</v>
          </cell>
          <cell r="CS355">
            <v>569722</v>
          </cell>
          <cell r="CT355">
            <v>149263</v>
          </cell>
          <cell r="CU355">
            <v>167691</v>
          </cell>
          <cell r="CV355">
            <v>184513</v>
          </cell>
          <cell r="CW355">
            <v>167781</v>
          </cell>
          <cell r="CX355">
            <v>669248</v>
          </cell>
          <cell r="CY355">
            <v>166470</v>
          </cell>
          <cell r="CZ355">
            <v>183900</v>
          </cell>
          <cell r="DA355">
            <v>198200</v>
          </cell>
          <cell r="DB355">
            <v>185530</v>
          </cell>
          <cell r="DC355">
            <v>734100</v>
          </cell>
          <cell r="DD355">
            <v>769900</v>
          </cell>
          <cell r="DE355">
            <v>804600</v>
          </cell>
          <cell r="DF355">
            <v>831200</v>
          </cell>
          <cell r="DG355">
            <v>854300</v>
          </cell>
        </row>
        <row r="356">
          <cell r="B356" t="str">
            <v>Total shareholders' equity (Pub)</v>
          </cell>
          <cell r="C356" t="str">
            <v>EQ_PUB</v>
          </cell>
          <cell r="D356" t="str">
            <v>JPY</v>
          </cell>
          <cell r="F356">
            <v>194520</v>
          </cell>
          <cell r="G356">
            <v>189743</v>
          </cell>
          <cell r="H356">
            <v>193389</v>
          </cell>
          <cell r="I356">
            <v>194270</v>
          </cell>
          <cell r="J356">
            <v>205895</v>
          </cell>
          <cell r="K356">
            <v>217991</v>
          </cell>
          <cell r="L356">
            <v>230930</v>
          </cell>
          <cell r="M356">
            <v>230581</v>
          </cell>
          <cell r="N356">
            <v>233707</v>
          </cell>
          <cell r="O356">
            <v>244439</v>
          </cell>
          <cell r="P356">
            <v>258138</v>
          </cell>
          <cell r="Q356">
            <v>263199</v>
          </cell>
          <cell r="V356">
            <v>288476</v>
          </cell>
          <cell r="AA356">
            <v>288844</v>
          </cell>
          <cell r="AF356">
            <v>285569</v>
          </cell>
          <cell r="AK356">
            <v>271951</v>
          </cell>
          <cell r="AP356">
            <v>277595</v>
          </cell>
          <cell r="AU356">
            <v>286657</v>
          </cell>
          <cell r="AZ356">
            <v>315026</v>
          </cell>
          <cell r="BE356">
            <v>342300</v>
          </cell>
          <cell r="BJ356">
            <v>369852</v>
          </cell>
          <cell r="BO356">
            <v>371688</v>
          </cell>
          <cell r="BT356">
            <v>353517</v>
          </cell>
          <cell r="BY356">
            <v>391776</v>
          </cell>
          <cell r="CD356">
            <v>352545</v>
          </cell>
          <cell r="CI356">
            <v>354063</v>
          </cell>
          <cell r="CN356">
            <v>421435</v>
          </cell>
          <cell r="CS356">
            <v>444590</v>
          </cell>
          <cell r="CX356">
            <v>467949</v>
          </cell>
          <cell r="DC356">
            <v>502300</v>
          </cell>
          <cell r="DD356">
            <v>539400</v>
          </cell>
          <cell r="DE356">
            <v>577300</v>
          </cell>
          <cell r="DF356">
            <v>617600</v>
          </cell>
          <cell r="DG356">
            <v>659400</v>
          </cell>
        </row>
        <row r="357">
          <cell r="B357" t="str">
            <v>Recurring profit (Pub)</v>
          </cell>
          <cell r="C357" t="str">
            <v>REC_PFT_PUB</v>
          </cell>
          <cell r="D357" t="str">
            <v>JPY</v>
          </cell>
          <cell r="F357">
            <v>21259</v>
          </cell>
          <cell r="G357">
            <v>22848</v>
          </cell>
          <cell r="H357">
            <v>23329</v>
          </cell>
          <cell r="I357">
            <v>24043</v>
          </cell>
          <cell r="J357">
            <v>26887</v>
          </cell>
          <cell r="K357">
            <v>30329</v>
          </cell>
          <cell r="L357">
            <v>33137</v>
          </cell>
          <cell r="M357">
            <v>29993</v>
          </cell>
          <cell r="N357">
            <v>28676</v>
          </cell>
          <cell r="O357">
            <v>25620</v>
          </cell>
          <cell r="P357">
            <v>33183</v>
          </cell>
          <cell r="Q357">
            <v>39526</v>
          </cell>
          <cell r="V357">
            <v>37843</v>
          </cell>
          <cell r="AA357">
            <v>32798</v>
          </cell>
          <cell r="AF357">
            <v>28748</v>
          </cell>
          <cell r="AK357">
            <v>32794</v>
          </cell>
          <cell r="AP357">
            <v>36418</v>
          </cell>
          <cell r="AU357">
            <v>28099</v>
          </cell>
          <cell r="AZ357">
            <v>30964</v>
          </cell>
          <cell r="BE357">
            <v>34840</v>
          </cell>
          <cell r="BJ357">
            <v>32980</v>
          </cell>
          <cell r="BO357">
            <v>30733</v>
          </cell>
          <cell r="BT357">
            <v>32864</v>
          </cell>
          <cell r="BY357">
            <v>40588</v>
          </cell>
          <cell r="CD357">
            <v>35132</v>
          </cell>
          <cell r="CI357">
            <v>47192</v>
          </cell>
        </row>
        <row r="358">
          <cell r="B358" t="str">
            <v>Operating profits</v>
          </cell>
          <cell r="C358" t="str">
            <v>OPS_PFT</v>
          </cell>
          <cell r="D358" t="str">
            <v>JPY</v>
          </cell>
          <cell r="F358">
            <v>19766</v>
          </cell>
          <cell r="G358">
            <v>20881</v>
          </cell>
          <cell r="H358">
            <v>22851</v>
          </cell>
          <cell r="I358">
            <v>23849</v>
          </cell>
          <cell r="J358">
            <v>24674</v>
          </cell>
          <cell r="K358">
            <v>27631</v>
          </cell>
          <cell r="L358">
            <v>27283</v>
          </cell>
          <cell r="M358">
            <v>24816</v>
          </cell>
          <cell r="N358">
            <v>26400</v>
          </cell>
          <cell r="O358">
            <v>23203</v>
          </cell>
          <cell r="P358">
            <v>28962</v>
          </cell>
          <cell r="Q358">
            <v>31979</v>
          </cell>
          <cell r="V358">
            <v>33734</v>
          </cell>
          <cell r="AA358">
            <v>27671</v>
          </cell>
          <cell r="AF358">
            <v>23552</v>
          </cell>
          <cell r="AK358">
            <v>27341</v>
          </cell>
          <cell r="AP358">
            <v>34537</v>
          </cell>
          <cell r="AU358">
            <v>26211</v>
          </cell>
          <cell r="AZ358">
            <v>23954</v>
          </cell>
          <cell r="BE358">
            <v>27705</v>
          </cell>
          <cell r="BJ358">
            <v>24302</v>
          </cell>
          <cell r="BO358">
            <v>26400</v>
          </cell>
          <cell r="BT358">
            <v>28618</v>
          </cell>
          <cell r="BY358">
            <v>34113</v>
          </cell>
          <cell r="CD358">
            <v>28968</v>
          </cell>
          <cell r="CI358">
            <v>41253</v>
          </cell>
          <cell r="CN358">
            <v>52382</v>
          </cell>
          <cell r="CS358">
            <v>49559</v>
          </cell>
          <cell r="CX358">
            <v>60192</v>
          </cell>
          <cell r="DC358">
            <v>84100</v>
          </cell>
          <cell r="DD358">
            <v>89800</v>
          </cell>
          <cell r="DE358">
            <v>93700</v>
          </cell>
          <cell r="DF358">
            <v>98800</v>
          </cell>
          <cell r="DG358">
            <v>103200</v>
          </cell>
        </row>
        <row r="359">
          <cell r="B359" t="str">
            <v>Pre-tax profit (reported)</v>
          </cell>
          <cell r="C359" t="str">
            <v>PTP_REP</v>
          </cell>
          <cell r="D359" t="str">
            <v>JPY</v>
          </cell>
          <cell r="F359">
            <v>20711</v>
          </cell>
          <cell r="G359">
            <v>22394</v>
          </cell>
          <cell r="H359">
            <v>21667</v>
          </cell>
          <cell r="I359">
            <v>16387</v>
          </cell>
          <cell r="J359">
            <v>19067</v>
          </cell>
          <cell r="K359">
            <v>27652</v>
          </cell>
          <cell r="L359">
            <v>24896</v>
          </cell>
          <cell r="M359">
            <v>20074</v>
          </cell>
          <cell r="N359">
            <v>25520</v>
          </cell>
          <cell r="O359">
            <v>24705</v>
          </cell>
          <cell r="P359">
            <v>27072</v>
          </cell>
          <cell r="Q359">
            <v>29811</v>
          </cell>
          <cell r="V359">
            <v>33578</v>
          </cell>
          <cell r="AA359">
            <v>27688</v>
          </cell>
          <cell r="AF359">
            <v>23372</v>
          </cell>
          <cell r="AK359">
            <v>31154</v>
          </cell>
          <cell r="AP359">
            <v>34683</v>
          </cell>
          <cell r="AU359">
            <v>31620</v>
          </cell>
          <cell r="AZ359">
            <v>29392</v>
          </cell>
          <cell r="BE359">
            <v>31725</v>
          </cell>
          <cell r="BJ359">
            <v>29014</v>
          </cell>
          <cell r="BO359">
            <v>36978</v>
          </cell>
          <cell r="BT359">
            <v>35517</v>
          </cell>
          <cell r="BY359">
            <v>37525</v>
          </cell>
          <cell r="CD359">
            <v>31166</v>
          </cell>
          <cell r="CI359">
            <v>42650</v>
          </cell>
          <cell r="CN359">
            <v>56233</v>
          </cell>
          <cell r="CS359">
            <v>49182</v>
          </cell>
          <cell r="CX359">
            <v>57950</v>
          </cell>
          <cell r="DC359">
            <v>81600</v>
          </cell>
          <cell r="DD359">
            <v>86600</v>
          </cell>
          <cell r="DE359">
            <v>89900</v>
          </cell>
          <cell r="DF359">
            <v>94400</v>
          </cell>
          <cell r="DG359">
            <v>98600</v>
          </cell>
        </row>
        <row r="360">
          <cell r="B360" t="str">
            <v>Revenue (Company Estimate) (Pub)</v>
          </cell>
          <cell r="C360" t="str">
            <v>REVS_COEST_PUB</v>
          </cell>
          <cell r="D360" t="str">
            <v>JPY</v>
          </cell>
          <cell r="BJ360">
            <v>440000</v>
          </cell>
          <cell r="BO360">
            <v>468000</v>
          </cell>
          <cell r="CD360">
            <v>735700</v>
          </cell>
          <cell r="CN360">
            <v>500000</v>
          </cell>
          <cell r="CS360">
            <v>540000</v>
          </cell>
          <cell r="CX360">
            <v>600000</v>
          </cell>
          <cell r="DC360">
            <v>720000</v>
          </cell>
        </row>
        <row r="361">
          <cell r="B361" t="str">
            <v>EBITDA (Co Est)</v>
          </cell>
          <cell r="C361" t="str">
            <v>EBITDA_COEST_PUB</v>
          </cell>
          <cell r="D361" t="str">
            <v>JPY</v>
          </cell>
        </row>
        <row r="362">
          <cell r="B362" t="str">
            <v>Operating profit (Co Est)</v>
          </cell>
          <cell r="C362" t="str">
            <v>EBIT_COEST_PUB</v>
          </cell>
          <cell r="D362" t="str">
            <v>JPY</v>
          </cell>
          <cell r="BJ362">
            <v>26000</v>
          </cell>
          <cell r="BO362">
            <v>26000</v>
          </cell>
          <cell r="CD362">
            <v>84300</v>
          </cell>
          <cell r="CN362">
            <v>53000</v>
          </cell>
          <cell r="CS362">
            <v>47000</v>
          </cell>
          <cell r="CX362">
            <v>57000</v>
          </cell>
          <cell r="DC362">
            <v>80000</v>
          </cell>
        </row>
        <row r="363">
          <cell r="B363" t="str">
            <v>Pre-tax profit (Co Est)</v>
          </cell>
          <cell r="C363" t="str">
            <v>PTP_COEST_PUB</v>
          </cell>
          <cell r="D363" t="str">
            <v>JPY</v>
          </cell>
        </row>
        <row r="364">
          <cell r="B364" t="str">
            <v>Recurring profit (Company Estimate)</v>
          </cell>
          <cell r="C364" t="str">
            <v>REC_PFT_COEST_PUB</v>
          </cell>
          <cell r="D364" t="str">
            <v>JPY</v>
          </cell>
          <cell r="BJ364">
            <v>31000</v>
          </cell>
          <cell r="BO364">
            <v>31500</v>
          </cell>
          <cell r="BY364">
            <v>98900</v>
          </cell>
        </row>
        <row r="365">
          <cell r="B365" t="str">
            <v>Net income (Company Estimate) (Pub)</v>
          </cell>
          <cell r="C365" t="str">
            <v>NI_COEST_PUB</v>
          </cell>
          <cell r="D365" t="str">
            <v>JPY</v>
          </cell>
          <cell r="BJ365">
            <v>20000</v>
          </cell>
          <cell r="BO365">
            <v>25000</v>
          </cell>
          <cell r="CD365">
            <v>59400</v>
          </cell>
          <cell r="CN365">
            <v>37500</v>
          </cell>
          <cell r="CS365">
            <v>32000</v>
          </cell>
          <cell r="CX365">
            <v>32500</v>
          </cell>
          <cell r="DC365">
            <v>54500</v>
          </cell>
        </row>
        <row r="366">
          <cell r="B366" t="str">
            <v>EPS (Co Est)</v>
          </cell>
          <cell r="C366" t="str">
            <v>EPS_COEST_PUB</v>
          </cell>
          <cell r="D366" t="str">
            <v>JPY</v>
          </cell>
          <cell r="BJ366">
            <v>181.45</v>
          </cell>
          <cell r="BO366">
            <v>226.79</v>
          </cell>
          <cell r="DC366">
            <v>66.666666660000004</v>
          </cell>
        </row>
        <row r="367">
          <cell r="B367" t="str">
            <v>Sales, revenue (consensus) (Pub)</v>
          </cell>
          <cell r="C367" t="str">
            <v>REVS_CONS_PUB</v>
          </cell>
          <cell r="D367" t="str">
            <v>JPY</v>
          </cell>
        </row>
        <row r="368">
          <cell r="B368" t="str">
            <v>Recurring profit (consensus) (Pub)</v>
          </cell>
          <cell r="C368" t="str">
            <v>REC_PFT_CONS_PUB</v>
          </cell>
          <cell r="D368" t="str">
            <v>JPY</v>
          </cell>
        </row>
        <row r="369">
          <cell r="B369" t="str">
            <v>EPS (consensus)</v>
          </cell>
          <cell r="C369" t="str">
            <v>EPS_CONS_PUB</v>
          </cell>
          <cell r="D369" t="str">
            <v>JPY</v>
          </cell>
        </row>
        <row r="370">
          <cell r="B370" t="str">
            <v>Dividend per share (Consensus)</v>
          </cell>
          <cell r="C370" t="str">
            <v>DPS_CONS_PUB</v>
          </cell>
          <cell r="D370" t="str">
            <v>JPY</v>
          </cell>
        </row>
        <row r="371">
          <cell r="B371" t="str">
            <v>OP Impact of Yen 10 appr vs USD</v>
          </cell>
          <cell r="C371" t="str">
            <v>OP_IMPACT_YEN_APPR_USD_PUB</v>
          </cell>
          <cell r="D371" t="str">
            <v>JPY</v>
          </cell>
        </row>
        <row r="372">
          <cell r="B372" t="str">
            <v>OP Impact of Yen 10 appr vs EUR</v>
          </cell>
          <cell r="C372" t="str">
            <v>OP_IMPACT_YEN_APPR_EUR_PUB</v>
          </cell>
          <cell r="D372" t="str">
            <v>JPY</v>
          </cell>
        </row>
        <row r="373">
          <cell r="B373" t="str">
            <v>NI Impact of Yen 10 appr vs USD</v>
          </cell>
          <cell r="C373" t="str">
            <v>NI_IMPACT_YEN_APPR_USD_PUB</v>
          </cell>
          <cell r="D373" t="str">
            <v>JPY</v>
          </cell>
        </row>
        <row r="374">
          <cell r="B374" t="str">
            <v>NI Impact of Yen 10 appr vs EUR</v>
          </cell>
          <cell r="C374" t="str">
            <v>NI_IMPACT_YEN_APPR_EUR_PUB</v>
          </cell>
          <cell r="D374" t="str">
            <v>JPY</v>
          </cell>
        </row>
        <row r="375">
          <cell r="A375" t="str">
            <v>Income Statement</v>
          </cell>
        </row>
        <row r="376">
          <cell r="B376" t="str">
            <v>Provision for income tax</v>
          </cell>
          <cell r="C376" t="str">
            <v>PROV_INC_TAX</v>
          </cell>
          <cell r="D376" t="str">
            <v>JPY</v>
          </cell>
          <cell r="F376">
            <v>-13710</v>
          </cell>
          <cell r="G376">
            <v>-14559</v>
          </cell>
          <cell r="H376">
            <v>-13333</v>
          </cell>
          <cell r="I376">
            <v>-6738</v>
          </cell>
          <cell r="J376">
            <v>-1926</v>
          </cell>
          <cell r="K376">
            <v>-12172</v>
          </cell>
          <cell r="L376">
            <v>-9577</v>
          </cell>
          <cell r="M376">
            <v>-8663</v>
          </cell>
          <cell r="N376">
            <v>-11294</v>
          </cell>
          <cell r="O376">
            <v>-10872</v>
          </cell>
          <cell r="P376">
            <v>-10245</v>
          </cell>
          <cell r="Q376">
            <v>-14468</v>
          </cell>
          <cell r="V376">
            <v>-14548</v>
          </cell>
          <cell r="AA376">
            <v>-14279</v>
          </cell>
          <cell r="AF376">
            <v>-7386</v>
          </cell>
          <cell r="AK376">
            <v>-10270</v>
          </cell>
          <cell r="AP376">
            <v>-13598</v>
          </cell>
          <cell r="AU376">
            <v>-12889</v>
          </cell>
          <cell r="AZ376">
            <v>-10194</v>
          </cell>
          <cell r="BE376">
            <v>-12437</v>
          </cell>
          <cell r="BJ376">
            <v>-10295</v>
          </cell>
          <cell r="BO376">
            <v>-10092</v>
          </cell>
          <cell r="BT376">
            <v>-11789</v>
          </cell>
          <cell r="BY376">
            <v>-8407</v>
          </cell>
          <cell r="CD376">
            <v>-11243</v>
          </cell>
          <cell r="CI376">
            <v>-11529</v>
          </cell>
          <cell r="CN376">
            <v>-12894</v>
          </cell>
          <cell r="CS376">
            <v>-10928</v>
          </cell>
          <cell r="CX376">
            <v>-9570</v>
          </cell>
          <cell r="DC376">
            <v>-18800</v>
          </cell>
          <cell r="DD376">
            <v>-19900</v>
          </cell>
          <cell r="DE376">
            <v>-20700</v>
          </cell>
          <cell r="DF376">
            <v>-21700</v>
          </cell>
          <cell r="DG376">
            <v>-22700</v>
          </cell>
        </row>
        <row r="377">
          <cell r="B377" t="str">
            <v>Minority interest</v>
          </cell>
          <cell r="C377" t="str">
            <v>INC_MINORITY</v>
          </cell>
          <cell r="D377" t="str">
            <v>JPY</v>
          </cell>
          <cell r="F377">
            <v>-84</v>
          </cell>
          <cell r="G377">
            <v>-219</v>
          </cell>
          <cell r="H377">
            <v>105</v>
          </cell>
          <cell r="I377">
            <v>34</v>
          </cell>
          <cell r="J377">
            <v>-271</v>
          </cell>
          <cell r="K377">
            <v>39</v>
          </cell>
          <cell r="L377">
            <v>-116</v>
          </cell>
          <cell r="M377">
            <v>525</v>
          </cell>
          <cell r="N377">
            <v>196</v>
          </cell>
          <cell r="O377">
            <v>217</v>
          </cell>
          <cell r="P377">
            <v>-216</v>
          </cell>
          <cell r="Q377">
            <v>45</v>
          </cell>
          <cell r="V377">
            <v>-62</v>
          </cell>
          <cell r="AA377">
            <v>181</v>
          </cell>
          <cell r="AF377">
            <v>-96</v>
          </cell>
          <cell r="AK377">
            <v>-388</v>
          </cell>
          <cell r="AP377">
            <v>-329</v>
          </cell>
          <cell r="AU377">
            <v>-193</v>
          </cell>
          <cell r="AZ377">
            <v>-343</v>
          </cell>
          <cell r="BE377">
            <v>-20</v>
          </cell>
          <cell r="BJ377">
            <v>-214</v>
          </cell>
          <cell r="BO377">
            <v>-2</v>
          </cell>
          <cell r="BT377">
            <v>-170</v>
          </cell>
          <cell r="BY377">
            <v>-14</v>
          </cell>
          <cell r="CD377">
            <v>-567</v>
          </cell>
          <cell r="CI377">
            <v>-1805</v>
          </cell>
          <cell r="CN377">
            <v>-2511</v>
          </cell>
          <cell r="CS377">
            <v>-2842</v>
          </cell>
          <cell r="CX377">
            <v>-3620</v>
          </cell>
          <cell r="DC377">
            <v>-3600</v>
          </cell>
          <cell r="DD377">
            <v>-3600</v>
          </cell>
          <cell r="DE377">
            <v>-3600</v>
          </cell>
          <cell r="DF377">
            <v>-3600</v>
          </cell>
          <cell r="DG377">
            <v>-3600</v>
          </cell>
        </row>
        <row r="378">
          <cell r="B378" t="str">
            <v>Net income (pre-preferred dividends)</v>
          </cell>
          <cell r="C378" t="str">
            <v>NI_PRE_PREF</v>
          </cell>
          <cell r="D378" t="str">
            <v>JPY</v>
          </cell>
          <cell r="F378">
            <v>6917</v>
          </cell>
          <cell r="G378">
            <v>7616</v>
          </cell>
          <cell r="H378">
            <v>8439</v>
          </cell>
          <cell r="I378">
            <v>9683</v>
          </cell>
          <cell r="J378">
            <v>16870</v>
          </cell>
          <cell r="K378">
            <v>15519</v>
          </cell>
          <cell r="L378">
            <v>15203</v>
          </cell>
          <cell r="M378">
            <v>11936</v>
          </cell>
          <cell r="N378">
            <v>14422</v>
          </cell>
          <cell r="O378">
            <v>14050</v>
          </cell>
          <cell r="P378">
            <v>16611</v>
          </cell>
          <cell r="Q378">
            <v>15388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18968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13590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15890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20496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20756</v>
          </cell>
          <cell r="AU378">
            <v>18538</v>
          </cell>
          <cell r="AZ378">
            <v>18855</v>
          </cell>
          <cell r="BE378">
            <v>19268</v>
          </cell>
          <cell r="BJ378">
            <v>18505</v>
          </cell>
          <cell r="BO378">
            <v>26884</v>
          </cell>
          <cell r="BT378">
            <v>23558</v>
          </cell>
          <cell r="BY378">
            <v>29104</v>
          </cell>
          <cell r="CD378">
            <v>19356</v>
          </cell>
          <cell r="CI378">
            <v>29316</v>
          </cell>
          <cell r="CN378">
            <v>40828</v>
          </cell>
          <cell r="CS378">
            <v>35412</v>
          </cell>
          <cell r="CX378">
            <v>44760</v>
          </cell>
          <cell r="DC378">
            <v>59200</v>
          </cell>
          <cell r="DD378">
            <v>63100</v>
          </cell>
          <cell r="DE378">
            <v>65600</v>
          </cell>
          <cell r="DF378">
            <v>69100</v>
          </cell>
          <cell r="DG378">
            <v>72300</v>
          </cell>
        </row>
        <row r="379">
          <cell r="B379" t="str">
            <v>Preferred dividends</v>
          </cell>
          <cell r="C379" t="str">
            <v>PREF_DIV</v>
          </cell>
          <cell r="D379" t="str">
            <v>JPY</v>
          </cell>
        </row>
        <row r="380">
          <cell r="B380" t="str">
            <v>Net income (pre-exceptionals)</v>
          </cell>
          <cell r="C380" t="str">
            <v>NET_EARNING</v>
          </cell>
          <cell r="D380" t="str">
            <v>JPY</v>
          </cell>
          <cell r="F380">
            <v>6917</v>
          </cell>
          <cell r="G380">
            <v>7616</v>
          </cell>
          <cell r="H380">
            <v>8439</v>
          </cell>
          <cell r="I380">
            <v>9683</v>
          </cell>
          <cell r="J380">
            <v>16870</v>
          </cell>
          <cell r="K380">
            <v>15519</v>
          </cell>
          <cell r="L380">
            <v>15203</v>
          </cell>
          <cell r="M380">
            <v>11936</v>
          </cell>
          <cell r="N380">
            <v>14422</v>
          </cell>
          <cell r="O380">
            <v>14050</v>
          </cell>
          <cell r="P380">
            <v>16611</v>
          </cell>
          <cell r="Q380">
            <v>15388</v>
          </cell>
          <cell r="V380">
            <v>18968</v>
          </cell>
          <cell r="AA380">
            <v>13590</v>
          </cell>
          <cell r="AF380">
            <v>15890</v>
          </cell>
          <cell r="AK380">
            <v>20496</v>
          </cell>
          <cell r="AP380">
            <v>20756</v>
          </cell>
          <cell r="AQ380">
            <v>9440</v>
          </cell>
          <cell r="AR380">
            <v>1179</v>
          </cell>
          <cell r="AS380">
            <v>5687</v>
          </cell>
          <cell r="AT380">
            <v>2232</v>
          </cell>
          <cell r="AU380">
            <v>18538</v>
          </cell>
          <cell r="AV380">
            <v>2803</v>
          </cell>
          <cell r="AW380">
            <v>3400</v>
          </cell>
          <cell r="AX380">
            <v>8075</v>
          </cell>
          <cell r="AY380">
            <v>4577</v>
          </cell>
          <cell r="AZ380">
            <v>18855</v>
          </cell>
          <cell r="BA380">
            <v>5255</v>
          </cell>
          <cell r="BB380">
            <v>3289</v>
          </cell>
          <cell r="BC380">
            <v>10080</v>
          </cell>
          <cell r="BD380">
            <v>644</v>
          </cell>
          <cell r="BE380">
            <v>19268</v>
          </cell>
          <cell r="BF380">
            <v>4037</v>
          </cell>
          <cell r="BG380">
            <v>4081</v>
          </cell>
          <cell r="BH380">
            <v>10907</v>
          </cell>
          <cell r="BI380">
            <v>-520</v>
          </cell>
          <cell r="BJ380">
            <v>18505</v>
          </cell>
          <cell r="BK380">
            <v>5439</v>
          </cell>
          <cell r="BL380">
            <v>5378</v>
          </cell>
          <cell r="BM380">
            <v>12204</v>
          </cell>
          <cell r="BN380">
            <v>3863</v>
          </cell>
          <cell r="BO380">
            <v>26884</v>
          </cell>
          <cell r="BP380">
            <v>2998</v>
          </cell>
          <cell r="BQ380">
            <v>9217</v>
          </cell>
          <cell r="BR380">
            <v>7678</v>
          </cell>
          <cell r="BS380">
            <v>3665</v>
          </cell>
          <cell r="BT380">
            <v>23558</v>
          </cell>
          <cell r="BU380">
            <v>5757</v>
          </cell>
          <cell r="BV380">
            <v>8355</v>
          </cell>
          <cell r="BW380">
            <v>13795.235000000001</v>
          </cell>
          <cell r="BX380">
            <v>1196.7650000000001</v>
          </cell>
          <cell r="BY380">
            <v>29104</v>
          </cell>
          <cell r="BZ380">
            <v>8271</v>
          </cell>
          <cell r="CA380">
            <v>6879</v>
          </cell>
          <cell r="CB380">
            <v>9558</v>
          </cell>
          <cell r="CC380">
            <v>-5352</v>
          </cell>
          <cell r="CD380">
            <v>19356</v>
          </cell>
          <cell r="CE380">
            <v>5800</v>
          </cell>
          <cell r="CF380">
            <v>7669</v>
          </cell>
          <cell r="CG380">
            <v>12179</v>
          </cell>
          <cell r="CH380">
            <v>3668</v>
          </cell>
          <cell r="CI380">
            <v>29316</v>
          </cell>
          <cell r="CJ380">
            <v>12095</v>
          </cell>
          <cell r="CK380">
            <v>9878</v>
          </cell>
          <cell r="CL380">
            <v>14308</v>
          </cell>
          <cell r="CM380">
            <v>4547</v>
          </cell>
          <cell r="CN380">
            <v>40828</v>
          </cell>
          <cell r="CS380">
            <v>35412</v>
          </cell>
          <cell r="CX380">
            <v>44760</v>
          </cell>
          <cell r="DC380">
            <v>59200</v>
          </cell>
          <cell r="DD380">
            <v>63100</v>
          </cell>
          <cell r="DE380">
            <v>65600</v>
          </cell>
          <cell r="DF380">
            <v>69100</v>
          </cell>
          <cell r="DG380">
            <v>72300</v>
          </cell>
        </row>
        <row r="381">
          <cell r="B381" t="str">
            <v>Post-tax exceptionals</v>
          </cell>
          <cell r="C381" t="str">
            <v>TAX_EXC</v>
          </cell>
          <cell r="D381" t="str">
            <v>JPY</v>
          </cell>
        </row>
        <row r="382">
          <cell r="B382" t="str">
            <v>Net income (post-exceptionals)</v>
          </cell>
          <cell r="C382" t="str">
            <v>NET_INC</v>
          </cell>
          <cell r="D382" t="str">
            <v>JPY</v>
          </cell>
          <cell r="F382">
            <v>6917</v>
          </cell>
          <cell r="G382">
            <v>7616</v>
          </cell>
          <cell r="H382">
            <v>8439</v>
          </cell>
          <cell r="I382">
            <v>9683</v>
          </cell>
          <cell r="J382">
            <v>16870</v>
          </cell>
          <cell r="K382">
            <v>15519</v>
          </cell>
          <cell r="L382">
            <v>15203</v>
          </cell>
          <cell r="M382">
            <v>11936</v>
          </cell>
          <cell r="N382">
            <v>14422</v>
          </cell>
          <cell r="O382">
            <v>14050</v>
          </cell>
          <cell r="P382">
            <v>16611</v>
          </cell>
          <cell r="Q382">
            <v>15388</v>
          </cell>
          <cell r="V382">
            <v>18968</v>
          </cell>
          <cell r="AA382">
            <v>13590</v>
          </cell>
          <cell r="AF382">
            <v>15890</v>
          </cell>
          <cell r="AK382">
            <v>20496</v>
          </cell>
          <cell r="AP382">
            <v>20756</v>
          </cell>
          <cell r="AU382">
            <v>18538</v>
          </cell>
          <cell r="AZ382">
            <v>18855</v>
          </cell>
          <cell r="BE382">
            <v>19268</v>
          </cell>
          <cell r="BJ382">
            <v>18505</v>
          </cell>
          <cell r="BO382">
            <v>26884</v>
          </cell>
          <cell r="BT382">
            <v>23558</v>
          </cell>
          <cell r="BY382">
            <v>29104</v>
          </cell>
          <cell r="CD382">
            <v>19356</v>
          </cell>
          <cell r="CI382">
            <v>29316</v>
          </cell>
          <cell r="CN382">
            <v>40828</v>
          </cell>
          <cell r="CS382">
            <v>35412</v>
          </cell>
          <cell r="CX382">
            <v>44760</v>
          </cell>
          <cell r="DC382">
            <v>59200</v>
          </cell>
          <cell r="DD382">
            <v>63100</v>
          </cell>
          <cell r="DE382">
            <v>65600</v>
          </cell>
          <cell r="DF382">
            <v>69100</v>
          </cell>
          <cell r="DG382">
            <v>72300</v>
          </cell>
        </row>
        <row r="383">
          <cell r="B383" t="str">
            <v>EPS (pre-exceptionals, basic)</v>
          </cell>
          <cell r="C383" t="str">
            <v>EPS</v>
          </cell>
          <cell r="D383" t="str">
            <v>JPY</v>
          </cell>
          <cell r="F383">
            <v>17.337794987675998</v>
          </cell>
          <cell r="G383">
            <v>19.064497877869002</v>
          </cell>
          <cell r="H383">
            <v>21.124645166930001</v>
          </cell>
          <cell r="I383">
            <v>24.723984023837001</v>
          </cell>
          <cell r="J383">
            <v>43.351115766528999</v>
          </cell>
          <cell r="K383">
            <v>40.584008029583003</v>
          </cell>
          <cell r="L383">
            <v>39.757942823877997</v>
          </cell>
          <cell r="M383">
            <v>31.650319125178001</v>
          </cell>
          <cell r="N383">
            <v>38.939018393726002</v>
          </cell>
          <cell r="O383">
            <v>37.934935506815997</v>
          </cell>
          <cell r="P383">
            <v>44.849987035432001</v>
          </cell>
          <cell r="Q383">
            <v>42.250757367646003</v>
          </cell>
          <cell r="V383">
            <v>51.712182788038</v>
          </cell>
          <cell r="AA383">
            <v>37.051935964857002</v>
          </cell>
          <cell r="AF383">
            <v>43.323838592137001</v>
          </cell>
          <cell r="AK383">
            <v>61.744193384882003</v>
          </cell>
          <cell r="AP383">
            <v>62.518774865883998</v>
          </cell>
          <cell r="AU383">
            <v>55.988838831700001</v>
          </cell>
          <cell r="AZ383">
            <v>57.038191051798997</v>
          </cell>
          <cell r="BE383">
            <v>58.273265863226001</v>
          </cell>
          <cell r="BJ383">
            <v>55.958971197261</v>
          </cell>
          <cell r="BO383">
            <v>81.838521556824006</v>
          </cell>
          <cell r="BT383">
            <v>73.776211945095994</v>
          </cell>
          <cell r="BY383">
            <v>93.172724726846994</v>
          </cell>
          <cell r="CD383">
            <v>61.94866039675</v>
          </cell>
          <cell r="CI383">
            <v>93.825528424835994</v>
          </cell>
          <cell r="CN383">
            <v>130.643294827983</v>
          </cell>
          <cell r="CS383">
            <v>114.494776848182</v>
          </cell>
          <cell r="CX383">
            <v>146.939384574012</v>
          </cell>
          <cell r="DC383">
            <v>195.109665683949</v>
          </cell>
          <cell r="DD383">
            <v>208.81632804565999</v>
          </cell>
          <cell r="DE383">
            <v>217.983821123533</v>
          </cell>
          <cell r="DF383">
            <v>230.56382335721199</v>
          </cell>
          <cell r="DG383">
            <v>242.24317046928499</v>
          </cell>
        </row>
        <row r="384">
          <cell r="B384" t="str">
            <v>EPS (pre-exceptionals, diluted)</v>
          </cell>
          <cell r="C384" t="str">
            <v>EPS_FUL_DIL</v>
          </cell>
          <cell r="D384" t="str">
            <v>JPY</v>
          </cell>
          <cell r="F384">
            <v>17.337794987675998</v>
          </cell>
          <cell r="G384">
            <v>19.064497877869002</v>
          </cell>
          <cell r="H384">
            <v>21.124645166930001</v>
          </cell>
          <cell r="I384">
            <v>24.723984023837001</v>
          </cell>
          <cell r="J384">
            <v>43.351115766528999</v>
          </cell>
          <cell r="K384">
            <v>40.584008029583003</v>
          </cell>
          <cell r="L384">
            <v>39.757942823877997</v>
          </cell>
          <cell r="M384">
            <v>31.214287018733</v>
          </cell>
          <cell r="N384">
            <v>36.566632455891003</v>
          </cell>
          <cell r="O384">
            <v>35.623177758384003</v>
          </cell>
          <cell r="P384">
            <v>42.115944605616001</v>
          </cell>
          <cell r="Q384">
            <v>38.414719198454002</v>
          </cell>
          <cell r="V384">
            <v>47.660367432746</v>
          </cell>
          <cell r="AA384">
            <v>34.145758152718003</v>
          </cell>
          <cell r="AF384">
            <v>39.923676278469003</v>
          </cell>
          <cell r="AK384">
            <v>54.973841594797001</v>
          </cell>
          <cell r="AP384">
            <v>58.900473503575</v>
          </cell>
          <cell r="AQ384">
            <v>26.788421173334999</v>
          </cell>
          <cell r="AR384">
            <v>3.3457148901870002</v>
          </cell>
          <cell r="AS384">
            <v>16.138321103046</v>
          </cell>
          <cell r="AT384">
            <v>6.3338724638650001</v>
          </cell>
          <cell r="AU384">
            <v>52.606329630433002</v>
          </cell>
          <cell r="AV384">
            <v>8.4793449757729995</v>
          </cell>
          <cell r="AW384">
            <v>10.285327476856001</v>
          </cell>
          <cell r="AX384">
            <v>24.427652757532002</v>
          </cell>
          <cell r="AY384">
            <v>13.845865841638</v>
          </cell>
          <cell r="AZ384">
            <v>57.038191051798997</v>
          </cell>
          <cell r="BA384">
            <v>15.892983813122999</v>
          </cell>
          <cell r="BB384">
            <v>9.9471025235700008</v>
          </cell>
          <cell r="BC384">
            <v>30.485495116323001</v>
          </cell>
          <cell r="BD384">
            <v>1.9476844102099999</v>
          </cell>
          <cell r="BE384">
            <v>58.273265863226001</v>
          </cell>
          <cell r="BF384">
            <v>12.207855537603001</v>
          </cell>
          <cell r="BG384">
            <v>12.340911183789</v>
          </cell>
          <cell r="BH384">
            <v>32.982680294436001</v>
          </cell>
          <cell r="BI384">
            <v>-1.572475818567</v>
          </cell>
          <cell r="BJ384">
            <v>55.958971197261</v>
          </cell>
          <cell r="BK384">
            <v>16.557049501266999</v>
          </cell>
          <cell r="BL384">
            <v>16.371357273196001</v>
          </cell>
          <cell r="BM384">
            <v>37.150621822626</v>
          </cell>
          <cell r="BN384">
            <v>11.75949296139</v>
          </cell>
          <cell r="BO384">
            <v>81.838521556824006</v>
          </cell>
          <cell r="BP384">
            <v>9.3887886667539995</v>
          </cell>
          <cell r="BQ384">
            <v>28.864731534848001</v>
          </cell>
          <cell r="BR384">
            <v>24.045069841006999</v>
          </cell>
          <cell r="BS384">
            <v>11.477621902487</v>
          </cell>
          <cell r="BT384">
            <v>73.776211945095994</v>
          </cell>
          <cell r="BU384">
            <v>18.430297424837001</v>
          </cell>
          <cell r="BV384">
            <v>26.747461348708001</v>
          </cell>
          <cell r="BW384">
            <v>44.163676236846001</v>
          </cell>
          <cell r="BX384">
            <v>3.8312897164559998</v>
          </cell>
          <cell r="BY384">
            <v>93.172724726846994</v>
          </cell>
          <cell r="BZ384">
            <v>26.476666664019</v>
          </cell>
          <cell r="CA384">
            <v>22.013333331131999</v>
          </cell>
          <cell r="CB384">
            <v>30.590271547434</v>
          </cell>
          <cell r="CC384">
            <v>-17.12901583196</v>
          </cell>
          <cell r="CD384">
            <v>61.94866039675</v>
          </cell>
          <cell r="CE384">
            <v>26.476666664019</v>
          </cell>
          <cell r="CF384">
            <v>22.013333331131999</v>
          </cell>
          <cell r="CG384">
            <v>38.978752581732998</v>
          </cell>
          <cell r="CH384">
            <v>11.739392763756999</v>
          </cell>
          <cell r="CI384">
            <v>93.825528424835994</v>
          </cell>
          <cell r="CJ384">
            <v>38.702132138346997</v>
          </cell>
          <cell r="CK384">
            <v>31.608074515304001</v>
          </cell>
          <cell r="CL384">
            <v>45.783390379121997</v>
          </cell>
          <cell r="CM384">
            <v>14.549697795209999</v>
          </cell>
          <cell r="CN384">
            <v>130.643294827983</v>
          </cell>
          <cell r="CS384">
            <v>114.494776848182</v>
          </cell>
          <cell r="CX384">
            <v>146.939384574012</v>
          </cell>
          <cell r="DC384">
            <v>195.109665683949</v>
          </cell>
          <cell r="DD384">
            <v>208.81632804565999</v>
          </cell>
          <cell r="DE384">
            <v>217.983821123533</v>
          </cell>
          <cell r="DF384">
            <v>230.56382335721199</v>
          </cell>
          <cell r="DG384">
            <v>242.24317046928499</v>
          </cell>
        </row>
        <row r="385">
          <cell r="B385" t="str">
            <v>EPS (post-exceptionals, basic)</v>
          </cell>
          <cell r="C385" t="str">
            <v>EPS_POST_BASIC</v>
          </cell>
          <cell r="D385" t="str">
            <v>JPY</v>
          </cell>
          <cell r="F385">
            <v>17.337794987675998</v>
          </cell>
          <cell r="G385">
            <v>19.064497877869002</v>
          </cell>
          <cell r="H385">
            <v>21.124645166930001</v>
          </cell>
          <cell r="I385">
            <v>24.723984023837001</v>
          </cell>
          <cell r="J385">
            <v>43.351115766528999</v>
          </cell>
          <cell r="K385">
            <v>40.584008029583003</v>
          </cell>
          <cell r="L385">
            <v>39.757942823877997</v>
          </cell>
          <cell r="M385">
            <v>31.650319125178001</v>
          </cell>
          <cell r="N385">
            <v>38.939018393726002</v>
          </cell>
          <cell r="O385">
            <v>37.934935506815997</v>
          </cell>
          <cell r="P385">
            <v>44.849987035432001</v>
          </cell>
          <cell r="Q385">
            <v>42.250757367646003</v>
          </cell>
          <cell r="V385">
            <v>51.712182788038</v>
          </cell>
          <cell r="AA385">
            <v>37.051935964857002</v>
          </cell>
          <cell r="AF385">
            <v>43.323838592137001</v>
          </cell>
          <cell r="AK385">
            <v>61.744193384882003</v>
          </cell>
          <cell r="AP385">
            <v>62.518774865883998</v>
          </cell>
          <cell r="AU385">
            <v>55.988838831700001</v>
          </cell>
          <cell r="AZ385">
            <v>57.038191051798997</v>
          </cell>
          <cell r="BE385">
            <v>58.273265863226001</v>
          </cell>
          <cell r="BJ385">
            <v>55.958971197261</v>
          </cell>
          <cell r="BO385">
            <v>81.838521556824006</v>
          </cell>
          <cell r="BT385">
            <v>73.776211945095994</v>
          </cell>
          <cell r="BY385">
            <v>93.172724726846994</v>
          </cell>
          <cell r="CD385">
            <v>61.94866039675</v>
          </cell>
          <cell r="CI385">
            <v>93.825528424835994</v>
          </cell>
          <cell r="CN385">
            <v>130.643294827983</v>
          </cell>
          <cell r="CS385">
            <v>114.494776848182</v>
          </cell>
          <cell r="CX385">
            <v>146.939384574012</v>
          </cell>
          <cell r="DC385">
            <v>195.109665683949</v>
          </cell>
          <cell r="DD385">
            <v>208.81632804565999</v>
          </cell>
          <cell r="DE385">
            <v>217.983821123533</v>
          </cell>
          <cell r="DF385">
            <v>230.56382335721199</v>
          </cell>
          <cell r="DG385">
            <v>242.24317046928499</v>
          </cell>
        </row>
        <row r="386">
          <cell r="B386" t="str">
            <v>EPS (post-exceptionals, diluted)</v>
          </cell>
          <cell r="C386" t="str">
            <v>FULLY_DIL_EPS</v>
          </cell>
          <cell r="D386" t="str">
            <v>JPY</v>
          </cell>
          <cell r="F386">
            <v>17.337794987675998</v>
          </cell>
          <cell r="G386">
            <v>19.064497877869002</v>
          </cell>
          <cell r="H386">
            <v>21.124645166930001</v>
          </cell>
          <cell r="I386">
            <v>24.723984023837001</v>
          </cell>
          <cell r="J386">
            <v>43.351115766528999</v>
          </cell>
          <cell r="K386">
            <v>40.584008029583003</v>
          </cell>
          <cell r="L386">
            <v>39.757942823877997</v>
          </cell>
          <cell r="M386">
            <v>31.214287018733</v>
          </cell>
          <cell r="N386">
            <v>36.566632455891003</v>
          </cell>
          <cell r="O386">
            <v>35.623177758384003</v>
          </cell>
          <cell r="P386">
            <v>42.115944605616001</v>
          </cell>
          <cell r="Q386">
            <v>38.414719198454002</v>
          </cell>
          <cell r="V386">
            <v>47.660367432746</v>
          </cell>
          <cell r="AA386">
            <v>34.145758152718003</v>
          </cell>
          <cell r="AF386">
            <v>39.923676278469003</v>
          </cell>
          <cell r="AK386">
            <v>54.973841594797001</v>
          </cell>
          <cell r="AP386">
            <v>58.900473503575</v>
          </cell>
          <cell r="AU386">
            <v>52.606329630433002</v>
          </cell>
          <cell r="AZ386">
            <v>57.038191051798997</v>
          </cell>
          <cell r="BE386">
            <v>58.273265863226001</v>
          </cell>
          <cell r="BJ386">
            <v>55.958971197261</v>
          </cell>
          <cell r="BO386">
            <v>81.838521556824006</v>
          </cell>
          <cell r="BT386">
            <v>73.776211945095994</v>
          </cell>
          <cell r="BY386">
            <v>93.172724726846994</v>
          </cell>
          <cell r="CD386">
            <v>61.94866039675</v>
          </cell>
          <cell r="CI386">
            <v>93.825528424835994</v>
          </cell>
          <cell r="CN386">
            <v>130.643294827983</v>
          </cell>
          <cell r="CS386">
            <v>114.494776848182</v>
          </cell>
          <cell r="CX386">
            <v>146.939384574012</v>
          </cell>
          <cell r="DC386">
            <v>195.109665683949</v>
          </cell>
          <cell r="DD386">
            <v>208.81632804565999</v>
          </cell>
          <cell r="DE386">
            <v>217.983821123533</v>
          </cell>
          <cell r="DF386">
            <v>230.56382335721199</v>
          </cell>
          <cell r="DG386">
            <v>242.24317046928499</v>
          </cell>
        </row>
        <row r="387">
          <cell r="B387" t="str">
            <v>Common dividends paid</v>
          </cell>
          <cell r="C387" t="str">
            <v>COMMON_DIV_PAID</v>
          </cell>
          <cell r="D387" t="str">
            <v>JPY</v>
          </cell>
          <cell r="F387">
            <v>-3187</v>
          </cell>
          <cell r="G387">
            <v>-3191</v>
          </cell>
          <cell r="H387">
            <v>-3195</v>
          </cell>
          <cell r="I387">
            <v>-3462</v>
          </cell>
          <cell r="J387">
            <v>-3133</v>
          </cell>
          <cell r="K387">
            <v>-3133</v>
          </cell>
          <cell r="L387">
            <v>-3466</v>
          </cell>
          <cell r="M387">
            <v>-3071</v>
          </cell>
          <cell r="N387">
            <v>-3783</v>
          </cell>
          <cell r="O387">
            <v>-3715</v>
          </cell>
          <cell r="P387">
            <v>-3715</v>
          </cell>
          <cell r="Q387">
            <v>-5565</v>
          </cell>
          <cell r="V387">
            <v>-6070</v>
          </cell>
          <cell r="AA387">
            <v>-4890</v>
          </cell>
          <cell r="AF387">
            <v>-6112</v>
          </cell>
          <cell r="AK387">
            <v>-5947</v>
          </cell>
          <cell r="AP387">
            <v>-7746</v>
          </cell>
          <cell r="AU387">
            <v>-8280</v>
          </cell>
          <cell r="AZ387">
            <v>-8263</v>
          </cell>
          <cell r="BE387">
            <v>-8266</v>
          </cell>
          <cell r="BJ387">
            <v>-8267</v>
          </cell>
          <cell r="BO387">
            <v>-8730</v>
          </cell>
          <cell r="BT387">
            <v>-9011</v>
          </cell>
          <cell r="BY387">
            <v>-9371</v>
          </cell>
          <cell r="CD387">
            <v>-11457</v>
          </cell>
          <cell r="CI387">
            <v>-11458</v>
          </cell>
          <cell r="CN387">
            <v>-12500</v>
          </cell>
          <cell r="CS387">
            <v>-13359</v>
          </cell>
          <cell r="CX387">
            <v>-14188</v>
          </cell>
          <cell r="DC387">
            <v>-21200</v>
          </cell>
          <cell r="DD387">
            <v>-22400</v>
          </cell>
          <cell r="DE387">
            <v>-24100</v>
          </cell>
          <cell r="DF387">
            <v>-25200</v>
          </cell>
          <cell r="DG387">
            <v>-26900</v>
          </cell>
        </row>
        <row r="388">
          <cell r="B388" t="str">
            <v>DPS, dividend per share</v>
          </cell>
          <cell r="C388" t="str">
            <v>DPS</v>
          </cell>
          <cell r="D388" t="str">
            <v>JPY</v>
          </cell>
          <cell r="F388">
            <v>7.9999999991999999</v>
          </cell>
          <cell r="G388">
            <v>7.9999999991999999</v>
          </cell>
          <cell r="H388">
            <v>8.6666666657999993</v>
          </cell>
          <cell r="I388">
            <v>7.9999999991999999</v>
          </cell>
          <cell r="J388">
            <v>7.9999999991999999</v>
          </cell>
          <cell r="K388">
            <v>8.9999999990999999</v>
          </cell>
          <cell r="L388">
            <v>7.9999999991999999</v>
          </cell>
          <cell r="M388">
            <v>9.9999999989999999</v>
          </cell>
          <cell r="N388">
            <v>9.9999999989999999</v>
          </cell>
          <cell r="O388">
            <v>9.9999999989999999</v>
          </cell>
          <cell r="P388">
            <v>9.9999999989999999</v>
          </cell>
          <cell r="Q388">
            <v>9.9999999989999999</v>
          </cell>
          <cell r="V388">
            <v>16.666666665000001</v>
          </cell>
          <cell r="AA388">
            <v>16.666666665000001</v>
          </cell>
          <cell r="AF388">
            <v>16.666666665000001</v>
          </cell>
          <cell r="AK388">
            <v>19.999999998</v>
          </cell>
          <cell r="AP388">
            <v>23.333333330999999</v>
          </cell>
          <cell r="AU388">
            <v>24.999999997500002</v>
          </cell>
          <cell r="AZ388">
            <v>24.999999997500002</v>
          </cell>
          <cell r="BE388">
            <v>24.999999997500002</v>
          </cell>
          <cell r="BJ388">
            <v>24.999999997500002</v>
          </cell>
          <cell r="BO388">
            <v>26.666666664000001</v>
          </cell>
          <cell r="BT388">
            <v>28.3333333305</v>
          </cell>
          <cell r="BY388">
            <v>29.999999997</v>
          </cell>
          <cell r="CD388">
            <v>36.666666663000001</v>
          </cell>
          <cell r="CI388">
            <v>36.666666663000001</v>
          </cell>
          <cell r="CN388">
            <v>39.999999996</v>
          </cell>
          <cell r="CS388">
            <v>43.333333328999998</v>
          </cell>
          <cell r="CX388">
            <v>46.666666661999997</v>
          </cell>
          <cell r="DC388">
            <v>69.999999993000003</v>
          </cell>
          <cell r="DD388">
            <v>74</v>
          </cell>
          <cell r="DE388">
            <v>79.999999991999999</v>
          </cell>
          <cell r="DF388">
            <v>84</v>
          </cell>
          <cell r="DG388">
            <v>89.999999990999996</v>
          </cell>
        </row>
        <row r="389">
          <cell r="B389" t="str">
            <v>Weighted average shares outstanding, basic</v>
          </cell>
          <cell r="C389" t="str">
            <v>SH</v>
          </cell>
          <cell r="F389">
            <v>398.95500003989599</v>
          </cell>
          <cell r="G389">
            <v>399.48600003994898</v>
          </cell>
          <cell r="H389">
            <v>399.48600003994898</v>
          </cell>
          <cell r="I389">
            <v>391.64400003916398</v>
          </cell>
          <cell r="J389">
            <v>389.14800003891497</v>
          </cell>
          <cell r="K389">
            <v>382.39200003823902</v>
          </cell>
          <cell r="L389">
            <v>382.38900003823898</v>
          </cell>
          <cell r="M389">
            <v>377.12100003771201</v>
          </cell>
          <cell r="N389">
            <v>370.37400003703698</v>
          </cell>
          <cell r="O389">
            <v>370.37100003703699</v>
          </cell>
          <cell r="P389">
            <v>370.36800003703701</v>
          </cell>
          <cell r="Q389">
            <v>364.20648903642098</v>
          </cell>
          <cell r="V389">
            <v>366.79944603668002</v>
          </cell>
          <cell r="AA389">
            <v>366.78245403667802</v>
          </cell>
          <cell r="AF389">
            <v>366.77267103667702</v>
          </cell>
          <cell r="AK389">
            <v>331.95024303319502</v>
          </cell>
          <cell r="AP389">
            <v>331.99626903320001</v>
          </cell>
          <cell r="AU389">
            <v>331.10170503311002</v>
          </cell>
          <cell r="AZ389">
            <v>330.56798703305702</v>
          </cell>
          <cell r="BE389">
            <v>330.64905003306501</v>
          </cell>
          <cell r="BJ389">
            <v>330.68871003306901</v>
          </cell>
          <cell r="BO389">
            <v>328.50055803284999</v>
          </cell>
          <cell r="BT389">
            <v>319.31701803193198</v>
          </cell>
          <cell r="BY389">
            <v>312.36609303123703</v>
          </cell>
          <cell r="CD389">
            <v>312.45227703124499</v>
          </cell>
          <cell r="CI389">
            <v>312.45227703124499</v>
          </cell>
          <cell r="CN389">
            <v>312.51508203125201</v>
          </cell>
          <cell r="CS389">
            <v>309.28921803092902</v>
          </cell>
          <cell r="CX389">
            <v>304.615404030462</v>
          </cell>
          <cell r="DC389">
            <v>303.41910431959798</v>
          </cell>
          <cell r="DD389">
            <v>302.17943489798603</v>
          </cell>
          <cell r="DE389">
            <v>300.93976547637402</v>
          </cell>
          <cell r="DF389">
            <v>299.70009605476298</v>
          </cell>
          <cell r="DG389">
            <v>298.460426633152</v>
          </cell>
        </row>
        <row r="390">
          <cell r="B390" t="str">
            <v>Diluted average shares outstanding (mn)</v>
          </cell>
          <cell r="C390" t="str">
            <v>DILUTE_SHARES</v>
          </cell>
          <cell r="F390">
            <v>398.95500003989599</v>
          </cell>
          <cell r="G390">
            <v>399.48600003994898</v>
          </cell>
          <cell r="H390">
            <v>399.48600003994898</v>
          </cell>
          <cell r="I390">
            <v>391.64400003916398</v>
          </cell>
          <cell r="J390">
            <v>389.14800003891497</v>
          </cell>
          <cell r="K390">
            <v>382.39200003823902</v>
          </cell>
          <cell r="L390">
            <v>382.38900003823898</v>
          </cell>
          <cell r="M390">
            <v>382.38900003823898</v>
          </cell>
          <cell r="N390">
            <v>394.40328603943999</v>
          </cell>
          <cell r="O390">
            <v>394.40613903944097</v>
          </cell>
          <cell r="P390">
            <v>394.411194039441</v>
          </cell>
          <cell r="Q390">
            <v>400.57562104005802</v>
          </cell>
          <cell r="V390">
            <v>397.98266403979801</v>
          </cell>
          <cell r="AA390">
            <v>397.99965603980002</v>
          </cell>
          <cell r="AF390">
            <v>398.00943903980101</v>
          </cell>
          <cell r="AK390">
            <v>372.83186703728302</v>
          </cell>
          <cell r="AP390">
            <v>352.39105503523899</v>
          </cell>
          <cell r="AQ390">
            <v>352.39105503523899</v>
          </cell>
          <cell r="AR390">
            <v>352.39105503523899</v>
          </cell>
          <cell r="AS390">
            <v>352.39105503523899</v>
          </cell>
          <cell r="AT390">
            <v>352.39105503523899</v>
          </cell>
          <cell r="AU390">
            <v>352.39105503523899</v>
          </cell>
          <cell r="AV390">
            <v>330.56798703305702</v>
          </cell>
          <cell r="AW390">
            <v>330.56798703305702</v>
          </cell>
          <cell r="AX390">
            <v>330.56798703305702</v>
          </cell>
          <cell r="AY390">
            <v>330.56798703305702</v>
          </cell>
          <cell r="AZ390">
            <v>330.56798703305702</v>
          </cell>
          <cell r="BA390">
            <v>330.64905003306501</v>
          </cell>
          <cell r="BB390">
            <v>330.64905003306501</v>
          </cell>
          <cell r="BC390">
            <v>330.64905003306501</v>
          </cell>
          <cell r="BD390">
            <v>330.64905003306501</v>
          </cell>
          <cell r="BE390">
            <v>330.64905003306501</v>
          </cell>
          <cell r="BF390">
            <v>330.68871003306901</v>
          </cell>
          <cell r="BG390">
            <v>330.68871003306901</v>
          </cell>
          <cell r="BH390">
            <v>330.68871003306901</v>
          </cell>
          <cell r="BI390">
            <v>330.68871003306901</v>
          </cell>
          <cell r="BJ390">
            <v>330.68871003306901</v>
          </cell>
          <cell r="BK390">
            <v>328.50055803284999</v>
          </cell>
          <cell r="BL390">
            <v>328.50055803284999</v>
          </cell>
          <cell r="BM390">
            <v>328.50055803284999</v>
          </cell>
          <cell r="BN390">
            <v>328.50055803284999</v>
          </cell>
          <cell r="BO390">
            <v>328.50055803284999</v>
          </cell>
          <cell r="BP390">
            <v>319.31701803193198</v>
          </cell>
          <cell r="BQ390">
            <v>319.31701803193198</v>
          </cell>
          <cell r="BR390">
            <v>319.31701803193198</v>
          </cell>
          <cell r="BS390">
            <v>319.31701803193198</v>
          </cell>
          <cell r="BT390">
            <v>319.31701803193198</v>
          </cell>
          <cell r="BU390">
            <v>312.36609303123703</v>
          </cell>
          <cell r="BV390">
            <v>312.36609303123703</v>
          </cell>
          <cell r="BW390">
            <v>312.36609303123703</v>
          </cell>
          <cell r="BX390">
            <v>312.36609303123703</v>
          </cell>
          <cell r="BY390">
            <v>312.36609303123703</v>
          </cell>
          <cell r="BZ390">
            <v>312.45227703124499</v>
          </cell>
          <cell r="CA390">
            <v>312.45227703124499</v>
          </cell>
          <cell r="CB390">
            <v>312.45227703124499</v>
          </cell>
          <cell r="CC390">
            <v>312.45227703124499</v>
          </cell>
          <cell r="CD390">
            <v>312.45227703124499</v>
          </cell>
          <cell r="CE390">
            <v>312.45227703124499</v>
          </cell>
          <cell r="CF390">
            <v>312.45227703124499</v>
          </cell>
          <cell r="CG390">
            <v>312.45227703124499</v>
          </cell>
          <cell r="CH390">
            <v>312.45227703124499</v>
          </cell>
          <cell r="CI390">
            <v>312.45227703124499</v>
          </cell>
          <cell r="CJ390">
            <v>312.51508203125201</v>
          </cell>
          <cell r="CK390">
            <v>312.51508203125201</v>
          </cell>
          <cell r="CL390">
            <v>312.51508203125201</v>
          </cell>
          <cell r="CM390">
            <v>312.51508203125201</v>
          </cell>
          <cell r="CN390">
            <v>312.51508203125201</v>
          </cell>
          <cell r="CS390">
            <v>309.28921803092902</v>
          </cell>
          <cell r="CX390">
            <v>304.615404030462</v>
          </cell>
          <cell r="DC390">
            <v>303.41910431959798</v>
          </cell>
          <cell r="DD390">
            <v>302.17943489798603</v>
          </cell>
          <cell r="DE390">
            <v>300.93976547637402</v>
          </cell>
          <cell r="DF390">
            <v>299.70009605476298</v>
          </cell>
          <cell r="DG390">
            <v>298.460426633152</v>
          </cell>
        </row>
        <row r="391">
          <cell r="B391" t="str">
            <v>Period-end shares outstanding</v>
          </cell>
          <cell r="C391" t="str">
            <v>NON_OP_ADD</v>
          </cell>
          <cell r="F391">
            <v>398.95500003989599</v>
          </cell>
          <cell r="G391">
            <v>399.48600003994898</v>
          </cell>
          <cell r="H391">
            <v>399.48600003994898</v>
          </cell>
          <cell r="I391">
            <v>391.64400003916398</v>
          </cell>
          <cell r="J391">
            <v>389.14800003891497</v>
          </cell>
          <cell r="K391">
            <v>382.39200003823902</v>
          </cell>
          <cell r="L391">
            <v>382.38900003823898</v>
          </cell>
          <cell r="M391">
            <v>382.38900003823898</v>
          </cell>
          <cell r="N391">
            <v>382.38900003823898</v>
          </cell>
          <cell r="O391">
            <v>382.38900003823898</v>
          </cell>
          <cell r="P391">
            <v>382.38900003823898</v>
          </cell>
          <cell r="Q391">
            <v>382.39105503823902</v>
          </cell>
          <cell r="V391">
            <v>382.39105503823902</v>
          </cell>
          <cell r="AA391">
            <v>382.39105503823902</v>
          </cell>
          <cell r="AF391">
            <v>382.39105503823902</v>
          </cell>
          <cell r="AK391">
            <v>352.39105503523899</v>
          </cell>
          <cell r="AP391">
            <v>332.00439303320002</v>
          </cell>
          <cell r="AU391">
            <v>330.51747603305199</v>
          </cell>
          <cell r="AZ391">
            <v>330.57525003305801</v>
          </cell>
          <cell r="BE391">
            <v>330.66501603306699</v>
          </cell>
          <cell r="BJ391">
            <v>330.69569403307003</v>
          </cell>
          <cell r="BO391">
            <v>324.076602032408</v>
          </cell>
          <cell r="BT391">
            <v>312.27135003122697</v>
          </cell>
          <cell r="BY391">
            <v>312.40316103124002</v>
          </cell>
          <cell r="CD391">
            <v>312.47020203124703</v>
          </cell>
          <cell r="CI391">
            <v>312.47020203124703</v>
          </cell>
          <cell r="CN391">
            <v>312.51529203125199</v>
          </cell>
          <cell r="CS391">
            <v>307.30768203073097</v>
          </cell>
          <cell r="CX391">
            <v>304.03893903040398</v>
          </cell>
          <cell r="DC391">
            <v>302.79926960879197</v>
          </cell>
          <cell r="DD391">
            <v>301.55960018718002</v>
          </cell>
          <cell r="DE391">
            <v>300.31993076556802</v>
          </cell>
          <cell r="DF391">
            <v>299.080261343958</v>
          </cell>
          <cell r="DG391">
            <v>297.84059192234599</v>
          </cell>
        </row>
        <row r="392">
          <cell r="A392" t="str">
            <v>Additional Income Statement Items</v>
          </cell>
        </row>
        <row r="393">
          <cell r="B393" t="str">
            <v>Marginal tax rate</v>
          </cell>
          <cell r="C393" t="str">
            <v>MARGIN_TAX_RATE</v>
          </cell>
          <cell r="F393">
            <v>0.66196707063899995</v>
          </cell>
          <cell r="G393">
            <v>0.65012949897299999</v>
          </cell>
          <cell r="H393">
            <v>0.61535976369599998</v>
          </cell>
          <cell r="I393">
            <v>0.41117959358</v>
          </cell>
          <cell r="J393">
            <v>0.101012220066</v>
          </cell>
          <cell r="K393">
            <v>0.44018515839700001</v>
          </cell>
          <cell r="L393">
            <v>0.38468026992299997</v>
          </cell>
          <cell r="M393">
            <v>0.43155325296399999</v>
          </cell>
          <cell r="N393">
            <v>0.44255485893399998</v>
          </cell>
          <cell r="O393">
            <v>0.44007285974499999</v>
          </cell>
          <cell r="P393">
            <v>0.378435283688</v>
          </cell>
          <cell r="Q393">
            <v>0.48532420918500002</v>
          </cell>
          <cell r="V393">
            <v>0.43325987253600001</v>
          </cell>
          <cell r="AA393">
            <v>0.51571077723199998</v>
          </cell>
          <cell r="AF393">
            <v>0.31601916823499998</v>
          </cell>
          <cell r="AK393">
            <v>0.32965269307299999</v>
          </cell>
          <cell r="AP393">
            <v>0.392065276937</v>
          </cell>
          <cell r="AU393">
            <v>0.40762175838100001</v>
          </cell>
          <cell r="AZ393">
            <v>0.34682906913400002</v>
          </cell>
          <cell r="BE393">
            <v>0.39202521670599999</v>
          </cell>
          <cell r="BJ393">
            <v>0.354828703385</v>
          </cell>
          <cell r="BO393">
            <v>0.27291903293899999</v>
          </cell>
          <cell r="BT393">
            <v>0.331925556776</v>
          </cell>
          <cell r="BY393">
            <v>0.22403730846100001</v>
          </cell>
          <cell r="CD393">
            <v>0.36074568439999999</v>
          </cell>
          <cell r="CI393">
            <v>0.27031652989400001</v>
          </cell>
          <cell r="CN393">
            <v>0.22929596500300001</v>
          </cell>
          <cell r="CS393">
            <v>0.22219511203299999</v>
          </cell>
          <cell r="CX393">
            <v>0.16514236410700001</v>
          </cell>
          <cell r="DC393">
            <v>0.23039215686299999</v>
          </cell>
          <cell r="DD393">
            <v>0.22979214780599999</v>
          </cell>
          <cell r="DE393">
            <v>0.23025583982200001</v>
          </cell>
          <cell r="DF393">
            <v>0.22987288135600001</v>
          </cell>
          <cell r="DG393">
            <v>0.23022312373199999</v>
          </cell>
        </row>
        <row r="394">
          <cell r="B394" t="str">
            <v>EPS (basic)</v>
          </cell>
          <cell r="C394" t="str">
            <v>EPS_BASIC_JPN</v>
          </cell>
          <cell r="D394" t="str">
            <v>JPY</v>
          </cell>
          <cell r="F394">
            <v>17.337794987675998</v>
          </cell>
          <cell r="G394">
            <v>19.064497877869002</v>
          </cell>
          <cell r="H394">
            <v>21.124645166930001</v>
          </cell>
          <cell r="I394">
            <v>24.723984023837001</v>
          </cell>
          <cell r="J394">
            <v>43.351115766528999</v>
          </cell>
          <cell r="K394">
            <v>40.584008029583003</v>
          </cell>
          <cell r="L394">
            <v>39.757942823877997</v>
          </cell>
          <cell r="M394">
            <v>31.650319125178001</v>
          </cell>
          <cell r="N394">
            <v>38.939018393726002</v>
          </cell>
          <cell r="O394">
            <v>37.934935506815997</v>
          </cell>
          <cell r="P394">
            <v>44.849987035432001</v>
          </cell>
          <cell r="Q394">
            <v>42.250757367646003</v>
          </cell>
          <cell r="V394">
            <v>51.712182788038</v>
          </cell>
          <cell r="AA394">
            <v>37.051935964857002</v>
          </cell>
          <cell r="AF394">
            <v>43.323838592137001</v>
          </cell>
          <cell r="AK394">
            <v>61.744193384882003</v>
          </cell>
          <cell r="AP394">
            <v>62.518774865883998</v>
          </cell>
          <cell r="AU394">
            <v>55.988838831700001</v>
          </cell>
          <cell r="AZ394">
            <v>57.038191051798997</v>
          </cell>
          <cell r="BE394">
            <v>58.273265863226001</v>
          </cell>
          <cell r="BJ394">
            <v>55.958971197261</v>
          </cell>
          <cell r="BO394">
            <v>81.838521556824006</v>
          </cell>
          <cell r="BT394">
            <v>73.776211945095994</v>
          </cell>
          <cell r="BY394">
            <v>93.172724726846994</v>
          </cell>
          <cell r="CD394">
            <v>61.94866039675</v>
          </cell>
          <cell r="CI394">
            <v>93.825528424835994</v>
          </cell>
          <cell r="CN394">
            <v>130.643294827983</v>
          </cell>
          <cell r="CS394">
            <v>114.494776848182</v>
          </cell>
          <cell r="CX394">
            <v>146.939384574012</v>
          </cell>
          <cell r="DC394">
            <v>195.109665683949</v>
          </cell>
          <cell r="DD394">
            <v>208.81632804565999</v>
          </cell>
          <cell r="DE394">
            <v>217.983821123533</v>
          </cell>
          <cell r="DF394">
            <v>230.56382335721199</v>
          </cell>
          <cell r="DG394">
            <v>242.24317046928499</v>
          </cell>
        </row>
        <row r="395">
          <cell r="B395" t="str">
            <v>EPS (diluted)</v>
          </cell>
          <cell r="C395" t="str">
            <v>EPS_FUL_DIL_JPN</v>
          </cell>
          <cell r="D395" t="str">
            <v>JPY</v>
          </cell>
          <cell r="F395">
            <v>17.337794987675998</v>
          </cell>
          <cell r="G395">
            <v>19.064497877869002</v>
          </cell>
          <cell r="H395">
            <v>21.124645166930001</v>
          </cell>
          <cell r="I395">
            <v>24.723984023837001</v>
          </cell>
          <cell r="J395">
            <v>43.351115766528999</v>
          </cell>
          <cell r="K395">
            <v>40.584008029583003</v>
          </cell>
          <cell r="L395">
            <v>39.757942823877997</v>
          </cell>
          <cell r="M395">
            <v>31.214287018733</v>
          </cell>
          <cell r="N395">
            <v>36.566632455891003</v>
          </cell>
          <cell r="O395">
            <v>35.623177758384003</v>
          </cell>
          <cell r="P395">
            <v>42.115944605616001</v>
          </cell>
          <cell r="Q395">
            <v>38.414719198454002</v>
          </cell>
          <cell r="V395">
            <v>47.660367432746</v>
          </cell>
          <cell r="AA395">
            <v>34.145758152718003</v>
          </cell>
          <cell r="AF395">
            <v>39.923676278469003</v>
          </cell>
          <cell r="AK395">
            <v>54.973841594797001</v>
          </cell>
          <cell r="AP395">
            <v>58.900473503575</v>
          </cell>
          <cell r="AU395">
            <v>52.606329630433002</v>
          </cell>
          <cell r="AZ395">
            <v>57.038191051798997</v>
          </cell>
          <cell r="BE395">
            <v>58.273265863226001</v>
          </cell>
          <cell r="BJ395">
            <v>55.958971197261</v>
          </cell>
          <cell r="BO395">
            <v>81.838521556824006</v>
          </cell>
          <cell r="BT395">
            <v>73.776211945095994</v>
          </cell>
          <cell r="BY395">
            <v>93.172724726846994</v>
          </cell>
          <cell r="CD395">
            <v>61.94866039675</v>
          </cell>
          <cell r="CI395">
            <v>93.825528424835994</v>
          </cell>
          <cell r="CN395">
            <v>130.643294827983</v>
          </cell>
          <cell r="CS395">
            <v>114.494776848182</v>
          </cell>
          <cell r="CX395">
            <v>146.939384574012</v>
          </cell>
          <cell r="DC395">
            <v>195.109665683949</v>
          </cell>
          <cell r="DD395">
            <v>208.81632804565999</v>
          </cell>
          <cell r="DE395">
            <v>217.983821123533</v>
          </cell>
          <cell r="DF395">
            <v>230.56382335721199</v>
          </cell>
          <cell r="DG395">
            <v>242.24317046928499</v>
          </cell>
        </row>
        <row r="396">
          <cell r="A396" t="str">
            <v>Balance Sheet</v>
          </cell>
        </row>
        <row r="397">
          <cell r="B397" t="str">
            <v>BVPS, book value per share</v>
          </cell>
          <cell r="C397" t="str">
            <v>BVPS</v>
          </cell>
          <cell r="D397" t="str">
            <v>JPY</v>
          </cell>
          <cell r="F397">
            <v>483.563309096784</v>
          </cell>
          <cell r="G397">
            <v>471.15543468651799</v>
          </cell>
          <cell r="H397">
            <v>479.32843699366703</v>
          </cell>
          <cell r="I397">
            <v>489.83515636857999</v>
          </cell>
          <cell r="J397">
            <v>523.76473727121299</v>
          </cell>
          <cell r="K397">
            <v>558.55248012155505</v>
          </cell>
          <cell r="L397">
            <v>592.33921471943302</v>
          </cell>
          <cell r="M397">
            <v>587.56397275427003</v>
          </cell>
          <cell r="N397">
            <v>593.24405252243105</v>
          </cell>
          <cell r="O397">
            <v>621.77259276868301</v>
          </cell>
          <cell r="P397">
            <v>657.45353553580298</v>
          </cell>
          <cell r="Q397">
            <v>671.20816927669296</v>
          </cell>
          <cell r="V397">
            <v>736.81639852120804</v>
          </cell>
          <cell r="AA397">
            <v>738.68621213368499</v>
          </cell>
          <cell r="AF397">
            <v>731.26449041031299</v>
          </cell>
          <cell r="AK397">
            <v>756.14007852724899</v>
          </cell>
          <cell r="AP397">
            <v>819.51626457181203</v>
          </cell>
          <cell r="AU397">
            <v>850.43006915583396</v>
          </cell>
          <cell r="AZ397">
            <v>930.136179188406</v>
          </cell>
          <cell r="BE397">
            <v>1009.84072654363</v>
          </cell>
          <cell r="BJ397">
            <v>1098.5961007513699</v>
          </cell>
          <cell r="BO397">
            <v>1116.71746052188</v>
          </cell>
          <cell r="BT397">
            <v>1097.3917395880201</v>
          </cell>
          <cell r="BY397">
            <v>1178.9445368741599</v>
          </cell>
          <cell r="CD397">
            <v>1045.7989205873801</v>
          </cell>
          <cell r="CI397">
            <v>1049.68409105198</v>
          </cell>
          <cell r="CN397">
            <v>1228.7910697233899</v>
          </cell>
          <cell r="CS397">
            <v>1326.5532358518601</v>
          </cell>
          <cell r="CX397">
            <v>1415.69695452726</v>
          </cell>
          <cell r="DC397">
            <v>1530.3867827853101</v>
          </cell>
          <cell r="DD397">
            <v>1655.0625473044599</v>
          </cell>
          <cell r="DE397">
            <v>1783.4314182486</v>
          </cell>
          <cell r="DF397">
            <v>1920.8890532456301</v>
          </cell>
          <cell r="DG397">
            <v>2064.5271891677198</v>
          </cell>
        </row>
      </sheetData>
      <sheetData sheetId="30">
        <row r="1">
          <cell r="A1" t="str">
            <v>c88692af-6ac0-42f0-b170-1042444d490d</v>
          </cell>
        </row>
        <row r="2">
          <cell r="A2" t="str">
            <v>M:\consumer\Miyazaki\1. Models WIP\[2897 Model.xlsx]2897.T_Validation_Sheet</v>
          </cell>
        </row>
        <row r="7">
          <cell r="A7" t="str">
            <v>Scalar|||208002503|||ISSR|||CURRENCY_ISO|||False|||</v>
          </cell>
          <cell r="C7" t="str">
            <v>V_KEYWORD_ISSR_208002503_CURRENCY_ISO</v>
          </cell>
        </row>
        <row r="9">
          <cell r="A9" t="str">
            <v>Scalar|||208002503|||ISSR|||ASS_YEN_PER_USD_FX|||False|||</v>
          </cell>
          <cell r="C9" t="str">
            <v>V_KEYWORD_ISSR_208002503_ASS_YEN_PER_USD_FX</v>
          </cell>
        </row>
        <row r="10">
          <cell r="A10" t="str">
            <v>Scalar|||208002503|||ISSR|||ASS_YEN_PER_EUR_FX|||False|||</v>
          </cell>
          <cell r="C10" t="str">
            <v>V_KEYWORD_ISSR_208002503_ASS_YEN_PER_EUR_FX</v>
          </cell>
        </row>
        <row r="11">
          <cell r="A11" t="str">
            <v>Scalar|||208002503|||ISSR|||MA_PROB|||False|||</v>
          </cell>
          <cell r="C11" t="str">
            <v>V_KEYWORD_ISSR_208002503_MA_PROB</v>
          </cell>
        </row>
        <row r="12">
          <cell r="A12" t="str">
            <v>Scalar|||208002503|||ISSR|||FX_USD_ASSUMPTION|||False|||</v>
          </cell>
          <cell r="C12" t="str">
            <v>V_KEYWORD_ISSR_208002503_FX_USD_ASSUMPTION</v>
          </cell>
        </row>
        <row r="13">
          <cell r="A13" t="str">
            <v>Scalar|||208002503|||ISSR|||FX_EUR_ASSUMPTION|||False|||</v>
          </cell>
          <cell r="C13" t="str">
            <v>V_KEYWORD_ISSR_208002503_FX_EUR_ASSUMPTION</v>
          </cell>
        </row>
        <row r="15">
          <cell r="A15" t="str">
            <v>Vector|||208002503|||ISSR|||COE_YEN_PER_US_AVG_FX_PUB|||False|||</v>
          </cell>
          <cell r="C15" t="str">
            <v>V_KEYWORD_ISSR_208002503_COE_YEN_PER_US_AVG_FX_PUB</v>
          </cell>
        </row>
        <row r="16">
          <cell r="A16" t="str">
            <v>Vector|||208002503|||ISSR|||COE_YEN_PER_EUR_AVG_FX_PUB|||False|||</v>
          </cell>
          <cell r="C16" t="str">
            <v>V_KEYWORD_ISSR_208002503_COE_YEN_PER_EUR_AVG_FX_PUB</v>
          </cell>
        </row>
        <row r="18">
          <cell r="A18" t="str">
            <v>Vector|||208002503|||ISSR|||SALES|||False|||</v>
          </cell>
          <cell r="C18" t="str">
            <v>V_KEYWORD_ISSR_208002503_SALES</v>
          </cell>
        </row>
        <row r="19">
          <cell r="A19" t="str">
            <v>Vector|||208002503|||ISSR|||COST_GD_SD|||False|||</v>
          </cell>
          <cell r="C19" t="str">
            <v>V_KEYWORD_ISSR_208002503_COST_GD_SD</v>
          </cell>
        </row>
        <row r="20">
          <cell r="A20" t="str">
            <v>Vector|||208002503|||ISSR|||SEL_GL_AD|||False|||</v>
          </cell>
          <cell r="C20" t="str">
            <v>V_KEYWORD_ISSR_208002503_SEL_GL_AD</v>
          </cell>
        </row>
        <row r="21">
          <cell r="A21" t="str">
            <v>Vector|||208002503|||ISSR|||OP_COST|||False|||</v>
          </cell>
          <cell r="C21" t="str">
            <v>V_KEYWORD_ISSR_208002503_OP_COST</v>
          </cell>
        </row>
        <row r="22">
          <cell r="A22" t="str">
            <v>Vector|||208002503|||ISSR|||RD_EXP|||False|||</v>
          </cell>
          <cell r="C22" t="str">
            <v>V_KEYWORD_ISSR_208002503_RD_EXP</v>
          </cell>
        </row>
        <row r="23">
          <cell r="A23" t="str">
            <v>Vector|||208002503|||ISSR|||OTH_OP_INC_EXP|||False|||</v>
          </cell>
          <cell r="C23" t="str">
            <v>V_KEYWORD_ISSR_208002503_OTH_OP_INC_EXP</v>
          </cell>
        </row>
        <row r="24">
          <cell r="A24" t="str">
            <v>Vector|||208002503|||ISSR|||TOT_OPS_EXP_DDA|||False|||</v>
          </cell>
          <cell r="C24" t="str">
            <v>V_KEYWORD_ISSR_208002503_TOT_OPS_EXP_DDA</v>
          </cell>
        </row>
        <row r="25">
          <cell r="A25" t="str">
            <v>Vector|||208002503|||ISSR|||TOT_OPS_EXP|||False|||</v>
          </cell>
          <cell r="C25" t="str">
            <v>V_KEYWORD_ISSR_208002503_TOT_OPS_EXP</v>
          </cell>
        </row>
        <row r="26">
          <cell r="A26" t="str">
            <v>Vector|||208002503|||ISSR|||EBITDA_CALC|||False|||</v>
          </cell>
          <cell r="C26" t="str">
            <v>V_KEYWORD_ISSR_208002503_EBITDA_CALC</v>
          </cell>
        </row>
        <row r="27">
          <cell r="A27" t="str">
            <v>Vector|||208002503|||ISSR|||DEPREC|||False|||</v>
          </cell>
          <cell r="C27" t="str">
            <v>V_KEYWORD_ISSR_208002503_DEPREC</v>
          </cell>
        </row>
        <row r="28">
          <cell r="A28" t="str">
            <v>Vector|||208002503|||ISSR|||GOODWILL_AMORT|||False|||</v>
          </cell>
          <cell r="C28" t="str">
            <v>V_KEYWORD_ISSR_208002503_GOODWILL_AMORT</v>
          </cell>
        </row>
        <row r="29">
          <cell r="A29" t="str">
            <v>Vector|||208002503|||ISSR|||EBIT|||False|||</v>
          </cell>
          <cell r="C29" t="str">
            <v>V_KEYWORD_ISSR_208002503_EBIT</v>
          </cell>
        </row>
        <row r="30">
          <cell r="A30" t="str">
            <v>Vector|||208002503|||ISSR|||INT_INC_IND|||False|||</v>
          </cell>
          <cell r="C30" t="str">
            <v>V_KEYWORD_ISSR_208002503_INT_INC_IND</v>
          </cell>
        </row>
        <row r="31">
          <cell r="A31" t="str">
            <v>Vector|||208002503|||ISSR|||INT_EXP_IND|||False|||</v>
          </cell>
          <cell r="C31" t="str">
            <v>V_KEYWORD_ISSR_208002503_INT_EXP_IND</v>
          </cell>
        </row>
        <row r="32">
          <cell r="A32" t="str">
            <v>Vector|||208002503|||ISSR|||NET_INT_EXP|||False|||</v>
          </cell>
          <cell r="C32" t="str">
            <v>V_KEYWORD_ISSR_208002503_NET_INT_EXP</v>
          </cell>
        </row>
        <row r="33">
          <cell r="A33" t="str">
            <v>Vector|||208002503|||ISSR|||ASSOCIATE|||False|||</v>
          </cell>
          <cell r="C33" t="str">
            <v>V_KEYWORD_ISSR_208002503_ASSOCIATE</v>
          </cell>
        </row>
        <row r="34">
          <cell r="A34" t="str">
            <v>Vector|||208002503|||ISSR|||PROFIT_ON_DISP|||False|||</v>
          </cell>
          <cell r="C34" t="str">
            <v>V_KEYWORD_ISSR_208002503_PROFIT_ON_DISP</v>
          </cell>
        </row>
        <row r="35">
          <cell r="A35" t="str">
            <v>Vector|||208002503|||ISSR|||OTH_COST_INC|||False|||</v>
          </cell>
          <cell r="C35" t="str">
            <v>V_KEYWORD_ISSR_208002503_OTH_COST_INC</v>
          </cell>
        </row>
        <row r="36">
          <cell r="A36" t="str">
            <v>Vector|||208002503|||ISSR|||PT_PROF|||False|||</v>
          </cell>
          <cell r="C36" t="str">
            <v>V_KEYWORD_ISSR_208002503_PT_PROF</v>
          </cell>
        </row>
        <row r="38">
          <cell r="A38" t="str">
            <v>Vector|||208002503|||ISSR|||CONTRIB_MARGIN_RATIO|||False|||</v>
          </cell>
          <cell r="C38" t="str">
            <v>V_KEYWORD_ISSR_208002503_CONTRIB_MARGIN_RATIO</v>
          </cell>
        </row>
        <row r="39">
          <cell r="A39" t="str">
            <v>Vector|||208002503|||ISSR|||ORG_REV_GRTH|||False|||</v>
          </cell>
          <cell r="C39" t="str">
            <v>V_KEYWORD_ISSR_208002503_ORG_REV_GRTH</v>
          </cell>
        </row>
        <row r="40">
          <cell r="A40" t="str">
            <v>Vector|||208002503|||ISSR|||LEASE_PAY|||False|||</v>
          </cell>
          <cell r="C40" t="str">
            <v>V_KEYWORD_ISSR_208002503_LEASE_PAY</v>
          </cell>
        </row>
        <row r="41">
          <cell r="A41" t="str">
            <v>Vector|||208002503|||ISSR|||LEASE_DEEM_INT|||False|||</v>
          </cell>
          <cell r="C41" t="str">
            <v>V_KEYWORD_ISSR_208002503_LEASE_DEEM_INT</v>
          </cell>
        </row>
        <row r="42">
          <cell r="A42" t="str">
            <v>Vector|||208002503|||ISSR|||LEASE_DEEM_DEPR|||False|||</v>
          </cell>
          <cell r="C42" t="str">
            <v>V_KEYWORD_ISSR_208002503_LEASE_DEEM_DEPR</v>
          </cell>
        </row>
        <row r="43">
          <cell r="A43" t="str">
            <v>Vector|||208002503|||ISSR|||NET_INT_CH|||False|||</v>
          </cell>
          <cell r="C43" t="str">
            <v>V_KEYWORD_ISSR_208002503_NET_INT_CH</v>
          </cell>
        </row>
        <row r="44">
          <cell r="A44" t="str">
            <v>Vector|||208002503|||ISSR|||ASSOCIATE_OP|||False|||</v>
          </cell>
          <cell r="C44" t="str">
            <v>V_KEYWORD_ISSR_208002503_ASSOCIATE_OP</v>
          </cell>
        </row>
        <row r="45">
          <cell r="A45" t="str">
            <v>Vector|||208002503|||ISSR|||SGA_JPN|||False|||</v>
          </cell>
          <cell r="C45" t="str">
            <v>V_KEYWORD_ISSR_208002503_SGA_JPN</v>
          </cell>
        </row>
        <row r="46">
          <cell r="A46" t="str">
            <v>Vector|||208002503|||ISSR|||GP_JPN|||False|||</v>
          </cell>
          <cell r="C46" t="str">
            <v>V_KEYWORD_ISSR_208002503_GP_JPN</v>
          </cell>
        </row>
        <row r="47">
          <cell r="A47" t="str">
            <v>Vector|||208002503|||ISSR|||EBITDA_ADJ|||False|||</v>
          </cell>
          <cell r="C47" t="str">
            <v>V_KEYWORD_ISSR_208002503_EBITDA_ADJ</v>
          </cell>
        </row>
        <row r="48">
          <cell r="A48" t="str">
            <v>Vector|||208002503|||ISSR|||EBITDA_JPN|||False|||</v>
          </cell>
          <cell r="C48" t="str">
            <v>V_KEYWORD_ISSR_208002503_EBITDA_JPN</v>
          </cell>
        </row>
        <row r="49">
          <cell r="A49" t="str">
            <v>Vector|||208002503|||ISSR|||ASSOCIATE_JPN|||False|||</v>
          </cell>
          <cell r="C49" t="str">
            <v>V_KEYWORD_ISSR_208002503_ASSOCIATE_JPN</v>
          </cell>
        </row>
        <row r="50">
          <cell r="A50" t="str">
            <v>Vector|||208002503|||ISSR|||ASSOCIATE_SEC_JPN|||False|||</v>
          </cell>
          <cell r="C50" t="str">
            <v>V_KEYWORD_ISSR_208002503_ASSOCIATE_SEC_JPN</v>
          </cell>
        </row>
        <row r="51">
          <cell r="A51" t="str">
            <v>Vector|||208002503|||ISSR|||OTH_NOP_INC_EXP_JPN|||False|||</v>
          </cell>
          <cell r="C51" t="str">
            <v>V_KEYWORD_ISSR_208002503_OTH_NOP_INC_EXP_JPN</v>
          </cell>
        </row>
        <row r="52">
          <cell r="A52" t="str">
            <v>Vector|||208002503|||ISSR|||EXTRA_INC_JPN|||False|||</v>
          </cell>
          <cell r="C52" t="str">
            <v>V_KEYWORD_ISSR_208002503_EXTRA_INC_JPN</v>
          </cell>
        </row>
        <row r="53">
          <cell r="A53" t="str">
            <v>Vector|||208002503|||ISSR|||EXTRA_EXP_JPN|||False|||</v>
          </cell>
          <cell r="C53" t="str">
            <v>V_KEYWORD_ISSR_208002503_EXTRA_EXP_JPN</v>
          </cell>
        </row>
        <row r="54">
          <cell r="A54" t="str">
            <v>Vector|||208002503|||ISSR|||PTP_JPN|||False|||</v>
          </cell>
          <cell r="C54" t="str">
            <v>V_KEYWORD_ISSR_208002503_PTP_JPN</v>
          </cell>
        </row>
        <row r="55">
          <cell r="A55" t="str">
            <v>Vector|||208002503|||ISSR|||FX_USD_NI_SENSITIVITY|||False|||</v>
          </cell>
          <cell r="C55" t="str">
            <v>V_KEYWORD_ISSR_208002503_FX_USD_NI_SENSITIVITY</v>
          </cell>
        </row>
        <row r="56">
          <cell r="A56" t="str">
            <v>Vector|||208002503|||ISSR|||FX_EUR_NI_SENSITIVITY|||False|||</v>
          </cell>
          <cell r="C56" t="str">
            <v>V_KEYWORD_ISSR_208002503_FX_EUR_NI_SENSITIVITY</v>
          </cell>
        </row>
        <row r="57">
          <cell r="A57" t="str">
            <v>Vector|||208002503|||ISSR|||DEPR_ROU_ASSETS|||False|||</v>
          </cell>
          <cell r="C57" t="str">
            <v>V_KEYWORD_ISSR_208002503_DEPR_ROU_ASSETS</v>
          </cell>
        </row>
        <row r="58">
          <cell r="A58" t="str">
            <v>Vector|||208002503|||ISSR|||LEASE_INT_CHG|||False|||</v>
          </cell>
          <cell r="C58" t="str">
            <v>V_KEYWORD_ISSR_208002503_LEASE_INT_CHG</v>
          </cell>
        </row>
        <row r="59">
          <cell r="A59" t="str">
            <v>Scalar|||208002503|||ISSR|||LEASE_ADOPT|||False|||</v>
          </cell>
          <cell r="C59" t="str">
            <v>V_KEYWORD_ISSR_208002503_LEASE_ADOPT</v>
          </cell>
        </row>
        <row r="61">
          <cell r="A61" t="str">
            <v>Vector|||208002503|||ISSR|||CASH_EQ|||False|||</v>
          </cell>
          <cell r="C61" t="str">
            <v>V_KEYWORD_ISSR_208002503_CASH_EQ</v>
          </cell>
        </row>
        <row r="62">
          <cell r="A62" t="str">
            <v>Vector|||208002503|||ISSR|||DEBTORS|||False|||</v>
          </cell>
          <cell r="C62" t="str">
            <v>V_KEYWORD_ISSR_208002503_DEBTORS</v>
          </cell>
        </row>
        <row r="63">
          <cell r="A63" t="str">
            <v>Vector|||208002503|||ISSR|||STOCKS|||False|||</v>
          </cell>
          <cell r="C63" t="str">
            <v>V_KEYWORD_ISSR_208002503_STOCKS</v>
          </cell>
        </row>
        <row r="64">
          <cell r="A64" t="str">
            <v>Vector|||208002503|||ISSR|||OTH_CUR_ASS|||False|||</v>
          </cell>
          <cell r="C64" t="str">
            <v>V_KEYWORD_ISSR_208002503_OTH_CUR_ASS</v>
          </cell>
        </row>
        <row r="65">
          <cell r="A65" t="str">
            <v>Vector|||208002503|||ISSR|||CUR_ASS|||False|||</v>
          </cell>
          <cell r="C65" t="str">
            <v>V_KEYWORD_ISSR_208002503_CUR_ASS</v>
          </cell>
        </row>
        <row r="66">
          <cell r="A66" t="str">
            <v>Vector|||208002503|||ISSR|||GR_FIX_ASS|||False|||</v>
          </cell>
          <cell r="C66" t="str">
            <v>V_KEYWORD_ISSR_208002503_GR_FIX_ASS</v>
          </cell>
        </row>
        <row r="67">
          <cell r="A67" t="str">
            <v>Vector|||208002503|||ISSR|||ACC_DDA|||False|||</v>
          </cell>
          <cell r="C67" t="str">
            <v>V_KEYWORD_ISSR_208002503_ACC_DDA</v>
          </cell>
        </row>
        <row r="68">
          <cell r="A68" t="str">
            <v>Vector|||208002503|||ISSR|||NET_FIX_ASS|||False|||</v>
          </cell>
          <cell r="C68" t="str">
            <v>V_KEYWORD_ISSR_208002503_NET_FIX_ASS</v>
          </cell>
        </row>
        <row r="69">
          <cell r="A69" t="str">
            <v>Vector|||208002503|||ISSR|||GR_INTANG|||False|||</v>
          </cell>
          <cell r="C69" t="str">
            <v>V_KEYWORD_ISSR_208002503_GR_INTANG</v>
          </cell>
        </row>
        <row r="70">
          <cell r="A70" t="str">
            <v>Vector|||208002503|||ISSR|||ACC_AMORT|||False|||</v>
          </cell>
          <cell r="C70" t="str">
            <v>V_KEYWORD_ISSR_208002503_ACC_AMORT</v>
          </cell>
        </row>
        <row r="71">
          <cell r="A71" t="str">
            <v>Vector|||208002503|||ISSR|||NET_INTANG|||False|||</v>
          </cell>
          <cell r="C71" t="str">
            <v>V_KEYWORD_ISSR_208002503_NET_INTANG</v>
          </cell>
        </row>
        <row r="72">
          <cell r="A72" t="str">
            <v>Vector|||208002503|||ISSR|||FIX_ASS_INV|||False|||</v>
          </cell>
          <cell r="C72" t="str">
            <v>V_KEYWORD_ISSR_208002503_FIX_ASS_INV</v>
          </cell>
        </row>
        <row r="73">
          <cell r="A73" t="str">
            <v>Vector|||208002503|||ISSR|||INV_SECUR|||False|||</v>
          </cell>
          <cell r="C73" t="str">
            <v>V_KEYWORD_ISSR_208002503_INV_SECUR</v>
          </cell>
        </row>
        <row r="74">
          <cell r="A74" t="str">
            <v>Vector|||208002503|||ISSR|||OTH_LT_ASS|||False|||</v>
          </cell>
          <cell r="C74" t="str">
            <v>V_KEYWORD_ISSR_208002503_OTH_LT_ASS</v>
          </cell>
        </row>
        <row r="75">
          <cell r="A75" t="str">
            <v>Vector|||208002503|||ISSR|||TOT_ASSET|||False|||</v>
          </cell>
          <cell r="C75" t="str">
            <v>V_KEYWORD_ISSR_208002503_TOT_ASSET</v>
          </cell>
        </row>
        <row r="76">
          <cell r="A76" t="str">
            <v>Vector|||208002503|||ISSR|||ACC_PAY_GQ|||False|||</v>
          </cell>
          <cell r="C76" t="str">
            <v>V_KEYWORD_ISSR_208002503_ACC_PAY_GQ</v>
          </cell>
        </row>
        <row r="77">
          <cell r="A77" t="str">
            <v>Vector|||208002503|||ISSR|||SHORT_T_DEBT|||False|||</v>
          </cell>
          <cell r="C77" t="str">
            <v>V_KEYWORD_ISSR_208002503_SHORT_T_DEBT</v>
          </cell>
        </row>
        <row r="78">
          <cell r="A78" t="str">
            <v>Vector|||208002503|||ISSR|||ST_LEASE_LIAB|||False|||</v>
          </cell>
          <cell r="C78" t="str">
            <v>V_KEYWORD_ISSR_208002503_ST_LEASE_LIAB</v>
          </cell>
        </row>
        <row r="79">
          <cell r="A79" t="str">
            <v>Vector|||208002503|||ISSR|||OTH_CUR_LIABS|||False|||</v>
          </cell>
          <cell r="C79" t="str">
            <v>V_KEYWORD_ISSR_208002503_OTH_CUR_LIABS</v>
          </cell>
        </row>
        <row r="80">
          <cell r="A80" t="str">
            <v>Vector|||208002503|||ISSR|||SHORT_TERM_LIABS|||False|||</v>
          </cell>
          <cell r="C80" t="str">
            <v>V_KEYWORD_ISSR_208002503_SHORT_TERM_LIABS</v>
          </cell>
        </row>
        <row r="81">
          <cell r="A81" t="str">
            <v>Vector|||208002503|||ISSR|||LT_DEBT|||False|||</v>
          </cell>
          <cell r="C81" t="str">
            <v>V_KEYWORD_ISSR_208002503_LT_DEBT</v>
          </cell>
        </row>
        <row r="82">
          <cell r="A82" t="str">
            <v>Vector|||208002503|||ISSR|||LT_LEASE_LIAB|||False|||</v>
          </cell>
          <cell r="C82" t="str">
            <v>V_KEYWORD_ISSR_208002503_LT_LEASE_LIAB</v>
          </cell>
        </row>
        <row r="83">
          <cell r="A83" t="str">
            <v>Vector|||208002503|||ISSR|||OTH_LT_CRED_GQ|||False|||</v>
          </cell>
          <cell r="C83" t="str">
            <v>V_KEYWORD_ISSR_208002503_OTH_LT_CRED_GQ</v>
          </cell>
        </row>
        <row r="84">
          <cell r="A84" t="str">
            <v>Vector|||208002503|||ISSR|||TOT_LT_LIAB|||False|||</v>
          </cell>
          <cell r="C84" t="str">
            <v>V_KEYWORD_ISSR_208002503_TOT_LT_LIAB</v>
          </cell>
        </row>
        <row r="85">
          <cell r="A85" t="str">
            <v>Vector|||208002503|||ISSR|||TOT_LIAB|||False|||</v>
          </cell>
          <cell r="C85" t="str">
            <v>V_KEYWORD_ISSR_208002503_TOT_LIAB</v>
          </cell>
        </row>
        <row r="86">
          <cell r="A86" t="str">
            <v>Vector|||208002503|||ISSR|||PREF_SH|||False|||</v>
          </cell>
          <cell r="C86" t="str">
            <v>V_KEYWORD_ISSR_208002503_PREF_SH</v>
          </cell>
        </row>
        <row r="87">
          <cell r="A87" t="str">
            <v>Vector|||208002503|||ISSR|||ORD_SH_FUND|||False|||</v>
          </cell>
          <cell r="C87" t="str">
            <v>V_KEYWORD_ISSR_208002503_ORD_SH_FUND</v>
          </cell>
        </row>
        <row r="88">
          <cell r="A88" t="str">
            <v>Vector|||208002503|||ISSR|||MINORITIES|||False|||</v>
          </cell>
          <cell r="C88" t="str">
            <v>V_KEYWORD_ISSR_208002503_MINORITIES</v>
          </cell>
        </row>
        <row r="89">
          <cell r="A89" t="str">
            <v>Vector|||208002503|||ISSR|||EQ|||False|||</v>
          </cell>
          <cell r="C89" t="str">
            <v>V_KEYWORD_ISSR_208002503_EQ</v>
          </cell>
        </row>
        <row r="90">
          <cell r="A90" t="str">
            <v>Vector|||208002503|||ISSR|||TOT_LIAB_EQ|||False|||</v>
          </cell>
          <cell r="C90" t="str">
            <v>V_KEYWORD_ISSR_208002503_TOT_LIAB_EQ</v>
          </cell>
        </row>
        <row r="92">
          <cell r="A92" t="str">
            <v>Vector|||208002503|||ISSR|||TOT_USD_DEBT|||False|||</v>
          </cell>
          <cell r="C92" t="str">
            <v>V_KEYWORD_ISSR_208002503_TOT_USD_DEBT</v>
          </cell>
        </row>
        <row r="93">
          <cell r="A93" t="str">
            <v>Vector|||208002503|||ISSR|||TOT_PCT_USD_DEBT_HEDGED|||False|||</v>
          </cell>
          <cell r="C93" t="str">
            <v>V_KEYWORD_ISSR_208002503_TOT_PCT_USD_DEBT_HEDGED</v>
          </cell>
        </row>
        <row r="94">
          <cell r="A94" t="str">
            <v>Vector|||208002503|||ISSR|||FLOATING_PCT_LOCAL_DEBT|||False|||</v>
          </cell>
          <cell r="C94" t="str">
            <v>V_KEYWORD_ISSR_208002503_FLOATING_PCT_LOCAL_DEBT</v>
          </cell>
        </row>
        <row r="95">
          <cell r="A95" t="str">
            <v>Vector|||208002503|||ISSR|||FLOATING_PCT_LOCAL_DEBT_HEDGED|||False|||</v>
          </cell>
          <cell r="C95" t="str">
            <v>V_KEYWORD_ISSR_208002503_FLOATING_PCT_LOCAL_DEBT_HEDGED</v>
          </cell>
        </row>
        <row r="96">
          <cell r="A96" t="str">
            <v>Vector|||208002503|||ISSR|||NET_DEBT|||False|||</v>
          </cell>
          <cell r="C96" t="str">
            <v>V_KEYWORD_ISSR_208002503_NET_DEBT</v>
          </cell>
        </row>
        <row r="97">
          <cell r="A97" t="str">
            <v>Vector|||208002503|||ISSR|||CAP_LEASES|||False|||</v>
          </cell>
          <cell r="C97" t="str">
            <v>V_KEYWORD_ISSR_208002503_CAP_LEASES</v>
          </cell>
        </row>
        <row r="98">
          <cell r="A98" t="str">
            <v>Vector|||208002503|||ISSR|||DEF_INC_TAX|||False|||</v>
          </cell>
          <cell r="C98" t="str">
            <v>V_KEYWORD_ISSR_208002503_DEF_INC_TAX</v>
          </cell>
        </row>
        <row r="99">
          <cell r="A99" t="str">
            <v>Vector|||208002503|||ISSR|||MV_ASSOCIATES|||False|||</v>
          </cell>
          <cell r="C99" t="str">
            <v>V_KEYWORD_ISSR_208002503_MV_ASSOCIATES</v>
          </cell>
        </row>
        <row r="100">
          <cell r="A100" t="str">
            <v>Vector|||208002503|||ISSR|||NET_DEBT_ADJ|||False|||</v>
          </cell>
          <cell r="C100" t="str">
            <v>V_KEYWORD_ISSR_208002503_NET_DEBT_ADJ</v>
          </cell>
        </row>
        <row r="101">
          <cell r="A101" t="str">
            <v>Vector|||208002503|||ISSR|||CO_BOR_MARGIN|||False|||</v>
          </cell>
          <cell r="C101" t="str">
            <v>V_KEYWORD_ISSR_208002503_CO_BOR_MARGIN</v>
          </cell>
        </row>
        <row r="102">
          <cell r="A102" t="str">
            <v>Vector|||208002503|||ISSR|||UNF_PENS|||False|||</v>
          </cell>
          <cell r="C102" t="str">
            <v>V_KEYWORD_ISSR_208002503_UNF_PENS</v>
          </cell>
        </row>
        <row r="103">
          <cell r="A103" t="str">
            <v>Vector|||208002503|||ISSR|||UNF_PENS_OFF|||False|||</v>
          </cell>
          <cell r="C103" t="str">
            <v>V_KEYWORD_ISSR_208002503_UNF_PENS_OFF</v>
          </cell>
        </row>
        <row r="104">
          <cell r="A104" t="str">
            <v>Vector|||208002503|||ISSR|||UNF_PENS_LIAB_OTH|||False|||</v>
          </cell>
          <cell r="C104" t="str">
            <v>V_KEYWORD_ISSR_208002503_UNF_PENS_LIAB_OTH</v>
          </cell>
        </row>
        <row r="105">
          <cell r="A105" t="str">
            <v>Vector|||208002503|||ISSR|||ADJ_UNF_PENS_GOOD|||False|||</v>
          </cell>
          <cell r="C105" t="str">
            <v>V_KEYWORD_ISSR_208002503_ADJ_UNF_PENS_GOOD</v>
          </cell>
        </row>
        <row r="106">
          <cell r="A106" t="str">
            <v>Vector|||208002503|||ISSR|||OTH_GCI_ADJ|||False|||</v>
          </cell>
          <cell r="C106" t="str">
            <v>V_KEYWORD_ISSR_208002503_OTH_GCI_ADJ</v>
          </cell>
        </row>
        <row r="107">
          <cell r="A107" t="str">
            <v>Vector|||208002503|||ISSR|||GCI_INFL|||False|||</v>
          </cell>
          <cell r="C107" t="str">
            <v>V_KEYWORD_ISSR_208002503_GCI_INFL</v>
          </cell>
        </row>
        <row r="108">
          <cell r="A108" t="str">
            <v>Vector|||208002503|||ISSR|||BAL_MINO_INT|||False|||</v>
          </cell>
          <cell r="C108" t="str">
            <v>V_KEYWORD_ISSR_208002503_BAL_MINO_INT</v>
          </cell>
        </row>
        <row r="109">
          <cell r="A109" t="str">
            <v>Vector|||208002503|||ISSR|||CASH_EQ_JPN|||False|||</v>
          </cell>
          <cell r="C109" t="str">
            <v>V_KEYWORD_ISSR_208002503_CASH_EQ_JPN</v>
          </cell>
        </row>
        <row r="110">
          <cell r="A110" t="str">
            <v>Vector|||208002503|||ISSR|||OTH_CUR_ASS_JPN|||False|||</v>
          </cell>
          <cell r="C110" t="str">
            <v>V_KEYWORD_ISSR_208002503_OTH_CUR_ASS_JPN</v>
          </cell>
        </row>
        <row r="111">
          <cell r="A111" t="str">
            <v>Vector|||208002503|||ISSR|||ROU_ASSET|||False|||</v>
          </cell>
          <cell r="C111" t="str">
            <v>V_KEYWORD_ISSR_208002503_ROU_ASSET</v>
          </cell>
        </row>
        <row r="113">
          <cell r="A113" t="str">
            <v>Vector|||208002503|||ISSR|||CF_INC_MINORITY|||False|||</v>
          </cell>
          <cell r="C113" t="str">
            <v>V_KEYWORD_ISSR_208002503_CF_INC_MINORITY</v>
          </cell>
        </row>
        <row r="114">
          <cell r="A114" t="str">
            <v>Vector|||208002503|||ISSR|||DEPR_AMORT|||False|||</v>
          </cell>
          <cell r="C114" t="str">
            <v>V_KEYWORD_ISSR_208002503_DEPR_AMORT</v>
          </cell>
        </row>
        <row r="115">
          <cell r="A115" t="str">
            <v>Vector|||208002503|||ISSR|||WORK_CAP|||False|||</v>
          </cell>
          <cell r="C115" t="str">
            <v>V_KEYWORD_ISSR_208002503_WORK_CAP</v>
          </cell>
        </row>
        <row r="116">
          <cell r="A116" t="str">
            <v>Vector|||208002503|||ISSR|||OTH_OP_CF|||False|||</v>
          </cell>
          <cell r="C116" t="str">
            <v>V_KEYWORD_ISSR_208002503_OTH_OP_CF</v>
          </cell>
        </row>
        <row r="117">
          <cell r="A117" t="str">
            <v>Vector|||208002503|||ISSR|||CF_OPS|||False|||</v>
          </cell>
          <cell r="C117" t="str">
            <v>V_KEYWORD_ISSR_208002503_CF_OPS</v>
          </cell>
        </row>
        <row r="118">
          <cell r="A118" t="str">
            <v>Vector|||208002503|||ISSR|||CAPEX|||False|||</v>
          </cell>
          <cell r="C118" t="str">
            <v>V_KEYWORD_ISSR_208002503_CAPEX</v>
          </cell>
        </row>
        <row r="119">
          <cell r="A119" t="str">
            <v>Vector|||208002503|||ISSR|||ACQ|||False|||</v>
          </cell>
          <cell r="C119" t="str">
            <v>V_KEYWORD_ISSR_208002503_ACQ</v>
          </cell>
        </row>
        <row r="120">
          <cell r="A120" t="str">
            <v>Vector|||208002503|||ISSR|||DIVEST|||False|||</v>
          </cell>
          <cell r="C120" t="str">
            <v>V_KEYWORD_ISSR_208002503_DIVEST</v>
          </cell>
        </row>
        <row r="121">
          <cell r="A121" t="str">
            <v>Vector|||208002503|||ISSR|||OTH_INV_CF|||False|||</v>
          </cell>
          <cell r="C121" t="str">
            <v>V_KEYWORD_ISSR_208002503_OTH_INV_CF</v>
          </cell>
        </row>
        <row r="122">
          <cell r="A122" t="str">
            <v>Vector|||208002503|||ISSR|||CF_INV|||False|||</v>
          </cell>
          <cell r="C122" t="str">
            <v>V_KEYWORD_ISSR_208002503_CF_INV</v>
          </cell>
        </row>
        <row r="123">
          <cell r="A123" t="str">
            <v>Vector|||208002503|||ISSR|||DIV_PAID|||False|||</v>
          </cell>
          <cell r="C123" t="str">
            <v>V_KEYWORD_ISSR_208002503_DIV_PAID</v>
          </cell>
        </row>
        <row r="124">
          <cell r="A124" t="str">
            <v>Vector|||208002503|||ISSR|||SH_REPUR|||False|||</v>
          </cell>
          <cell r="C124" t="str">
            <v>V_KEYWORD_ISSR_208002503_SH_REPUR</v>
          </cell>
        </row>
        <row r="125">
          <cell r="A125" t="str">
            <v>Vector|||208002503|||ISSR|||CHG_LT_DEBT|||False|||</v>
          </cell>
          <cell r="C125" t="str">
            <v>V_KEYWORD_ISSR_208002503_CHG_LT_DEBT</v>
          </cell>
        </row>
        <row r="126">
          <cell r="A126" t="str">
            <v>Vector|||208002503|||ISSR|||LEASE_PRINCIPAL_CASH|||False|||</v>
          </cell>
          <cell r="C126" t="str">
            <v>V_KEYWORD_ISSR_208002503_LEASE_PRINCIPAL_CASH</v>
          </cell>
        </row>
        <row r="127">
          <cell r="A127" t="str">
            <v>Vector|||208002503|||ISSR|||OTH_FIN_CF|||False|||</v>
          </cell>
          <cell r="C127" t="str">
            <v>V_KEYWORD_ISSR_208002503_OTH_FIN_CF</v>
          </cell>
        </row>
        <row r="128">
          <cell r="A128" t="str">
            <v>Vector|||208002503|||ISSR|||CF_FIN|||False|||</v>
          </cell>
          <cell r="C128" t="str">
            <v>V_KEYWORD_ISSR_208002503_CF_FIN</v>
          </cell>
        </row>
        <row r="129">
          <cell r="A129" t="str">
            <v>Vector|||208002503|||ISSR|||TOT_CF|||False|||</v>
          </cell>
          <cell r="C129" t="str">
            <v>V_KEYWORD_ISSR_208002503_TOT_CF</v>
          </cell>
        </row>
        <row r="131">
          <cell r="A131" t="str">
            <v>Vector|||208002503|||ISSR|||ASSOC_JV_ADDBK|||False|||</v>
          </cell>
          <cell r="C131" t="str">
            <v>V_KEYWORD_ISSR_208002503_ASSOC_JV_ADDBK</v>
          </cell>
        </row>
        <row r="132">
          <cell r="A132" t="str">
            <v>Vector|||208002503|||ISSR|||PL_SALE_ASSETS|||False|||</v>
          </cell>
          <cell r="C132" t="str">
            <v>V_KEYWORD_ISSR_208002503_PL_SALE_ASSETS</v>
          </cell>
        </row>
        <row r="133">
          <cell r="A133" t="str">
            <v>Vector|||208002503|||ISSR|||OTH_NONCASH_ADJ|||False|||</v>
          </cell>
          <cell r="C133" t="str">
            <v>V_KEYWORD_ISSR_208002503_OTH_NONCASH_ADJ</v>
          </cell>
        </row>
        <row r="134">
          <cell r="A134" t="str">
            <v>Vector|||208002503|||ISSR|||OTH_DACF_ADJ|||False|||</v>
          </cell>
          <cell r="C134" t="str">
            <v>V_KEYWORD_ISSR_208002503_OTH_DACF_ADJ</v>
          </cell>
        </row>
        <row r="135">
          <cell r="A135" t="str">
            <v>Vector|||208002503|||ISSR|||CASH_INT_EXP|||False|||</v>
          </cell>
          <cell r="C135" t="str">
            <v>V_KEYWORD_ISSR_208002503_CASH_INT_EXP</v>
          </cell>
        </row>
        <row r="136">
          <cell r="A136" t="str">
            <v>Vector|||208002503|||ISSR|||CASH_TAX_EXP|||False|||</v>
          </cell>
          <cell r="C136" t="str">
            <v>V_KEYWORD_ISSR_208002503_CASH_TAX_EXP</v>
          </cell>
        </row>
        <row r="137">
          <cell r="A137" t="str">
            <v>Vector|||208002503|||ISSR|||DIVDS_ASSOC_JV|||False|||</v>
          </cell>
          <cell r="C137" t="str">
            <v>V_KEYWORD_ISSR_208002503_DIVDS_ASSOC_JV</v>
          </cell>
        </row>
        <row r="138">
          <cell r="A138" t="str">
            <v>Vector|||208002503|||ISSR|||CAPEX_MAINTENANCE|||False|||</v>
          </cell>
          <cell r="C138" t="str">
            <v>V_KEYWORD_ISSR_208002503_CAPEX_MAINTENANCE</v>
          </cell>
        </row>
        <row r="139">
          <cell r="A139" t="str">
            <v>Vector|||208002503|||ISSR|||CAPEX_EXPANSION|||False|||</v>
          </cell>
          <cell r="C139" t="str">
            <v>V_KEYWORD_ISSR_208002503_CAPEX_EXPANSION</v>
          </cell>
        </row>
        <row r="140">
          <cell r="A140" t="str">
            <v>Vector|||208002503|||ISSR|||NONPPE_CAPEX|||False|||</v>
          </cell>
          <cell r="C140" t="str">
            <v>V_KEYWORD_ISSR_208002503_NONPPE_CAPEX</v>
          </cell>
        </row>
        <row r="141">
          <cell r="A141" t="str">
            <v>Vector|||208002503|||ISSR|||DIVDS_PD_MINORITIES|||False|||</v>
          </cell>
          <cell r="C141" t="str">
            <v>V_KEYWORD_ISSR_208002503_DIVDS_PD_MINORITIES</v>
          </cell>
        </row>
        <row r="142">
          <cell r="A142" t="str">
            <v>Vector|||208002503|||ISSR|||CAPEX_EX_LEASES|||False|||</v>
          </cell>
          <cell r="C142" t="str">
            <v>V_KEYWORD_ISSR_208002503_CAPEX_EX_LEASES</v>
          </cell>
        </row>
        <row r="144">
          <cell r="A144" t="str">
            <v>Vector|||208002503|||ISSR|||EMPLOYEES|||False|||</v>
          </cell>
          <cell r="C144" t="str">
            <v>V_KEYWORD_ISSR_208002503_EMPLOYEES</v>
          </cell>
        </row>
        <row r="145">
          <cell r="A145" t="str">
            <v>Vector|||208002503|||ISSR|||MEDIA_ADVERTISING|||False|||</v>
          </cell>
          <cell r="C145" t="str">
            <v>V_KEYWORD_ISSR_208002503_MEDIA_ADVERTISING</v>
          </cell>
        </row>
        <row r="147">
          <cell r="A147" t="str">
            <v>Vector|||208002503|||ISSR|||COGS_CORN|||False|||</v>
          </cell>
          <cell r="C147" t="str">
            <v>V_KEYWORD_ISSR_208002503_COGS_CORN</v>
          </cell>
        </row>
        <row r="148">
          <cell r="A148" t="str">
            <v>Vector|||208002503|||ISSR|||COGS_WHEAT|||False|||</v>
          </cell>
          <cell r="C148" t="str">
            <v>V_KEYWORD_ISSR_208002503_COGS_WHEAT</v>
          </cell>
        </row>
        <row r="149">
          <cell r="A149" t="str">
            <v>Vector|||208002503|||ISSR|||COGS_OTH_AGRI|||False|||</v>
          </cell>
          <cell r="C149" t="str">
            <v>V_KEYWORD_ISSR_208002503_COGS_OTH_AGRI</v>
          </cell>
        </row>
        <row r="150">
          <cell r="A150" t="str">
            <v>Vector|||208002503|||ISSR|||COGS_BEEF|||False|||</v>
          </cell>
          <cell r="C150" t="str">
            <v>V_KEYWORD_ISSR_208002503_COGS_BEEF</v>
          </cell>
        </row>
        <row r="151">
          <cell r="A151" t="str">
            <v>Vector|||208002503|||ISSR|||COGS_CHICKEN|||False|||</v>
          </cell>
          <cell r="C151" t="str">
            <v>V_KEYWORD_ISSR_208002503_COGS_CHICKEN</v>
          </cell>
        </row>
        <row r="152">
          <cell r="A152" t="str">
            <v>Vector|||208002503|||ISSR|||COGS_PORK|||False|||</v>
          </cell>
          <cell r="C152" t="str">
            <v>V_KEYWORD_ISSR_208002503_COGS_PORK</v>
          </cell>
        </row>
        <row r="153">
          <cell r="A153" t="str">
            <v>Vector|||208002503|||ISSR|||COGS_SUGAR|||False|||</v>
          </cell>
          <cell r="C153" t="str">
            <v>V_KEYWORD_ISSR_208002503_COGS_SUGAR</v>
          </cell>
        </row>
        <row r="154">
          <cell r="A154" t="str">
            <v>Vector|||208002503|||ISSR|||COGS_COFFEE|||False|||</v>
          </cell>
          <cell r="C154" t="str">
            <v>V_KEYWORD_ISSR_208002503_COGS_COFFEE</v>
          </cell>
        </row>
        <row r="155">
          <cell r="A155" t="str">
            <v>Vector|||208002503|||ISSR|||COGS_DAIRY|||False|||</v>
          </cell>
          <cell r="C155" t="str">
            <v>V_KEYWORD_ISSR_208002503_COGS_DAIRY</v>
          </cell>
        </row>
        <row r="156">
          <cell r="A156" t="str">
            <v>Vector|||208002503|||ISSR|||COGS_NUTS|||False|||</v>
          </cell>
          <cell r="C156" t="str">
            <v>V_KEYWORD_ISSR_208002503_COGS_NUTS</v>
          </cell>
        </row>
        <row r="157">
          <cell r="A157" t="str">
            <v>Vector|||208002503|||ISSR|||COGS_PALM_OIL|||False|||</v>
          </cell>
          <cell r="C157" t="str">
            <v>V_KEYWORD_ISSR_208002503_COGS_PALM_OIL</v>
          </cell>
        </row>
        <row r="158">
          <cell r="A158" t="str">
            <v>Vector|||208002503|||ISSR|||COGS_OTH_EDIBLE_OIL|||False|||</v>
          </cell>
          <cell r="C158" t="str">
            <v>V_KEYWORD_ISSR_208002503_COGS_OTH_EDIBLE_OIL</v>
          </cell>
        </row>
        <row r="159">
          <cell r="A159" t="str">
            <v>Vector|||208002503|||ISSR|||COGS_SOYBEAN|||False|||</v>
          </cell>
          <cell r="C159" t="str">
            <v>V_KEYWORD_ISSR_208002503_COGS_SOYBEAN</v>
          </cell>
        </row>
        <row r="160">
          <cell r="A160" t="str">
            <v>Vector|||208002503|||ISSR|||COGS_TOBACCO|||False|||</v>
          </cell>
          <cell r="C160" t="str">
            <v>V_KEYWORD_ISSR_208002503_COGS_TOBACCO</v>
          </cell>
        </row>
        <row r="161">
          <cell r="A161" t="str">
            <v>Vector|||208002503|||ISSR|||COGS_ENERGY|||False|||</v>
          </cell>
          <cell r="C161" t="str">
            <v>V_KEYWORD_ISSR_208002503_COGS_ENERGY</v>
          </cell>
        </row>
        <row r="162">
          <cell r="A162" t="str">
            <v>Vector|||208002503|||ISSR|||COGS_RAW_PULP|||False|||</v>
          </cell>
          <cell r="C162" t="str">
            <v>V_KEYWORD_ISSR_208002503_COGS_RAW_PULP</v>
          </cell>
        </row>
        <row r="163">
          <cell r="A163" t="str">
            <v>Vector|||208002503|||ISSR|||COGS_RAW_OIL_DERIV|||False|||</v>
          </cell>
          <cell r="C163" t="str">
            <v>V_KEYWORD_ISSR_208002503_COGS_RAW_OIL_DERIV</v>
          </cell>
        </row>
        <row r="164">
          <cell r="A164" t="str">
            <v>Vector|||208002503|||ISSR|||COGS_RAW_OTH|||False|||</v>
          </cell>
          <cell r="C164" t="str">
            <v>V_KEYWORD_ISSR_208002503_COGS_RAW_OTH</v>
          </cell>
        </row>
        <row r="165">
          <cell r="A165" t="str">
            <v>Vector|||208002503|||ISSR|||COGS_PACK_PAPER|||False|||</v>
          </cell>
          <cell r="C165" t="str">
            <v>V_KEYWORD_ISSR_208002503_COGS_PACK_PAPER</v>
          </cell>
        </row>
        <row r="166">
          <cell r="A166" t="str">
            <v>Vector|||208002503|||ISSR|||COGS_PACK_GLASS|||False|||</v>
          </cell>
          <cell r="C166" t="str">
            <v>V_KEYWORD_ISSR_208002503_COGS_PACK_GLASS</v>
          </cell>
        </row>
        <row r="167">
          <cell r="A167" t="str">
            <v>Vector|||208002503|||ISSR|||COGS_PACK_OIL_DERIV|||False|||</v>
          </cell>
          <cell r="C167" t="str">
            <v>V_KEYWORD_ISSR_208002503_COGS_PACK_OIL_DERIV</v>
          </cell>
        </row>
        <row r="168">
          <cell r="A168" t="str">
            <v>Vector|||208002503|||ISSR|||COGS_PACK_TIN|||False|||</v>
          </cell>
          <cell r="C168" t="str">
            <v>V_KEYWORD_ISSR_208002503_COGS_PACK_TIN</v>
          </cell>
        </row>
        <row r="169">
          <cell r="A169" t="str">
            <v>Vector|||208002503|||ISSR|||COGS_PACK_ALUM|||False|||</v>
          </cell>
          <cell r="C169" t="str">
            <v>V_KEYWORD_ISSR_208002503_COGS_PACK_ALUM</v>
          </cell>
        </row>
        <row r="170">
          <cell r="A170" t="str">
            <v>Vector|||208002503|||ISSR|||COGS_OH_WAGES|||False|||</v>
          </cell>
          <cell r="C170" t="str">
            <v>V_KEYWORD_ISSR_208002503_COGS_OH_WAGES</v>
          </cell>
        </row>
        <row r="172">
          <cell r="A172" t="str">
            <v>Vector|||208002503|||ISSR|||NAMERICA_SALES_GROWTH|||False|||</v>
          </cell>
          <cell r="C172" t="str">
            <v>V_KEYWORD_ISSR_208002503_NAMERICA_SALES_GROWTH</v>
          </cell>
        </row>
        <row r="173">
          <cell r="A173" t="str">
            <v>Vector|||208002503|||ISSR|||LATAM_SALES_GROWTH|||False|||</v>
          </cell>
          <cell r="C173" t="str">
            <v>V_KEYWORD_ISSR_208002503_LATAM_SALES_GROWTH</v>
          </cell>
        </row>
        <row r="174">
          <cell r="A174" t="str">
            <v>Vector|||208002503|||ISSR|||EUROPE_SALES_GROWTH|||False|||</v>
          </cell>
          <cell r="C174" t="str">
            <v>V_KEYWORD_ISSR_208002503_EUROPE_SALES_GROWTH</v>
          </cell>
        </row>
        <row r="175">
          <cell r="A175" t="str">
            <v>Vector|||208002503|||ISSR|||EEMEA_SALES_GROWTH|||False|||</v>
          </cell>
          <cell r="C175" t="str">
            <v>V_KEYWORD_ISSR_208002503_EEMEA_SALES_GROWTH</v>
          </cell>
        </row>
        <row r="176">
          <cell r="A176" t="str">
            <v>Vector|||208002503|||ISSR|||ASIA_SALES_GROWTH|||False|||</v>
          </cell>
          <cell r="C176" t="str">
            <v>V_KEYWORD_ISSR_208002503_ASIA_SALES_GROWTH</v>
          </cell>
        </row>
        <row r="178">
          <cell r="A178" t="str">
            <v>Vector|||208002503|||ISSR|||SALES_CANADA|||False|||</v>
          </cell>
          <cell r="C178" t="str">
            <v>V_KEYWORD_ISSR_208002503_SALES_CANADA</v>
          </cell>
        </row>
        <row r="179">
          <cell r="A179" t="str">
            <v>Vector|||208002503|||ISSR|||SALES_US|||False|||</v>
          </cell>
          <cell r="C179" t="str">
            <v>V_KEYWORD_ISSR_208002503_SALES_US</v>
          </cell>
        </row>
        <row r="180">
          <cell r="A180" t="str">
            <v>Vector|||208002503|||ISSR|||SALES_OTH_NO_AMER|||False|||</v>
          </cell>
          <cell r="C180" t="str">
            <v>V_KEYWORD_ISSR_208002503_SALES_OTH_NO_AMER</v>
          </cell>
        </row>
        <row r="181">
          <cell r="A181" t="str">
            <v>Vector|||208002503|||ISSR|||SALES_ARGENTINA|||False|||</v>
          </cell>
          <cell r="C181" t="str">
            <v>V_KEYWORD_ISSR_208002503_SALES_ARGENTINA</v>
          </cell>
        </row>
        <row r="182">
          <cell r="A182" t="str">
            <v>Vector|||208002503|||ISSR|||SALES_BRAZIL|||False|||</v>
          </cell>
          <cell r="C182" t="str">
            <v>V_KEYWORD_ISSR_208002503_SALES_BRAZIL</v>
          </cell>
        </row>
        <row r="183">
          <cell r="A183" t="str">
            <v>Vector|||208002503|||ISSR|||SALES_CHILE|||False|||</v>
          </cell>
          <cell r="C183" t="str">
            <v>V_KEYWORD_ISSR_208002503_SALES_CHILE</v>
          </cell>
        </row>
        <row r="184">
          <cell r="A184" t="str">
            <v>Vector|||208002503|||ISSR|||SALES_COLOMBIA|||False|||</v>
          </cell>
          <cell r="C184" t="str">
            <v>V_KEYWORD_ISSR_208002503_SALES_COLOMBIA</v>
          </cell>
        </row>
        <row r="185">
          <cell r="A185" t="str">
            <v>Vector|||208002503|||ISSR|||SALES_MEXICO|||False|||</v>
          </cell>
          <cell r="C185" t="str">
            <v>V_KEYWORD_ISSR_208002503_SALES_MEXICO</v>
          </cell>
        </row>
        <row r="186">
          <cell r="A186" t="str">
            <v>Vector|||208002503|||ISSR|||SALES_VENEZUELA|||False|||</v>
          </cell>
          <cell r="C186" t="str">
            <v>V_KEYWORD_ISSR_208002503_SALES_VENEZUELA</v>
          </cell>
        </row>
        <row r="187">
          <cell r="A187" t="str">
            <v>Vector|||208002503|||ISSR|||SALES_OTH_LATAM|||False|||</v>
          </cell>
          <cell r="C187" t="str">
            <v>V_KEYWORD_ISSR_208002503_SALES_OTH_LATAM</v>
          </cell>
        </row>
        <row r="188">
          <cell r="A188" t="str">
            <v>Vector|||208002503|||ISSR|||SALES_AUSTRIA|||False|||</v>
          </cell>
          <cell r="C188" t="str">
            <v>V_KEYWORD_ISSR_208002503_SALES_AUSTRIA</v>
          </cell>
        </row>
        <row r="189">
          <cell r="A189" t="str">
            <v>Vector|||208002503|||ISSR|||SALES_BEL|||False|||</v>
          </cell>
          <cell r="C189" t="str">
            <v>V_KEYWORD_ISSR_208002503_SALES_BEL</v>
          </cell>
        </row>
        <row r="190">
          <cell r="A190" t="str">
            <v>Vector|||208002503|||ISSR|||SALES_FRA|||False|||</v>
          </cell>
          <cell r="C190" t="str">
            <v>V_KEYWORD_ISSR_208002503_SALES_FRA</v>
          </cell>
        </row>
        <row r="191">
          <cell r="A191" t="str">
            <v>Vector|||208002503|||ISSR|||SALES_GER|||False|||</v>
          </cell>
          <cell r="C191" t="str">
            <v>V_KEYWORD_ISSR_208002503_SALES_GER</v>
          </cell>
        </row>
        <row r="192">
          <cell r="A192" t="str">
            <v>Vector|||208002503|||ISSR|||SALES_GRE|||False|||</v>
          </cell>
          <cell r="C192" t="str">
            <v>V_KEYWORD_ISSR_208002503_SALES_GRE</v>
          </cell>
        </row>
        <row r="193">
          <cell r="A193" t="str">
            <v>Vector|||208002503|||ISSR|||SALES_IRE|||False|||</v>
          </cell>
          <cell r="C193" t="str">
            <v>V_KEYWORD_ISSR_208002503_SALES_IRE</v>
          </cell>
        </row>
        <row r="194">
          <cell r="A194" t="str">
            <v>Vector|||208002503|||ISSR|||SALES_ITA|||False|||</v>
          </cell>
          <cell r="C194" t="str">
            <v>V_KEYWORD_ISSR_208002503_SALES_ITA</v>
          </cell>
        </row>
        <row r="195">
          <cell r="A195" t="str">
            <v>Vector|||208002503|||ISSR|||SALES_NETH|||False|||</v>
          </cell>
          <cell r="C195" t="str">
            <v>V_KEYWORD_ISSR_208002503_SALES_NETH</v>
          </cell>
        </row>
        <row r="196">
          <cell r="A196" t="str">
            <v>Vector|||208002503|||ISSR|||SALES_NOR|||False|||</v>
          </cell>
          <cell r="C196" t="str">
            <v>V_KEYWORD_ISSR_208002503_SALES_NOR</v>
          </cell>
        </row>
        <row r="197">
          <cell r="A197" t="str">
            <v>Vector|||208002503|||ISSR|||SALES_POR|||False|||</v>
          </cell>
          <cell r="C197" t="str">
            <v>V_KEYWORD_ISSR_208002503_SALES_POR</v>
          </cell>
        </row>
        <row r="198">
          <cell r="A198" t="str">
            <v>Vector|||208002503|||ISSR|||SALES_SPA|||False|||</v>
          </cell>
          <cell r="C198" t="str">
            <v>V_KEYWORD_ISSR_208002503_SALES_SPA</v>
          </cell>
        </row>
        <row r="199">
          <cell r="A199" t="str">
            <v>Vector|||208002503|||ISSR|||SALES_SWE|||False|||</v>
          </cell>
          <cell r="C199" t="str">
            <v>V_KEYWORD_ISSR_208002503_SALES_SWE</v>
          </cell>
        </row>
        <row r="200">
          <cell r="A200" t="str">
            <v>Vector|||208002503|||ISSR|||SALES_SWIT|||False|||</v>
          </cell>
          <cell r="C200" t="str">
            <v>V_KEYWORD_ISSR_208002503_SALES_SWIT</v>
          </cell>
        </row>
        <row r="201">
          <cell r="A201" t="str">
            <v>Vector|||208002503|||ISSR|||SALES_UK|||False|||</v>
          </cell>
          <cell r="C201" t="str">
            <v>V_KEYWORD_ISSR_208002503_SALES_UK</v>
          </cell>
        </row>
        <row r="202">
          <cell r="A202" t="str">
            <v>Vector|||208002503|||ISSR|||SALES_OTH_WEST_EURO|||False|||</v>
          </cell>
          <cell r="C202" t="str">
            <v>V_KEYWORD_ISSR_208002503_SALES_OTH_WEST_EURO</v>
          </cell>
        </row>
        <row r="203">
          <cell r="A203" t="str">
            <v>Vector|||208002503|||ISSR|||SALES_POLAND|||False|||</v>
          </cell>
          <cell r="C203" t="str">
            <v>V_KEYWORD_ISSR_208002503_SALES_POLAND</v>
          </cell>
        </row>
        <row r="204">
          <cell r="A204" t="str">
            <v>Vector|||208002503|||ISSR|||SALES_RUSSIA|||False|||</v>
          </cell>
          <cell r="C204" t="str">
            <v>V_KEYWORD_ISSR_208002503_SALES_RUSSIA</v>
          </cell>
        </row>
        <row r="205">
          <cell r="A205" t="str">
            <v>Vector|||208002503|||ISSR|||SALES_TURKEY|||False|||</v>
          </cell>
          <cell r="C205" t="str">
            <v>V_KEYWORD_ISSR_208002503_SALES_TURKEY</v>
          </cell>
        </row>
        <row r="206">
          <cell r="A206" t="str">
            <v>Vector|||208002503|||ISSR|||SALES_OTH_CEE|||False|||</v>
          </cell>
          <cell r="C206" t="str">
            <v>V_KEYWORD_ISSR_208002503_SALES_OTH_CEE</v>
          </cell>
        </row>
        <row r="207">
          <cell r="A207" t="str">
            <v>Vector|||208002503|||ISSR|||SALES_SAUDI_ARABIA|||False|||</v>
          </cell>
          <cell r="C207" t="str">
            <v>V_KEYWORD_ISSR_208002503_SALES_SAUDI_ARABIA</v>
          </cell>
        </row>
        <row r="208">
          <cell r="A208" t="str">
            <v>Vector|||208002503|||ISSR|||SALES_UAE|||False|||</v>
          </cell>
          <cell r="C208" t="str">
            <v>V_KEYWORD_ISSR_208002503_SALES_UAE</v>
          </cell>
        </row>
        <row r="209">
          <cell r="A209" t="str">
            <v>Vector|||208002503|||ISSR|||SALES_OTH_ME|||False|||</v>
          </cell>
          <cell r="C209" t="str">
            <v>V_KEYWORD_ISSR_208002503_SALES_OTH_ME</v>
          </cell>
        </row>
        <row r="210">
          <cell r="A210" t="str">
            <v>Vector|||208002503|||ISSR|||SALES_NIGERIA|||False|||</v>
          </cell>
          <cell r="C210" t="str">
            <v>V_KEYWORD_ISSR_208002503_SALES_NIGERIA</v>
          </cell>
        </row>
        <row r="211">
          <cell r="A211" t="str">
            <v>Vector|||208002503|||ISSR|||SALES_SO_AFRICA|||False|||</v>
          </cell>
          <cell r="C211" t="str">
            <v>V_KEYWORD_ISSR_208002503_SALES_SO_AFRICA</v>
          </cell>
        </row>
        <row r="212">
          <cell r="A212" t="str">
            <v>Vector|||208002503|||ISSR|||SALES_OTH_AFRICA|||False|||</v>
          </cell>
          <cell r="C212" t="str">
            <v>V_KEYWORD_ISSR_208002503_SALES_OTH_AFRICA</v>
          </cell>
        </row>
        <row r="213">
          <cell r="A213" t="str">
            <v>Vector|||208002503|||ISSR|||SALES_HONG_KONG|||False|||</v>
          </cell>
          <cell r="C213" t="str">
            <v>V_KEYWORD_ISSR_208002503_SALES_HONG_KONG</v>
          </cell>
        </row>
        <row r="214">
          <cell r="A214" t="str">
            <v>Vector|||208002503|||ISSR|||SALES_JAPAN|||False|||</v>
          </cell>
          <cell r="C214" t="str">
            <v>V_KEYWORD_ISSR_208002503_SALES_JAPAN</v>
          </cell>
        </row>
        <row r="215">
          <cell r="A215" t="str">
            <v>Vector|||208002503|||ISSR|||SALES_SINGAPORE|||False|||</v>
          </cell>
          <cell r="C215" t="str">
            <v>V_KEYWORD_ISSR_208002503_SALES_SINGAPORE</v>
          </cell>
        </row>
        <row r="216">
          <cell r="A216" t="str">
            <v>Vector|||208002503|||ISSR|||SALES_SK|||False|||</v>
          </cell>
          <cell r="C216" t="str">
            <v>V_KEYWORD_ISSR_208002503_SALES_SK</v>
          </cell>
        </row>
        <row r="217">
          <cell r="A217" t="str">
            <v>Vector|||208002503|||ISSR|||SALES_TAIWAN|||False|||</v>
          </cell>
          <cell r="C217" t="str">
            <v>V_KEYWORD_ISSR_208002503_SALES_TAIWAN</v>
          </cell>
        </row>
        <row r="218">
          <cell r="A218" t="str">
            <v>Vector|||208002503|||ISSR|||SALES_OTH_DEV_ASIA|||False|||</v>
          </cell>
          <cell r="C218" t="str">
            <v>V_KEYWORD_ISSR_208002503_SALES_OTH_DEV_ASIA</v>
          </cell>
        </row>
        <row r="219">
          <cell r="A219" t="str">
            <v>Vector|||208002503|||ISSR|||SALES_CHINA|||False|||</v>
          </cell>
          <cell r="C219" t="str">
            <v>V_KEYWORD_ISSR_208002503_SALES_CHINA</v>
          </cell>
        </row>
        <row r="220">
          <cell r="A220" t="str">
            <v>Vector|||208002503|||ISSR|||SALES_INDIA|||False|||</v>
          </cell>
          <cell r="C220" t="str">
            <v>V_KEYWORD_ISSR_208002503_SALES_INDIA</v>
          </cell>
        </row>
        <row r="221">
          <cell r="A221" t="str">
            <v>Vector|||208002503|||ISSR|||SALES_INDONESIA|||False|||</v>
          </cell>
          <cell r="C221" t="str">
            <v>V_KEYWORD_ISSR_208002503_SALES_INDONESIA</v>
          </cell>
        </row>
        <row r="222">
          <cell r="A222" t="str">
            <v>Vector|||208002503|||ISSR|||SALES_THAILAND|||False|||</v>
          </cell>
          <cell r="C222" t="str">
            <v>V_KEYWORD_ISSR_208002503_SALES_THAILAND</v>
          </cell>
        </row>
        <row r="223">
          <cell r="A223" t="str">
            <v>Vector|||208002503|||ISSR|||SALES_OTH_EMERG_ASIA|||False|||</v>
          </cell>
          <cell r="C223" t="str">
            <v>V_KEYWORD_ISSR_208002503_SALES_OTH_EMERG_ASIA</v>
          </cell>
        </row>
        <row r="224">
          <cell r="A224" t="str">
            <v>Vector|||208002503|||ISSR|||SALES_AUSTRA|||False|||</v>
          </cell>
          <cell r="C224" t="str">
            <v>V_KEYWORD_ISSR_208002503_SALES_AUSTRA</v>
          </cell>
        </row>
        <row r="225">
          <cell r="A225" t="str">
            <v>Vector|||208002503|||ISSR|||SALES_NZ|||False|||</v>
          </cell>
          <cell r="C225" t="str">
            <v>V_KEYWORD_ISSR_208002503_SALES_NZ</v>
          </cell>
        </row>
        <row r="226">
          <cell r="A226" t="str">
            <v>Vector|||208002503|||ISSR|||SALES_OTHER|||False|||</v>
          </cell>
          <cell r="C226" t="str">
            <v>V_KEYWORD_ISSR_208002503_SALES_OTHER</v>
          </cell>
        </row>
        <row r="227">
          <cell r="A227" t="str">
            <v>Vector|||208002503|||ISSR|||COGS_PCT_US|||False|||</v>
          </cell>
          <cell r="C227" t="str">
            <v>V_KEYWORD_ISSR_208002503_COGS_PCT_US</v>
          </cell>
        </row>
        <row r="228">
          <cell r="A228" t="str">
            <v>Vector|||208002503|||ISSR|||COGS_PCT_ROW|||False|||</v>
          </cell>
          <cell r="C228" t="str">
            <v>V_KEYWORD_ISSR_208002503_COGS_PCT_ROW</v>
          </cell>
        </row>
        <row r="229">
          <cell r="A229" t="str">
            <v>Vector|||208002503|||ISSR|||SGA_PCT_US|||False|||</v>
          </cell>
          <cell r="C229" t="str">
            <v>V_KEYWORD_ISSR_208002503_SGA_PCT_US</v>
          </cell>
        </row>
        <row r="230">
          <cell r="A230" t="str">
            <v>Vector|||208002503|||ISSR|||SGA_PCT_ROW|||False|||</v>
          </cell>
          <cell r="C230" t="str">
            <v>V_KEYWORD_ISSR_208002503_SGA_PCT_ROW</v>
          </cell>
        </row>
        <row r="231">
          <cell r="A231" t="str">
            <v>Vector|||208002503|||ISSR|||SALES_CONS|||False|||</v>
          </cell>
          <cell r="C231" t="str">
            <v>V_KEYWORD_ISSR_208002503_SALES_CONS</v>
          </cell>
        </row>
        <row r="232">
          <cell r="A232" t="str">
            <v>Vector|||208002503|||ISSR|||SALES_IND|||False|||</v>
          </cell>
          <cell r="C232" t="str">
            <v>V_KEYWORD_ISSR_208002503_SALES_IND</v>
          </cell>
        </row>
        <row r="233">
          <cell r="A233" t="str">
            <v>Vector|||208002503|||ISSR|||SALES_GOV|||False|||</v>
          </cell>
          <cell r="C233" t="str">
            <v>V_KEYWORD_ISSR_208002503_SALES_GOV</v>
          </cell>
        </row>
        <row r="234">
          <cell r="A234" t="str">
            <v>Vector|||208002503|||ISSR|||SALES_FINAN|||False|||</v>
          </cell>
          <cell r="C234" t="str">
            <v>V_KEYWORD_ISSR_208002503_SALES_FINAN</v>
          </cell>
        </row>
        <row r="235">
          <cell r="A235" t="str">
            <v>Vector|||208002503|||ISSR|||SALES_OIL_GAS|||False|||</v>
          </cell>
          <cell r="C235" t="str">
            <v>V_KEYWORD_ISSR_208002503_SALES_OIL_GAS</v>
          </cell>
        </row>
        <row r="236">
          <cell r="A236" t="str">
            <v>Vector|||208002503|||ISSR|||REV_FIN_SEGMENT|||False|||</v>
          </cell>
          <cell r="C236" t="str">
            <v>V_KEYWORD_ISSR_208002503_REV_FIN_SEGMENT</v>
          </cell>
        </row>
        <row r="238">
          <cell r="A238" t="str">
            <v>Vector|||208002503|||ISSR|||SALES_WHEAT|||False|||</v>
          </cell>
          <cell r="C238" t="str">
            <v>V_KEYWORD_ISSR_208002503_SALES_WHEAT</v>
          </cell>
        </row>
        <row r="239">
          <cell r="A239" t="str">
            <v>Vector|||208002503|||ISSR|||SALES_SUGAR|||False|||</v>
          </cell>
          <cell r="C239" t="str">
            <v>V_KEYWORD_ISSR_208002503_SALES_SUGAR</v>
          </cell>
        </row>
        <row r="240">
          <cell r="A240" t="str">
            <v>Vector|||208002503|||ISSR|||SALES_SOYBEAN|||False|||</v>
          </cell>
          <cell r="C240" t="str">
            <v>V_KEYWORD_ISSR_208002503_SALES_SOYBEAN</v>
          </cell>
        </row>
        <row r="241">
          <cell r="A241" t="str">
            <v>Vector|||208002503|||ISSR|||SALES_CORN|||False|||</v>
          </cell>
          <cell r="C241" t="str">
            <v>V_KEYWORD_ISSR_208002503_SALES_CORN</v>
          </cell>
        </row>
        <row r="242">
          <cell r="A242" t="str">
            <v>Vector|||208002503|||ISSR|||SALES_COFFEE|||False|||</v>
          </cell>
          <cell r="C242" t="str">
            <v>V_KEYWORD_ISSR_208002503_SALES_COFFEE</v>
          </cell>
        </row>
        <row r="243">
          <cell r="A243" t="str">
            <v>Vector|||208002503|||ISSR|||SALES_COCOA|||False|||</v>
          </cell>
          <cell r="C243" t="str">
            <v>V_KEYWORD_ISSR_208002503_SALES_COCOA</v>
          </cell>
        </row>
        <row r="244">
          <cell r="A244" t="str">
            <v>Vector|||208002503|||ISSR|||SALES_BEEF|||False|||</v>
          </cell>
          <cell r="C244" t="str">
            <v>V_KEYWORD_ISSR_208002503_SALES_BEEF</v>
          </cell>
        </row>
        <row r="245">
          <cell r="A245" t="str">
            <v>Vector|||208002503|||ISSR|||SALES_PORK|||False|||</v>
          </cell>
          <cell r="C245" t="str">
            <v>V_KEYWORD_ISSR_208002503_SALES_PORK</v>
          </cell>
        </row>
        <row r="246">
          <cell r="A246" t="str">
            <v>Vector|||208002503|||ISSR|||SALES_CHICKEN|||False|||</v>
          </cell>
          <cell r="C246" t="str">
            <v>V_KEYWORD_ISSR_208002503_SALES_CHICKEN</v>
          </cell>
        </row>
        <row r="247">
          <cell r="A247" t="str">
            <v>Vector|||208002503|||ISSR|||SALES_DAIRY|||False|||</v>
          </cell>
          <cell r="C247" t="str">
            <v>V_KEYWORD_ISSR_208002503_SALES_DAIRY</v>
          </cell>
        </row>
        <row r="248">
          <cell r="A248" t="str">
            <v>Vector|||208002503|||ISSR|||SALES_NUTS|||False|||</v>
          </cell>
          <cell r="C248" t="str">
            <v>V_KEYWORD_ISSR_208002503_SALES_NUTS</v>
          </cell>
        </row>
        <row r="249">
          <cell r="A249" t="str">
            <v>Vector|||208002503|||ISSR|||SALES_WATER|||False|||</v>
          </cell>
          <cell r="C249" t="str">
            <v>V_KEYWORD_ISSR_208002503_SALES_WATER</v>
          </cell>
        </row>
        <row r="250">
          <cell r="A250" t="str">
            <v>Vector|||208002503|||ISSR|||SALES_OTH_COMMODITY|||False|||</v>
          </cell>
          <cell r="C250" t="str">
            <v>V_KEYWORD_ISSR_208002503_SALES_OTH_COMMODITY</v>
          </cell>
        </row>
        <row r="251">
          <cell r="A251" t="str">
            <v>Vector|||208002503|||ISSR|||SALES_OTH_SALES_SOURCES|||False|||</v>
          </cell>
          <cell r="C251" t="str">
            <v>V_KEYWORD_ISSR_208002503_SALES_OTH_SALES_SOURCES</v>
          </cell>
        </row>
        <row r="253">
          <cell r="A253" t="str">
            <v>Vector|||208002503|||ISSR|||EXP_OIL_PETRO_FUEL|||False|||</v>
          </cell>
          <cell r="C253" t="str">
            <v>V_KEYWORD_ISSR_208002503_EXP_OIL_PETRO_FUEL</v>
          </cell>
        </row>
        <row r="254">
          <cell r="A254" t="str">
            <v>Vector|||208002503|||ISSR|||EXP_OIL_DERIV_NGLS_PLASTICS|||False|||</v>
          </cell>
          <cell r="C254" t="str">
            <v>V_KEYWORD_ISSR_208002503_EXP_OIL_DERIV_NGLS_PLASTICS</v>
          </cell>
        </row>
        <row r="255">
          <cell r="A255" t="str">
            <v>Vector|||208002503|||ISSR|||EXP_ALUMINIUM|||False|||</v>
          </cell>
          <cell r="C255" t="str">
            <v>V_KEYWORD_ISSR_208002503_EXP_ALUMINIUM</v>
          </cell>
        </row>
        <row r="256">
          <cell r="A256" t="str">
            <v>Vector|||208002503|||ISSR|||EXP_STEEL|||False|||</v>
          </cell>
          <cell r="C256" t="str">
            <v>V_KEYWORD_ISSR_208002503_EXP_STEEL</v>
          </cell>
        </row>
        <row r="257">
          <cell r="A257" t="str">
            <v>Vector|||208002503|||ISSR|||EXP_TIN|||False|||</v>
          </cell>
          <cell r="C257" t="str">
            <v>V_KEYWORD_ISSR_208002503_EXP_TIN</v>
          </cell>
        </row>
        <row r="258">
          <cell r="A258" t="str">
            <v>Vector|||208002503|||ISSR|||EXP_PAPER_PULP|||False|||</v>
          </cell>
          <cell r="C258" t="str">
            <v>V_KEYWORD_ISSR_208002503_EXP_PAPER_PULP</v>
          </cell>
        </row>
        <row r="259">
          <cell r="A259" t="str">
            <v>Vector|||208002503|||ISSR|||EXP_GLASS|||False|||</v>
          </cell>
          <cell r="C259" t="str">
            <v>V_KEYWORD_ISSR_208002503_EXP_GLASS</v>
          </cell>
        </row>
        <row r="260">
          <cell r="A260" t="str">
            <v>Vector|||208002503|||ISSR|||EXP_WHEAT|||False|||</v>
          </cell>
          <cell r="C260" t="str">
            <v>V_KEYWORD_ISSR_208002503_EXP_WHEAT</v>
          </cell>
        </row>
        <row r="261">
          <cell r="A261" t="str">
            <v>Vector|||208002503|||ISSR|||EXP_SUGAR|||False|||</v>
          </cell>
          <cell r="C261" t="str">
            <v>V_KEYWORD_ISSR_208002503_EXP_SUGAR</v>
          </cell>
        </row>
        <row r="262">
          <cell r="A262" t="str">
            <v>Vector|||208002503|||ISSR|||EXP_SOYBEAN|||False|||</v>
          </cell>
          <cell r="C262" t="str">
            <v>V_KEYWORD_ISSR_208002503_EXP_SOYBEAN</v>
          </cell>
        </row>
        <row r="263">
          <cell r="A263" t="str">
            <v>Vector|||208002503|||ISSR|||EXP_CORN|||False|||</v>
          </cell>
          <cell r="C263" t="str">
            <v>V_KEYWORD_ISSR_208002503_EXP_CORN</v>
          </cell>
        </row>
        <row r="264">
          <cell r="A264" t="str">
            <v>Vector|||208002503|||ISSR|||EXP_COFFEE|||False|||</v>
          </cell>
          <cell r="C264" t="str">
            <v>V_KEYWORD_ISSR_208002503_EXP_COFFEE</v>
          </cell>
        </row>
        <row r="265">
          <cell r="A265" t="str">
            <v>Vector|||208002503|||ISSR|||EXP_COCOA|||False|||</v>
          </cell>
          <cell r="C265" t="str">
            <v>V_KEYWORD_ISSR_208002503_EXP_COCOA</v>
          </cell>
        </row>
        <row r="266">
          <cell r="A266" t="str">
            <v>Vector|||208002503|||ISSR|||EXP_BEEF|||False|||</v>
          </cell>
          <cell r="C266" t="str">
            <v>V_KEYWORD_ISSR_208002503_EXP_BEEF</v>
          </cell>
        </row>
        <row r="267">
          <cell r="A267" t="str">
            <v>Vector|||208002503|||ISSR|||EXP_PORK|||False|||</v>
          </cell>
          <cell r="C267" t="str">
            <v>V_KEYWORD_ISSR_208002503_EXP_PORK</v>
          </cell>
        </row>
        <row r="268">
          <cell r="A268" t="str">
            <v>Vector|||208002503|||ISSR|||EXP_CHICKEN|||False|||</v>
          </cell>
          <cell r="C268" t="str">
            <v>V_KEYWORD_ISSR_208002503_EXP_CHICKEN</v>
          </cell>
        </row>
        <row r="269">
          <cell r="A269" t="str">
            <v>Vector|||208002503|||ISSR|||EXP_DAIRY|||False|||</v>
          </cell>
          <cell r="C269" t="str">
            <v>V_KEYWORD_ISSR_208002503_EXP_DAIRY</v>
          </cell>
        </row>
        <row r="270">
          <cell r="A270" t="str">
            <v>Vector|||208002503|||ISSR|||EXP_NUTS|||False|||</v>
          </cell>
          <cell r="C270" t="str">
            <v>V_KEYWORD_ISSR_208002503_EXP_NUTS</v>
          </cell>
        </row>
        <row r="271">
          <cell r="A271" t="str">
            <v>Vector|||208002503|||ISSR|||EXP_PALM_OIL|||False|||</v>
          </cell>
          <cell r="C271" t="str">
            <v>V_KEYWORD_ISSR_208002503_EXP_PALM_OIL</v>
          </cell>
        </row>
        <row r="272">
          <cell r="A272" t="str">
            <v>Vector|||208002503|||ISSR|||EXP_OTH_EDIBLE_OIL|||False|||</v>
          </cell>
          <cell r="C272" t="str">
            <v>V_KEYWORD_ISSR_208002503_EXP_OTH_EDIBLE_OIL</v>
          </cell>
        </row>
        <row r="273">
          <cell r="A273" t="str">
            <v>Vector|||208002503|||ISSR|||EXP_WATER|||False|||</v>
          </cell>
          <cell r="C273" t="str">
            <v>V_KEYWORD_ISSR_208002503_EXP_WATER</v>
          </cell>
        </row>
        <row r="274">
          <cell r="A274" t="str">
            <v>Vector|||208002503|||ISSR|||EXP_OTH_COMMODITY|||False|||</v>
          </cell>
          <cell r="C274" t="str">
            <v>V_KEYWORD_ISSR_208002503_EXP_OTH_COMMODITY</v>
          </cell>
        </row>
        <row r="275">
          <cell r="A275" t="str">
            <v>Vector|||208002503|||ISSR|||EXP_OTH_COST|||False|||</v>
          </cell>
          <cell r="C275" t="str">
            <v>V_KEYWORD_ISSR_208002503_EXP_OTH_COST</v>
          </cell>
        </row>
        <row r="277">
          <cell r="A277" t="str">
            <v>Vector|||208002503|||ISSR|||SALES_FX_GPB|||False|||</v>
          </cell>
          <cell r="C277" t="str">
            <v>V_KEYWORD_ISSR_208002503_SALES_FX_GPB</v>
          </cell>
        </row>
        <row r="278">
          <cell r="A278" t="str">
            <v>Vector|||208002503|||ISSR|||SALES_FX_EUR|||False|||</v>
          </cell>
          <cell r="C278" t="str">
            <v>V_KEYWORD_ISSR_208002503_SALES_FX_EUR</v>
          </cell>
        </row>
        <row r="279">
          <cell r="A279" t="str">
            <v>Vector|||208002503|||ISSR|||SALES_FX_RUB|||False|||</v>
          </cell>
          <cell r="C279" t="str">
            <v>V_KEYWORD_ISSR_208002503_SALES_FX_RUB</v>
          </cell>
        </row>
        <row r="280">
          <cell r="A280" t="str">
            <v>Vector|||208002503|||ISSR|||SALES_FX_USD|||False|||</v>
          </cell>
          <cell r="C280" t="str">
            <v>V_KEYWORD_ISSR_208002503_SALES_FX_USD</v>
          </cell>
        </row>
        <row r="281">
          <cell r="A281" t="str">
            <v>Vector|||208002503|||ISSR|||SALES_FX_BRL|||False|||</v>
          </cell>
          <cell r="C281" t="str">
            <v>V_KEYWORD_ISSR_208002503_SALES_FX_BRL</v>
          </cell>
        </row>
        <row r="282">
          <cell r="A282" t="str">
            <v>Vector|||208002503|||ISSR|||SALES_FX_YEN|||False|||</v>
          </cell>
          <cell r="C282" t="str">
            <v>V_KEYWORD_ISSR_208002503_SALES_FX_YEN</v>
          </cell>
        </row>
        <row r="283">
          <cell r="A283" t="str">
            <v>Vector|||208002503|||ISSR|||SALES_FX_CNY|||False|||</v>
          </cell>
          <cell r="C283" t="str">
            <v>V_KEYWORD_ISSR_208002503_SALES_FX_CNY</v>
          </cell>
        </row>
        <row r="284">
          <cell r="A284" t="str">
            <v>Vector|||208002503|||ISSR|||SALES_FX_INR|||False|||</v>
          </cell>
          <cell r="C284" t="str">
            <v>V_KEYWORD_ISSR_208002503_SALES_FX_INR</v>
          </cell>
        </row>
        <row r="285">
          <cell r="A285" t="str">
            <v>Vector|||208002503|||ISSR|||SALES_FX_IDR|||False|||</v>
          </cell>
          <cell r="C285" t="str">
            <v>V_KEYWORD_ISSR_208002503_SALES_FX_IDR</v>
          </cell>
        </row>
        <row r="286">
          <cell r="A286" t="str">
            <v>Vector|||208002503|||ISSR|||SALES_FX_THB|||False|||</v>
          </cell>
          <cell r="C286" t="str">
            <v>V_KEYWORD_ISSR_208002503_SALES_FX_THB</v>
          </cell>
        </row>
        <row r="287">
          <cell r="A287" t="str">
            <v>Vector|||208002503|||ISSR|||SALES_FX_AUD|||False|||</v>
          </cell>
          <cell r="C287" t="str">
            <v>V_KEYWORD_ISSR_208002503_SALES_FX_AUD</v>
          </cell>
        </row>
        <row r="288">
          <cell r="A288" t="str">
            <v>Vector|||208002503|||ISSR|||SALES_FX_OTH|||False|||</v>
          </cell>
          <cell r="C288" t="str">
            <v>V_KEYWORD_ISSR_208002503_SALES_FX_OTH</v>
          </cell>
        </row>
        <row r="290">
          <cell r="A290" t="str">
            <v>Vector|||208002503|||ISSR|||SALES_TOT_AM|||False|||</v>
          </cell>
          <cell r="C290" t="str">
            <v>V_KEYWORD_ISSR_208002503_SALES_TOT_AM</v>
          </cell>
        </row>
        <row r="291">
          <cell r="A291" t="str">
            <v>Vector|||208002503|||ISSR|||SALES_OTH_AM|||False|||</v>
          </cell>
          <cell r="C291" t="str">
            <v>V_KEYWORD_ISSR_208002503_SALES_OTH_AM</v>
          </cell>
        </row>
        <row r="292">
          <cell r="A292" t="str">
            <v>Vector|||208002503|||ISSR|||SALES_TOT_EMEA|||False|||</v>
          </cell>
          <cell r="C292" t="str">
            <v>V_KEYWORD_ISSR_208002503_SALES_TOT_EMEA</v>
          </cell>
        </row>
        <row r="293">
          <cell r="A293" t="str">
            <v>Vector|||208002503|||ISSR|||SALES_EU_EX_UK|||False|||</v>
          </cell>
          <cell r="C293" t="str">
            <v>V_KEYWORD_ISSR_208002503_SALES_EU_EX_UK</v>
          </cell>
        </row>
        <row r="294">
          <cell r="A294" t="str">
            <v>Vector|||208002503|||ISSR|||SALES_CEE|||False|||</v>
          </cell>
          <cell r="C294" t="str">
            <v>V_KEYWORD_ISSR_208002503_SALES_CEE</v>
          </cell>
        </row>
        <row r="295">
          <cell r="A295" t="str">
            <v>Vector|||208002503|||ISSR|||SALES_ME|||False|||</v>
          </cell>
          <cell r="C295" t="str">
            <v>V_KEYWORD_ISSR_208002503_SALES_ME</v>
          </cell>
        </row>
        <row r="296">
          <cell r="A296" t="str">
            <v>Vector|||208002503|||ISSR|||SALES_TOT_AFRICA|||False|||</v>
          </cell>
          <cell r="C296" t="str">
            <v>V_KEYWORD_ISSR_208002503_SALES_TOT_AFRICA</v>
          </cell>
        </row>
        <row r="297">
          <cell r="A297" t="str">
            <v>Vector|||208002503|||ISSR|||SALES_OTH_EMEA|||False|||</v>
          </cell>
          <cell r="C297" t="str">
            <v>V_KEYWORD_ISSR_208002503_SALES_OTH_EMEA</v>
          </cell>
        </row>
        <row r="298">
          <cell r="A298" t="str">
            <v>Vector|||208002503|||ISSR|||SALES_TOT_ASIA|||False|||</v>
          </cell>
          <cell r="C298" t="str">
            <v>V_KEYWORD_ISSR_208002503_SALES_TOT_ASIA</v>
          </cell>
        </row>
        <row r="299">
          <cell r="A299" t="str">
            <v>Vector|||208002503|||ISSR|||SALES_OTH_AEJ|||False|||</v>
          </cell>
          <cell r="C299" t="str">
            <v>V_KEYWORD_ISSR_208002503_SALES_OTH_AEJ</v>
          </cell>
        </row>
        <row r="303">
          <cell r="A303" t="str">
            <v>Vector|||208002503|||ISSR|||SALES_FX|||False|||</v>
          </cell>
          <cell r="C303" t="str">
            <v>V_KEYWORD_ISSR_208002503_SALES_FX</v>
          </cell>
        </row>
        <row r="305">
          <cell r="A305" t="str">
            <v>Vector|||208002503|||ISSR|||SALES_INORGANIC|||False|||</v>
          </cell>
          <cell r="C305" t="str">
            <v>V_KEYWORD_ISSR_208002503_SALES_INORGANIC</v>
          </cell>
        </row>
        <row r="307">
          <cell r="A307" t="str">
            <v>Vector|||208002503|||ISSR|||SALES_PRICE|||False|||</v>
          </cell>
          <cell r="C307" t="str">
            <v>V_KEYWORD_ISSR_208002503_SALES_PRICE</v>
          </cell>
        </row>
        <row r="309">
          <cell r="A309" t="str">
            <v>Vector|||208002503|||ISSR|||SALES_VOLUME|||False|||</v>
          </cell>
          <cell r="C309" t="str">
            <v>V_KEYWORD_ISSR_208002503_SALES_VOLUME</v>
          </cell>
        </row>
        <row r="315">
          <cell r="A315" t="str">
            <v>Scalar|||200004303|||EQTY|||PUB_CURRENCY_ISO|||False|||</v>
          </cell>
          <cell r="C315" t="str">
            <v>V_KEYWORD_EQTY_200004303_PUB_CURRENCY_ISO</v>
          </cell>
        </row>
        <row r="316">
          <cell r="A316" t="str">
            <v>Scalar|||200004303|||EQTY|||PRICE_CURRENCY_ISO|||False|||</v>
          </cell>
          <cell r="C316" t="str">
            <v>V_KEYWORD_EQTY_200004303_PRICE_CURRENCY_ISO</v>
          </cell>
        </row>
        <row r="317">
          <cell r="A317" t="str">
            <v>Scalar|||200004303|||EQTY|||CURRENCY_ISO|||False|||</v>
          </cell>
          <cell r="C317" t="str">
            <v>V_KEYWORD_EQTY_200004303_CURRENCY_ISO</v>
          </cell>
        </row>
        <row r="319">
          <cell r="A319" t="str">
            <v>Scalar|||200004303|||EQTY|||JAPAN_LIST|||False|||</v>
          </cell>
          <cell r="C319" t="str">
            <v>V_KEYWORD_EQTY_200004303_JAPAN_LIST</v>
          </cell>
        </row>
        <row r="320">
          <cell r="A320" t="str">
            <v>Scalar|||200004303|||EQTY|||NOT IN USE|||False|||</v>
          </cell>
          <cell r="C320" t="str">
            <v>V_KEYWORD_EQTY_200004303_NOT_IN_USE</v>
          </cell>
        </row>
        <row r="322">
          <cell r="A322" t="str">
            <v>Scalar|||200004303|||EQTY|||LEGAL_RATING|||False|||</v>
          </cell>
          <cell r="C322" t="str">
            <v>V_KEYWORD_EQTY_200004303_LEGAL_RATING</v>
          </cell>
        </row>
        <row r="323">
          <cell r="A323" t="str">
            <v>Scalar|||200004303|||EQTY|||TARGET_PRICE|||False|||</v>
          </cell>
          <cell r="C323" t="str">
            <v>V_KEYWORD_EQTY_200004303_TARGET_PRICE</v>
          </cell>
        </row>
        <row r="324">
          <cell r="A324" t="str">
            <v>Scalar|||200004303|||EQTY|||TP_PERIOD|||False|||</v>
          </cell>
          <cell r="C324" t="str">
            <v>V_KEYWORD_EQTY_200004303_TP_PERIOD</v>
          </cell>
        </row>
        <row r="325">
          <cell r="A325" t="str">
            <v>Scalar|||200004303|||EQTY|||TARGET_PRICE_FUNDAMENTAL|||False|||</v>
          </cell>
          <cell r="C325" t="str">
            <v>V_KEYWORD_EQTY_200004303_TARGET_PRICE_FUNDAMENTAL</v>
          </cell>
        </row>
        <row r="326">
          <cell r="A326" t="str">
            <v>Scalar|||200004303|||EQTY|||TARGET_PRICE_MA|||False|||</v>
          </cell>
          <cell r="C326" t="str">
            <v>V_KEYWORD_EQTY_200004303_TARGET_PRICE_MA</v>
          </cell>
        </row>
        <row r="327">
          <cell r="A327" t="str">
            <v>Scalar|||200004303|||EQTY|||NUM_SH|||False|||</v>
          </cell>
          <cell r="C327" t="str">
            <v>V_KEYWORD_EQTY_200004303_NUM_SH</v>
          </cell>
        </row>
        <row r="328">
          <cell r="A328" t="str">
            <v>Scalar|||200004303|||EQTY|||FREE_FLOAT|||False|||</v>
          </cell>
          <cell r="C328" t="str">
            <v>V_KEYWORD_EQTY_200004303_FREE_FLOAT</v>
          </cell>
        </row>
        <row r="329">
          <cell r="A329" t="str">
            <v>Scalar|||200004303|||EQTY|||CATALYST1_DATE|||True|||</v>
          </cell>
          <cell r="C329" t="str">
            <v>V_KEYWORD_EQTY_200004303_CATALYST1_DATE</v>
          </cell>
        </row>
        <row r="330">
          <cell r="A330" t="str">
            <v>Scalar|||200004303|||EQTY|||CATALYST1_EVENT|||False|||</v>
          </cell>
          <cell r="C330" t="str">
            <v>V_KEYWORD_EQTY_200004303_CATALYST1_EVENT</v>
          </cell>
        </row>
        <row r="331">
          <cell r="A331" t="str">
            <v>Scalar|||200004303|||EQTY|||CATALYST2_DATE|||True|||</v>
          </cell>
          <cell r="C331" t="str">
            <v>V_KEYWORD_EQTY_200004303_CATALYST2_DATE</v>
          </cell>
        </row>
        <row r="332">
          <cell r="A332" t="str">
            <v>Scalar|||200004303|||EQTY|||CATALYST2_EVENT|||False|||</v>
          </cell>
          <cell r="C332" t="str">
            <v>V_KEYWORD_EQTY_200004303_CATALYST2_EVENT</v>
          </cell>
        </row>
        <row r="333">
          <cell r="A333" t="str">
            <v>Scalar|||200004303|||EQTY|||CATALYST3_DATE|||True|||</v>
          </cell>
          <cell r="C333" t="str">
            <v>V_KEYWORD_EQTY_200004303_CATALYST3_DATE</v>
          </cell>
        </row>
        <row r="334">
          <cell r="A334" t="str">
            <v>Scalar|||200004303|||EQTY|||CATALYST3_EVENT|||False|||</v>
          </cell>
          <cell r="C334" t="str">
            <v>V_KEYWORD_EQTY_200004303_CATALYST3_EVENT</v>
          </cell>
        </row>
        <row r="335">
          <cell r="A335" t="str">
            <v>Scalar|||200004303|||EQTY|||CATALYST4_DATE|||True|||</v>
          </cell>
          <cell r="C335" t="str">
            <v>V_KEYWORD_EQTY_200004303_CATALYST4_DATE</v>
          </cell>
        </row>
        <row r="336">
          <cell r="A336" t="str">
            <v>Scalar|||200004303|||EQTY|||CATALYST4_EVENT|||False|||</v>
          </cell>
          <cell r="C336" t="str">
            <v>V_KEYWORD_EQTY_200004303_CATALYST4_EVENT</v>
          </cell>
        </row>
        <row r="337">
          <cell r="A337" t="str">
            <v>Scalar|||200004303|||EQTY|||CATALYST5_DATE|||True|||</v>
          </cell>
          <cell r="C337" t="str">
            <v>V_KEYWORD_EQTY_200004303_CATALYST5_DATE</v>
          </cell>
        </row>
        <row r="338">
          <cell r="A338" t="str">
            <v>Scalar|||200004303|||EQTY|||CATALYST5_EVENT|||False|||</v>
          </cell>
          <cell r="C338" t="str">
            <v>V_KEYWORD_EQTY_200004303_CATALYST5_EVENT</v>
          </cell>
        </row>
        <row r="339">
          <cell r="A339" t="str">
            <v>Scalar|||200004303|||EQTY|||PRI_TARG_MULT|||False|||</v>
          </cell>
          <cell r="C339" t="str">
            <v>V_KEYWORD_EQTY_200004303_PRI_TARG_MULT</v>
          </cell>
        </row>
        <row r="340">
          <cell r="A340" t="str">
            <v>Scalar|||200004303|||EQTY|||PRI_TARG_METH|||False|||</v>
          </cell>
          <cell r="C340" t="str">
            <v>V_KEYWORD_EQTY_200004303_PRI_TARG_METH</v>
          </cell>
        </row>
        <row r="341">
          <cell r="A341" t="str">
            <v>Scalar|||200004303|||EQTY|||DIV_POLICY|||False|||</v>
          </cell>
          <cell r="C341" t="str">
            <v>V_KEYWORD_EQTY_200004303_DIV_POLICY</v>
          </cell>
        </row>
        <row r="343">
          <cell r="A343" t="str">
            <v>Vector|||200004303|||EQTY|||BVPS_PUB|||False|||</v>
          </cell>
          <cell r="C343" t="str">
            <v>V_KEYWORD_EQTY_200004303_BVPS_PUB</v>
          </cell>
        </row>
        <row r="344">
          <cell r="A344" t="str">
            <v>Vector|||200004303|||EQTY|||DPS_PUB|||False|||</v>
          </cell>
          <cell r="C344" t="str">
            <v>V_KEYWORD_EQTY_200004303_DPS_PUB</v>
          </cell>
        </row>
        <row r="345">
          <cell r="A345" t="str">
            <v>Vector|||200004303|||EQTY|||DPS_SPECIAL_PUB|||False|||</v>
          </cell>
          <cell r="C345" t="str">
            <v>V_KEYWORD_EQTY_200004303_DPS_SPECIAL_PUB</v>
          </cell>
        </row>
        <row r="346">
          <cell r="A346" t="str">
            <v>Vector|||200004303|||EQTY|||EBITDA_PUB|||False|||</v>
          </cell>
          <cell r="C346" t="str">
            <v>V_KEYWORD_EQTY_200004303_EBITDA_PUB</v>
          </cell>
        </row>
        <row r="347">
          <cell r="A347" t="str">
            <v>Vector|||200004303|||EQTY|||EPS_PUB|||False|||</v>
          </cell>
          <cell r="C347" t="str">
            <v>V_KEYWORD_EQTY_200004303_EPS_PUB</v>
          </cell>
        </row>
        <row r="348">
          <cell r="A348" t="str">
            <v>Vector|||200004303|||EQTY|||EV_ADJ_PUB|||False|||</v>
          </cell>
          <cell r="C348" t="str">
            <v>V_KEYWORD_EQTY_200004303_EV_ADJ_PUB</v>
          </cell>
        </row>
        <row r="349">
          <cell r="A349" t="str">
            <v>Vector|||200004303|||EQTY|||NET_DEBT_PUB|||False|||</v>
          </cell>
          <cell r="C349" t="str">
            <v>V_KEYWORD_EQTY_200004303_NET_DEBT_PUB</v>
          </cell>
        </row>
        <row r="350">
          <cell r="A350" t="str">
            <v>Vector|||200004303|||EQTY|||NET_DEBT_EX_LEASES_PUB|||False|||</v>
          </cell>
          <cell r="C350" t="str">
            <v>V_KEYWORD_EQTY_200004303_NET_DEBT_EX_LEASES_PUB</v>
          </cell>
        </row>
        <row r="351">
          <cell r="A351" t="str">
            <v>Vector|||200004303|||EQTY|||CEEE_NDEBT|||False|||</v>
          </cell>
          <cell r="C351" t="str">
            <v>V_KEYWORD_EQTY_200004303_CEEE_NDEBT</v>
          </cell>
        </row>
        <row r="352">
          <cell r="A352" t="str">
            <v>Vector|||200004303|||EQTY|||NI_PUB|||False|||</v>
          </cell>
          <cell r="C352" t="str">
            <v>V_KEYWORD_EQTY_200004303_NI_PUB</v>
          </cell>
        </row>
        <row r="353">
          <cell r="A353" t="str">
            <v>Vector|||200004303|||EQTY|||EBIT_PUB|||False|||</v>
          </cell>
          <cell r="C353" t="str">
            <v>V_KEYWORD_EQTY_200004303_EBIT_PUB</v>
          </cell>
        </row>
        <row r="354">
          <cell r="A354" t="str">
            <v>Vector|||200004303|||EQTY|||PTP_PUB|||False|||</v>
          </cell>
          <cell r="C354" t="str">
            <v>V_KEYWORD_EQTY_200004303_PTP_PUB</v>
          </cell>
        </row>
        <row r="355">
          <cell r="A355" t="str">
            <v>Vector|||200004303|||EQTY|||REVS_PUB|||False|||</v>
          </cell>
          <cell r="C355" t="str">
            <v>V_KEYWORD_EQTY_200004303_REVS_PUB</v>
          </cell>
        </row>
        <row r="356">
          <cell r="A356" t="str">
            <v>Vector|||200004303|||EQTY|||EQ_PUB|||False|||</v>
          </cell>
          <cell r="C356" t="str">
            <v>V_KEYWORD_EQTY_200004303_EQ_PUB</v>
          </cell>
        </row>
        <row r="357">
          <cell r="A357" t="str">
            <v>Vector|||200004303|||EQTY|||REC_PFT_PUB|||False|||</v>
          </cell>
          <cell r="C357" t="str">
            <v>V_KEYWORD_EQTY_200004303_REC_PFT_PUB</v>
          </cell>
        </row>
        <row r="358">
          <cell r="A358" t="str">
            <v>Vector|||200004303|||EQTY|||OPS_PFT|||False|||</v>
          </cell>
          <cell r="C358" t="str">
            <v>V_KEYWORD_EQTY_200004303_OPS_PFT</v>
          </cell>
        </row>
        <row r="359">
          <cell r="A359" t="str">
            <v>Vector|||200004303|||EQTY|||PTP_REP|||False|||</v>
          </cell>
          <cell r="C359" t="str">
            <v>V_KEYWORD_EQTY_200004303_PTP_REP</v>
          </cell>
        </row>
        <row r="360">
          <cell r="A360" t="str">
            <v>Vector|||200004303|||EQTY|||REVS_COEST_PUB|||False|||</v>
          </cell>
          <cell r="C360" t="str">
            <v>V_KEYWORD_EQTY_200004303_REVS_COEST_PUB</v>
          </cell>
        </row>
        <row r="361">
          <cell r="A361" t="str">
            <v>Vector|||200004303|||EQTY|||EBITDA_COEST_PUB|||False|||</v>
          </cell>
          <cell r="C361" t="str">
            <v>V_KEYWORD_EQTY_200004303_EBITDA_COEST_PUB</v>
          </cell>
        </row>
        <row r="362">
          <cell r="A362" t="str">
            <v>Vector|||200004303|||EQTY|||EBIT_COEST_PUB|||False|||</v>
          </cell>
          <cell r="C362" t="str">
            <v>V_KEYWORD_EQTY_200004303_EBIT_COEST_PUB</v>
          </cell>
        </row>
        <row r="363">
          <cell r="A363" t="str">
            <v>Vector|||200004303|||EQTY|||PTP_COEST_PUB|||False|||</v>
          </cell>
          <cell r="C363" t="str">
            <v>V_KEYWORD_EQTY_200004303_PTP_COEST_PUB</v>
          </cell>
        </row>
        <row r="364">
          <cell r="A364" t="str">
            <v>Vector|||200004303|||EQTY|||REC_PFT_COEST_PUB|||False|||</v>
          </cell>
          <cell r="C364" t="str">
            <v>V_KEYWORD_EQTY_200004303_REC_PFT_COEST_PUB</v>
          </cell>
        </row>
        <row r="365">
          <cell r="A365" t="str">
            <v>Vector|||200004303|||EQTY|||NI_COEST_PUB|||False|||</v>
          </cell>
          <cell r="C365" t="str">
            <v>V_KEYWORD_EQTY_200004303_NI_COEST_PUB</v>
          </cell>
        </row>
        <row r="366">
          <cell r="A366" t="str">
            <v>Vector|||200004303|||EQTY|||EPS_COEST_PUB|||False|||</v>
          </cell>
          <cell r="C366" t="str">
            <v>V_KEYWORD_EQTY_200004303_EPS_COEST_PUB</v>
          </cell>
        </row>
        <row r="367">
          <cell r="A367" t="str">
            <v>Vector|||200004303|||EQTY|||REVS_CONS_PUB|||False|||</v>
          </cell>
          <cell r="C367" t="str">
            <v>V_KEYWORD_EQTY_200004303_REVS_CONS_PUB</v>
          </cell>
        </row>
        <row r="368">
          <cell r="A368" t="str">
            <v>Vector|||200004303|||EQTY|||REC_PFT_CONS_PUB|||False|||</v>
          </cell>
          <cell r="C368" t="str">
            <v>V_KEYWORD_EQTY_200004303_REC_PFT_CONS_PUB</v>
          </cell>
        </row>
        <row r="369">
          <cell r="A369" t="str">
            <v>Vector|||200004303|||EQTY|||EPS_CONS_PUB|||False|||</v>
          </cell>
          <cell r="C369" t="str">
            <v>V_KEYWORD_EQTY_200004303_EPS_CONS_PUB</v>
          </cell>
        </row>
        <row r="370">
          <cell r="A370" t="str">
            <v>Vector|||200004303|||EQTY|||DPS_CONS_PUB|||False|||</v>
          </cell>
          <cell r="C370" t="str">
            <v>V_KEYWORD_EQTY_200004303_DPS_CONS_PUB</v>
          </cell>
        </row>
        <row r="371">
          <cell r="A371" t="str">
            <v>Vector|||200004303|||EQTY|||OP_IMPACT_YEN_APPR_USD_PUB|||False|||</v>
          </cell>
          <cell r="C371" t="str">
            <v>V_KEYWORD_EQTY_200004303_OP_IMPACT_YEN_APPR_USD_PUB</v>
          </cell>
        </row>
        <row r="372">
          <cell r="A372" t="str">
            <v>Vector|||200004303|||EQTY|||OP_IMPACT_YEN_APPR_EUR_PUB|||False|||</v>
          </cell>
          <cell r="C372" t="str">
            <v>V_KEYWORD_EQTY_200004303_OP_IMPACT_YEN_APPR_EUR_PUB</v>
          </cell>
        </row>
        <row r="373">
          <cell r="A373" t="str">
            <v>Vector|||200004303|||EQTY|||NI_IMPACT_YEN_APPR_USD_PUB|||False|||</v>
          </cell>
          <cell r="C373" t="str">
            <v>V_KEYWORD_EQTY_200004303_NI_IMPACT_YEN_APPR_USD_PUB</v>
          </cell>
        </row>
        <row r="374">
          <cell r="A374" t="str">
            <v>Vector|||200004303|||EQTY|||NI_IMPACT_YEN_APPR_EUR_PUB|||False|||</v>
          </cell>
          <cell r="C374" t="str">
            <v>V_KEYWORD_EQTY_200004303_NI_IMPACT_YEN_APPR_EUR_PUB</v>
          </cell>
        </row>
        <row r="376">
          <cell r="A376" t="str">
            <v>Vector|||200004303|||EQTY|||PROV_INC_TAX|||False|||</v>
          </cell>
          <cell r="C376" t="str">
            <v>V_KEYWORD_EQTY_200004303_PROV_INC_TAX</v>
          </cell>
        </row>
        <row r="377">
          <cell r="A377" t="str">
            <v>Vector|||200004303|||EQTY|||INC_MINORITY|||False|||</v>
          </cell>
          <cell r="C377" t="str">
            <v>V_KEYWORD_EQTY_200004303_INC_MINORITY</v>
          </cell>
        </row>
        <row r="378">
          <cell r="A378" t="str">
            <v>Vector|||200004303|||EQTY|||NI_PRE_PREF|||False|||</v>
          </cell>
          <cell r="C378" t="str">
            <v>V_KEYWORD_EQTY_200004303_NI_PRE_PREF</v>
          </cell>
        </row>
        <row r="379">
          <cell r="A379" t="str">
            <v>Vector|||200004303|||EQTY|||PREF_DIV|||False|||</v>
          </cell>
          <cell r="C379" t="str">
            <v>V_KEYWORD_EQTY_200004303_PREF_DIV</v>
          </cell>
        </row>
        <row r="380">
          <cell r="A380" t="str">
            <v>Vector|||200004303|||EQTY|||NET_EARNING|||False|||</v>
          </cell>
          <cell r="C380" t="str">
            <v>V_KEYWORD_EQTY_200004303_NET_EARNING</v>
          </cell>
        </row>
        <row r="381">
          <cell r="A381" t="str">
            <v>Vector|||200004303|||EQTY|||TAX_EXC|||False|||</v>
          </cell>
          <cell r="C381" t="str">
            <v>V_KEYWORD_EQTY_200004303_TAX_EXC</v>
          </cell>
        </row>
        <row r="382">
          <cell r="A382" t="str">
            <v>Vector|||200004303|||EQTY|||NET_INC|||False|||</v>
          </cell>
          <cell r="C382" t="str">
            <v>V_KEYWORD_EQTY_200004303_NET_INC</v>
          </cell>
        </row>
        <row r="383">
          <cell r="A383" t="str">
            <v>Vector|||200004303|||EQTY|||EPS|||False|||</v>
          </cell>
          <cell r="C383" t="str">
            <v>V_KEYWORD_EQTY_200004303_EPS</v>
          </cell>
        </row>
        <row r="384">
          <cell r="A384" t="str">
            <v>Vector|||200004303|||EQTY|||EPS_FUL_DIL|||False|||</v>
          </cell>
          <cell r="C384" t="str">
            <v>V_KEYWORD_EQTY_200004303_EPS_FUL_DIL</v>
          </cell>
        </row>
        <row r="385">
          <cell r="A385" t="str">
            <v>Vector|||200004303|||EQTY|||EPS_POST_BASIC|||False|||</v>
          </cell>
          <cell r="C385" t="str">
            <v>V_KEYWORD_EQTY_200004303_EPS_POST_BASIC</v>
          </cell>
        </row>
        <row r="386">
          <cell r="A386" t="str">
            <v>Vector|||200004303|||EQTY|||FULLY_DIL_EPS|||False|||</v>
          </cell>
          <cell r="C386" t="str">
            <v>V_KEYWORD_EQTY_200004303_FULLY_DIL_EPS</v>
          </cell>
        </row>
        <row r="387">
          <cell r="A387" t="str">
            <v>Vector|||200004303|||EQTY|||COMMON_DIV_PAID|||False|||</v>
          </cell>
          <cell r="C387" t="str">
            <v>V_KEYWORD_EQTY_200004303_COMMON_DIV_PAID</v>
          </cell>
        </row>
        <row r="388">
          <cell r="A388" t="str">
            <v>Vector|||200004303|||EQTY|||DPS|||False|||</v>
          </cell>
          <cell r="C388" t="str">
            <v>V_KEYWORD_EQTY_200004303_DPS</v>
          </cell>
        </row>
        <row r="389">
          <cell r="A389" t="str">
            <v>Vector|||200004303|||EQTY|||SH|||False|||</v>
          </cell>
          <cell r="C389" t="str">
            <v>V_KEYWORD_EQTY_200004303_SH</v>
          </cell>
        </row>
        <row r="390">
          <cell r="A390" t="str">
            <v>Vector|||200004303|||EQTY|||DILUTE_SHARES|||False|||</v>
          </cell>
          <cell r="C390" t="str">
            <v>V_KEYWORD_EQTY_200004303_DILUTE_SHARES</v>
          </cell>
        </row>
        <row r="391">
          <cell r="A391" t="str">
            <v>Vector|||200004303|||EQTY|||NON_OP_ADD|||False|||</v>
          </cell>
          <cell r="C391" t="str">
            <v>V_KEYWORD_EQTY_200004303_NON_OP_ADD</v>
          </cell>
        </row>
        <row r="393">
          <cell r="A393" t="str">
            <v>Vector|||200004303|||EQTY|||MARGIN_TAX_RATE|||False|||</v>
          </cell>
          <cell r="C393" t="str">
            <v>V_KEYWORD_EQTY_200004303_MARGIN_TAX_RATE</v>
          </cell>
        </row>
        <row r="394">
          <cell r="A394" t="str">
            <v>Vector|||200004303|||EQTY|||EPS_BASIC_JPN|||False|||</v>
          </cell>
          <cell r="C394" t="str">
            <v>V_KEYWORD_EQTY_200004303_EPS_BASIC_JPN</v>
          </cell>
        </row>
        <row r="395">
          <cell r="A395" t="str">
            <v>Vector|||200004303|||EQTY|||EPS_FUL_DIL_JPN|||False|||</v>
          </cell>
          <cell r="C395" t="str">
            <v>V_KEYWORD_EQTY_200004303_EPS_FUL_DIL_JPN</v>
          </cell>
        </row>
        <row r="397">
          <cell r="A397" t="str">
            <v>Vector|||200004303|||EQTY|||BVPS|||False|||</v>
          </cell>
          <cell r="C397" t="str">
            <v>V_KEYWORD_EQTY_200004303_BVPS</v>
          </cell>
        </row>
      </sheetData>
      <sheetData sheetId="31">
        <row r="9">
          <cell r="B9" t="str">
            <v>Analyst Yen/USD assumption</v>
          </cell>
        </row>
      </sheetData>
      <sheetData sheetId="32" refreshError="1"/>
      <sheetData sheetId="33" refreshError="1"/>
      <sheetData sheetId="34">
        <row r="87">
          <cell r="AG87" t="str">
            <v>FY25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QP_8113.T"/>
      <sheetName val="Cover Sheet"/>
      <sheetName val="Val-Summary"/>
      <sheetName val="Valuation"/>
      <sheetName val="Segments for IRC"/>
      <sheetName val="Disclaimer"/>
      <sheetName val="Driver"/>
      <sheetName val="Model"/>
      <sheetName val="Segment "/>
      <sheetName val="Presentation Segments"/>
      <sheetName val="Raw Data"/>
      <sheetName val="Quarterly"/>
      <sheetName val="Cover"/>
      <sheetName val="8113.T_Exchange_Sheet"/>
      <sheetName val="Asia Details"/>
      <sheetName val="Model for paste"/>
      <sheetName val="report cover"/>
      <sheetName val="Segments for report"/>
      <sheetName val="Segments by area"/>
      <sheetName val="Ratios"/>
      <sheetName val="EV 2022"/>
      <sheetName val="Asia OP"/>
      <sheetName val="Sheet1"/>
      <sheetName val="8113.T_Live_Sheet"/>
      <sheetName val="8113.T_Validation_Sheet"/>
      <sheetName val="8113.T_Annotation_Sheet"/>
      <sheetName val="Director's cut FY18"/>
      <sheetName val="Director's cut FY17"/>
      <sheetName val="OGG"/>
      <sheetName val="Sheet5"/>
      <sheetName val="Sheet4"/>
      <sheetName val="QP_8113.T_migrated"/>
      <sheetName val="Q"/>
      <sheetName val="H"/>
      <sheetName val="additional keywords"/>
      <sheetName val="Act Vs Est"/>
      <sheetName val="Market Data"/>
      <sheetName val="Monthly"/>
      <sheetName val="Q(E)"/>
      <sheetName val="Monthly (2)"/>
      <sheetName val="H(E)"/>
      <sheetName val="Director's c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Issuer: Unicharm</v>
          </cell>
          <cell r="F1">
            <v>1995</v>
          </cell>
          <cell r="G1">
            <v>1996</v>
          </cell>
          <cell r="H1">
            <v>1997</v>
          </cell>
          <cell r="I1">
            <v>1998</v>
          </cell>
          <cell r="J1">
            <v>1999</v>
          </cell>
          <cell r="K1">
            <v>2000</v>
          </cell>
          <cell r="L1">
            <v>2001</v>
          </cell>
          <cell r="M1">
            <v>2002</v>
          </cell>
          <cell r="N1">
            <v>2003</v>
          </cell>
          <cell r="O1">
            <v>2004</v>
          </cell>
          <cell r="P1">
            <v>2005</v>
          </cell>
          <cell r="Q1">
            <v>2006</v>
          </cell>
          <cell r="R1" t="str">
            <v>2007 Q1</v>
          </cell>
          <cell r="S1" t="str">
            <v>2007 Q2</v>
          </cell>
          <cell r="T1" t="str">
            <v>2007 Q3</v>
          </cell>
          <cell r="U1" t="str">
            <v>2007 Q4</v>
          </cell>
          <cell r="V1">
            <v>2007</v>
          </cell>
          <cell r="W1" t="str">
            <v>2008 Q1</v>
          </cell>
          <cell r="X1" t="str">
            <v>2008 Q2</v>
          </cell>
          <cell r="Y1" t="str">
            <v>2008 Q3</v>
          </cell>
          <cell r="Z1" t="str">
            <v>2008 Q4</v>
          </cell>
          <cell r="AA1">
            <v>2008</v>
          </cell>
          <cell r="AB1" t="str">
            <v>2009 Q1</v>
          </cell>
          <cell r="AC1" t="str">
            <v>2009 Q2</v>
          </cell>
          <cell r="AD1" t="str">
            <v>2009 Q3</v>
          </cell>
          <cell r="AE1" t="str">
            <v>2009 Q4</v>
          </cell>
          <cell r="AF1">
            <v>2009</v>
          </cell>
          <cell r="AG1" t="str">
            <v>2010 Q1</v>
          </cell>
          <cell r="AH1" t="str">
            <v>2010 Q2</v>
          </cell>
          <cell r="AI1" t="str">
            <v>2010 Q3</v>
          </cell>
          <cell r="AJ1" t="str">
            <v>2010 Q4</v>
          </cell>
          <cell r="AK1">
            <v>2010</v>
          </cell>
          <cell r="AL1" t="str">
            <v>2011 Q1</v>
          </cell>
          <cell r="AM1" t="str">
            <v>2011 Q2</v>
          </cell>
          <cell r="AN1" t="str">
            <v>2011 Q3</v>
          </cell>
          <cell r="AO1" t="str">
            <v>2011 Q4</v>
          </cell>
          <cell r="AP1">
            <v>2011</v>
          </cell>
          <cell r="AQ1" t="str">
            <v>2012 Q1</v>
          </cell>
          <cell r="AR1" t="str">
            <v>2012 Q2</v>
          </cell>
          <cell r="AS1" t="str">
            <v>2012 Q3</v>
          </cell>
          <cell r="AT1" t="str">
            <v>2012 Q4</v>
          </cell>
          <cell r="AU1">
            <v>2012</v>
          </cell>
          <cell r="AV1" t="str">
            <v>2013 Q1</v>
          </cell>
          <cell r="AW1" t="str">
            <v>2013 Q2</v>
          </cell>
          <cell r="AX1" t="str">
            <v>2013 Q3</v>
          </cell>
          <cell r="AY1" t="str">
            <v>2013 Q4</v>
          </cell>
          <cell r="AZ1">
            <v>2013</v>
          </cell>
          <cell r="BA1" t="str">
            <v>2014 Q1</v>
          </cell>
          <cell r="BB1" t="str">
            <v>2014 Q2</v>
          </cell>
          <cell r="BC1" t="str">
            <v>2014 Q3</v>
          </cell>
          <cell r="BD1" t="str">
            <v>2014 Q4</v>
          </cell>
          <cell r="BE1">
            <v>2014</v>
          </cell>
          <cell r="BF1" t="str">
            <v>2015 Q1</v>
          </cell>
          <cell r="BG1" t="str">
            <v>2015 Q2</v>
          </cell>
          <cell r="BH1" t="str">
            <v>2015 Q3</v>
          </cell>
          <cell r="BI1" t="str">
            <v>2015 Q4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Actual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Actual</v>
          </cell>
          <cell r="T2" t="str">
            <v>Actual</v>
          </cell>
          <cell r="U2" t="str">
            <v>Actual</v>
          </cell>
          <cell r="V2" t="str">
            <v>Actual</v>
          </cell>
          <cell r="W2" t="str">
            <v>Actual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  <cell r="AC2" t="str">
            <v>Actual</v>
          </cell>
          <cell r="AD2" t="str">
            <v>Actual</v>
          </cell>
          <cell r="AE2" t="str">
            <v>Actual</v>
          </cell>
          <cell r="AF2" t="str">
            <v>Actual</v>
          </cell>
          <cell r="AG2" t="str">
            <v>Actual</v>
          </cell>
          <cell r="AH2" t="str">
            <v>Actual</v>
          </cell>
          <cell r="AI2" t="str">
            <v>Actual</v>
          </cell>
          <cell r="AJ2" t="str">
            <v>Actual</v>
          </cell>
          <cell r="AK2" t="str">
            <v>Actual</v>
          </cell>
          <cell r="AL2" t="str">
            <v>Actual</v>
          </cell>
          <cell r="AM2" t="str">
            <v>Actual</v>
          </cell>
          <cell r="AN2" t="str">
            <v>Actual</v>
          </cell>
          <cell r="AO2" t="str">
            <v>Actual</v>
          </cell>
          <cell r="AP2" t="str">
            <v>Actual</v>
          </cell>
          <cell r="AQ2" t="str">
            <v>Actual</v>
          </cell>
          <cell r="AR2" t="str">
            <v>Actual</v>
          </cell>
          <cell r="AS2" t="str">
            <v>Actual</v>
          </cell>
          <cell r="AT2" t="str">
            <v>Actual</v>
          </cell>
          <cell r="AU2" t="str">
            <v>Actual</v>
          </cell>
          <cell r="AV2" t="str">
            <v>Actual</v>
          </cell>
          <cell r="AW2" t="str">
            <v>Actual</v>
          </cell>
          <cell r="AX2" t="str">
            <v>Actual</v>
          </cell>
          <cell r="AY2" t="str">
            <v>Actual</v>
          </cell>
          <cell r="AZ2" t="str">
            <v>Actual</v>
          </cell>
          <cell r="BA2" t="str">
            <v>Actual</v>
          </cell>
          <cell r="BB2" t="str">
            <v>Actual</v>
          </cell>
          <cell r="BC2" t="str">
            <v>Actual</v>
          </cell>
          <cell r="BD2" t="str">
            <v>Actual</v>
          </cell>
          <cell r="BE2" t="str">
            <v>Actual</v>
          </cell>
          <cell r="BF2" t="str">
            <v>Actual</v>
          </cell>
          <cell r="BG2" t="str">
            <v>Actual</v>
          </cell>
          <cell r="BH2" t="str">
            <v>Actual</v>
          </cell>
          <cell r="BI2" t="str">
            <v>Actual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F3">
            <v>35064</v>
          </cell>
          <cell r="G3">
            <v>35430</v>
          </cell>
          <cell r="H3">
            <v>35795</v>
          </cell>
          <cell r="I3">
            <v>36160</v>
          </cell>
          <cell r="J3">
            <v>36525</v>
          </cell>
          <cell r="K3">
            <v>36891</v>
          </cell>
          <cell r="L3">
            <v>37256</v>
          </cell>
          <cell r="M3">
            <v>37621</v>
          </cell>
          <cell r="N3">
            <v>37986</v>
          </cell>
          <cell r="O3">
            <v>38352</v>
          </cell>
          <cell r="P3">
            <v>38717</v>
          </cell>
          <cell r="Q3">
            <v>39082</v>
          </cell>
          <cell r="R3">
            <v>39172</v>
          </cell>
          <cell r="S3">
            <v>39263</v>
          </cell>
          <cell r="T3">
            <v>39355</v>
          </cell>
          <cell r="U3">
            <v>39447</v>
          </cell>
          <cell r="V3">
            <v>39447</v>
          </cell>
          <cell r="W3">
            <v>39538</v>
          </cell>
          <cell r="X3">
            <v>39629</v>
          </cell>
          <cell r="Y3">
            <v>39721</v>
          </cell>
          <cell r="Z3">
            <v>39813</v>
          </cell>
          <cell r="AA3">
            <v>39813</v>
          </cell>
          <cell r="AB3">
            <v>39903</v>
          </cell>
          <cell r="AC3">
            <v>39994</v>
          </cell>
          <cell r="AD3">
            <v>40086</v>
          </cell>
          <cell r="AE3">
            <v>40178</v>
          </cell>
          <cell r="AF3">
            <v>40178</v>
          </cell>
          <cell r="AG3">
            <v>40268</v>
          </cell>
          <cell r="AH3">
            <v>40359</v>
          </cell>
          <cell r="AI3">
            <v>40451</v>
          </cell>
          <cell r="AJ3">
            <v>40543</v>
          </cell>
          <cell r="AK3">
            <v>40543</v>
          </cell>
          <cell r="AL3">
            <v>40633</v>
          </cell>
          <cell r="AM3">
            <v>40724</v>
          </cell>
          <cell r="AN3">
            <v>40816</v>
          </cell>
          <cell r="AO3">
            <v>40908</v>
          </cell>
          <cell r="AP3">
            <v>40908</v>
          </cell>
          <cell r="AQ3">
            <v>40999</v>
          </cell>
          <cell r="AR3">
            <v>41090</v>
          </cell>
          <cell r="AS3">
            <v>41182</v>
          </cell>
          <cell r="AT3">
            <v>41274</v>
          </cell>
          <cell r="AU3">
            <v>41274</v>
          </cell>
          <cell r="AV3">
            <v>41364</v>
          </cell>
          <cell r="AW3">
            <v>41455</v>
          </cell>
          <cell r="AX3">
            <v>41547</v>
          </cell>
          <cell r="AY3">
            <v>41639</v>
          </cell>
          <cell r="AZ3">
            <v>41639</v>
          </cell>
          <cell r="BA3">
            <v>41729</v>
          </cell>
          <cell r="BB3">
            <v>41820</v>
          </cell>
          <cell r="BC3">
            <v>41912</v>
          </cell>
          <cell r="BD3">
            <v>42004</v>
          </cell>
          <cell r="BE3">
            <v>42004</v>
          </cell>
          <cell r="BF3">
            <v>42094</v>
          </cell>
          <cell r="BG3">
            <v>42185</v>
          </cell>
          <cell r="BH3">
            <v>42277</v>
          </cell>
          <cell r="BI3">
            <v>42369</v>
          </cell>
        </row>
        <row r="4">
          <cell r="A4" t="str">
            <v>Issuer: Unicharm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Reference Data</v>
          </cell>
          <cell r="B5">
            <v>0</v>
          </cell>
          <cell r="C5">
            <v>0</v>
          </cell>
          <cell r="D5">
            <v>0</v>
          </cell>
        </row>
        <row r="6">
          <cell r="B6" t="str">
            <v>Issuer Name</v>
          </cell>
          <cell r="C6" t="str">
            <v>Issuer Name</v>
          </cell>
          <cell r="E6" t="str">
            <v>Unicharm</v>
          </cell>
        </row>
        <row r="7">
          <cell r="B7" t="str">
            <v>Reporting Currency</v>
          </cell>
          <cell r="C7" t="str">
            <v>CURRENCY_ISO</v>
          </cell>
          <cell r="E7" t="str">
            <v>JPY</v>
          </cell>
        </row>
        <row r="8">
          <cell r="A8" t="str">
            <v>General Information</v>
          </cell>
          <cell r="B8">
            <v>0</v>
          </cell>
          <cell r="C8">
            <v>0</v>
          </cell>
          <cell r="D8">
            <v>0</v>
          </cell>
        </row>
        <row r="9">
          <cell r="B9" t="str">
            <v>Analyst Yen/USD assumption</v>
          </cell>
          <cell r="C9" t="str">
            <v>ASS_YEN_PER_USD_FX</v>
          </cell>
          <cell r="E9">
            <v>110</v>
          </cell>
        </row>
        <row r="10">
          <cell r="B10" t="str">
            <v>Analyst Yen/Euro assumption</v>
          </cell>
          <cell r="C10" t="str">
            <v>ASS_YEN_PER_EUR_FX</v>
          </cell>
          <cell r="E10">
            <v>125</v>
          </cell>
        </row>
        <row r="11">
          <cell r="B11" t="str">
            <v>M&amp;A probability (1 = high, 3 = low)</v>
          </cell>
          <cell r="C11" t="str">
            <v>MA_PROB</v>
          </cell>
          <cell r="E11">
            <v>3</v>
          </cell>
        </row>
        <row r="12">
          <cell r="B12" t="str">
            <v>Analyst USD rate assumption vs reporting currency</v>
          </cell>
          <cell r="C12" t="str">
            <v>FX_USD_ASSUMPTION</v>
          </cell>
          <cell r="E12">
            <v>0</v>
          </cell>
        </row>
        <row r="13">
          <cell r="B13" t="str">
            <v>Analyst EUR rate assumption vs reporting currency</v>
          </cell>
          <cell r="C13" t="str">
            <v>FX_EUR_ASSUMPTION</v>
          </cell>
          <cell r="E13">
            <v>0</v>
          </cell>
        </row>
        <row r="14">
          <cell r="A14" t="str">
            <v>Publishing Items</v>
          </cell>
          <cell r="B14">
            <v>0</v>
          </cell>
          <cell r="C14">
            <v>0</v>
          </cell>
          <cell r="D14">
            <v>0</v>
          </cell>
        </row>
        <row r="15">
          <cell r="B15" t="str">
            <v>COE Yen/USD</v>
          </cell>
          <cell r="C15" t="str">
            <v>COE_YEN_PER_US_AVG_FX_PUB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90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</row>
        <row r="16">
          <cell r="B16" t="str">
            <v>COE Yen/EUR</v>
          </cell>
          <cell r="C16" t="str">
            <v>COE_YEN_PER_EUR_AVG_FX_PUB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123.6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</row>
        <row r="17">
          <cell r="A17" t="str">
            <v>Income Statement</v>
          </cell>
          <cell r="B17">
            <v>0</v>
          </cell>
          <cell r="C17">
            <v>0</v>
          </cell>
          <cell r="D17">
            <v>0</v>
          </cell>
        </row>
        <row r="18">
          <cell r="B18" t="str">
            <v>Sales, net revenue</v>
          </cell>
          <cell r="C18" t="str">
            <v>SALES</v>
          </cell>
          <cell r="D18" t="str">
            <v>JPY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212198</v>
          </cell>
          <cell r="L18">
            <v>206707</v>
          </cell>
          <cell r="M18">
            <v>223168</v>
          </cell>
          <cell r="N18">
            <v>240109</v>
          </cell>
          <cell r="O18">
            <v>246050</v>
          </cell>
          <cell r="P18">
            <v>270380</v>
          </cell>
          <cell r="Q18">
            <v>301880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336864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347849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356825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376947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428391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495771</v>
          </cell>
          <cell r="AV18">
            <v>143761</v>
          </cell>
          <cell r="AW18">
            <v>142857</v>
          </cell>
          <cell r="AX18">
            <v>152360</v>
          </cell>
          <cell r="AY18">
            <v>160477</v>
          </cell>
          <cell r="AZ18">
            <v>599455</v>
          </cell>
          <cell r="BA18">
            <v>0</v>
          </cell>
          <cell r="BB18">
            <v>195709</v>
          </cell>
          <cell r="BC18">
            <v>161117</v>
          </cell>
          <cell r="BD18">
            <v>196835</v>
          </cell>
          <cell r="BE18">
            <v>553661</v>
          </cell>
          <cell r="BF18">
            <v>177558</v>
          </cell>
          <cell r="BG18">
            <v>181251</v>
          </cell>
          <cell r="BH18">
            <v>170262</v>
          </cell>
          <cell r="BI18">
            <v>209636</v>
          </cell>
        </row>
        <row r="19">
          <cell r="B19" t="str">
            <v>Cost of goods sold, COGS</v>
          </cell>
          <cell r="C19" t="str">
            <v>COST_GD_SD</v>
          </cell>
          <cell r="D19" t="str">
            <v>JPY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-115822</v>
          </cell>
          <cell r="L19">
            <v>-113546</v>
          </cell>
          <cell r="M19">
            <v>-123882</v>
          </cell>
          <cell r="N19">
            <v>-132074</v>
          </cell>
          <cell r="O19">
            <v>-137341</v>
          </cell>
          <cell r="P19">
            <v>-153264</v>
          </cell>
          <cell r="Q19">
            <v>-173238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-196130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-206209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-193012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-203394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-233936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-268744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-331807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-308421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</row>
        <row r="20">
          <cell r="B20" t="str">
            <v>SG&amp;A, selling, general and admin. expense</v>
          </cell>
          <cell r="C20" t="str">
            <v>SEL_GL_AD</v>
          </cell>
          <cell r="D20" t="str">
            <v>JPY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-75544</v>
          </cell>
          <cell r="L20">
            <v>-74187</v>
          </cell>
          <cell r="M20">
            <v>-73492</v>
          </cell>
          <cell r="N20">
            <v>-77309</v>
          </cell>
          <cell r="O20">
            <v>-81424</v>
          </cell>
          <cell r="P20">
            <v>-88584</v>
          </cell>
          <cell r="Q20">
            <v>-98711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-107002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-106756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-118747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-126991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-142554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-167539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-200408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-183892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</row>
        <row r="21">
          <cell r="B21" t="str">
            <v>Total operating expense</v>
          </cell>
          <cell r="C21" t="str">
            <v>OP_COST</v>
          </cell>
          <cell r="D21" t="str">
            <v>JPY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-191366</v>
          </cell>
          <cell r="L21">
            <v>-187733</v>
          </cell>
          <cell r="M21">
            <v>-197374</v>
          </cell>
          <cell r="N21">
            <v>-209383</v>
          </cell>
          <cell r="O21">
            <v>-218765</v>
          </cell>
          <cell r="P21">
            <v>-241848</v>
          </cell>
          <cell r="Q21">
            <v>-271949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-303132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-312965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-311759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-330385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-376490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-436283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-532215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-492313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</row>
        <row r="22">
          <cell r="B22" t="str">
            <v>R&amp;D expense</v>
          </cell>
          <cell r="C22" t="str">
            <v>RD_EXP</v>
          </cell>
          <cell r="D22" t="str">
            <v>JPY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-5099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</row>
        <row r="23">
          <cell r="B23" t="str">
            <v>Other operating income/(expense) (incl. leases)</v>
          </cell>
          <cell r="C23" t="str">
            <v>OTH_OP_INC_EXP</v>
          </cell>
          <cell r="D23" t="str">
            <v>JPY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</row>
        <row r="24">
          <cell r="B24" t="str">
            <v>Total operating expense (incl. D&amp;A)</v>
          </cell>
          <cell r="C24" t="str">
            <v>TOT_OPS_EXP_DDA</v>
          </cell>
          <cell r="D24" t="str">
            <v>JPY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-191366</v>
          </cell>
          <cell r="L24">
            <v>-187733</v>
          </cell>
          <cell r="M24">
            <v>-197374</v>
          </cell>
          <cell r="N24">
            <v>-209383</v>
          </cell>
          <cell r="O24">
            <v>-218765</v>
          </cell>
          <cell r="P24">
            <v>-241848</v>
          </cell>
          <cell r="Q24">
            <v>-271949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-303132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-312965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-311759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-330385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-376490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-436283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-532215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-492313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</row>
        <row r="25">
          <cell r="B25" t="str">
            <v>Total operating expense (excl. D&amp;A)</v>
          </cell>
          <cell r="C25" t="str">
            <v>TOT_OPS_EXP</v>
          </cell>
          <cell r="D25" t="str">
            <v>JPY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-180731</v>
          </cell>
          <cell r="L25">
            <v>-177233</v>
          </cell>
          <cell r="M25">
            <v>-186351</v>
          </cell>
          <cell r="N25">
            <v>-197767</v>
          </cell>
          <cell r="O25">
            <v>-206436</v>
          </cell>
          <cell r="P25">
            <v>-228786</v>
          </cell>
          <cell r="Q25">
            <v>-258765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-288092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-295864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-295366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-313005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-359334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-415230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-500911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-468151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</row>
        <row r="26">
          <cell r="B26" t="str">
            <v>EBITDA</v>
          </cell>
          <cell r="C26" t="str">
            <v>EBITDA_CALC</v>
          </cell>
          <cell r="D26" t="str">
            <v>JPY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31467</v>
          </cell>
          <cell r="L26">
            <v>29474</v>
          </cell>
          <cell r="M26">
            <v>36817</v>
          </cell>
          <cell r="N26">
            <v>42342</v>
          </cell>
          <cell r="O26">
            <v>39614</v>
          </cell>
          <cell r="P26">
            <v>41594</v>
          </cell>
          <cell r="Q26">
            <v>43115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48772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51985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61459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63942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69057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80541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98544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85510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</row>
        <row r="27">
          <cell r="B27" t="str">
            <v>Depreciation</v>
          </cell>
          <cell r="C27" t="str">
            <v>DEPREC</v>
          </cell>
          <cell r="D27" t="str">
            <v>JPY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-10635</v>
          </cell>
          <cell r="L27">
            <v>-10500</v>
          </cell>
          <cell r="M27">
            <v>-11023</v>
          </cell>
          <cell r="N27">
            <v>-11616</v>
          </cell>
          <cell r="O27">
            <v>-12329</v>
          </cell>
          <cell r="P27">
            <v>-13062</v>
          </cell>
          <cell r="Q27">
            <v>-13184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-15040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-17101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-16393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-14620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-13257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-16814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-22101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-20393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</row>
        <row r="28">
          <cell r="B28" t="str">
            <v>Amortization</v>
          </cell>
          <cell r="C28" t="str">
            <v>GOODWILL_AMORT</v>
          </cell>
          <cell r="D28" t="str">
            <v>JPY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-2760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-3899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-4239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-9203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-3769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</row>
        <row r="29">
          <cell r="B29" t="str">
            <v>EBIT, operating profit</v>
          </cell>
          <cell r="C29" t="str">
            <v>EBIT</v>
          </cell>
          <cell r="D29" t="str">
            <v>JPY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20832</v>
          </cell>
          <cell r="L29">
            <v>18974</v>
          </cell>
          <cell r="M29">
            <v>25794</v>
          </cell>
          <cell r="N29">
            <v>30726</v>
          </cell>
          <cell r="O29">
            <v>27285</v>
          </cell>
          <cell r="P29">
            <v>28532</v>
          </cell>
          <cell r="Q29">
            <v>29931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33732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34884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45066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46562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51901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59488</v>
          </cell>
          <cell r="AV29">
            <v>17653</v>
          </cell>
          <cell r="AW29">
            <v>14392</v>
          </cell>
          <cell r="AX29">
            <v>17150</v>
          </cell>
          <cell r="AY29">
            <v>18045</v>
          </cell>
          <cell r="AZ29">
            <v>67240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61348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</row>
        <row r="30">
          <cell r="B30" t="str">
            <v>Interest income</v>
          </cell>
          <cell r="C30" t="str">
            <v>INT_INC_IND</v>
          </cell>
          <cell r="D30" t="str">
            <v>JPY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312</v>
          </cell>
          <cell r="L30">
            <v>192</v>
          </cell>
          <cell r="M30">
            <v>319</v>
          </cell>
          <cell r="N30">
            <v>504</v>
          </cell>
          <cell r="O30">
            <v>506</v>
          </cell>
          <cell r="P30">
            <v>493</v>
          </cell>
          <cell r="Q30">
            <v>852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1023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966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752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867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1013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1210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1664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1643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</row>
        <row r="31">
          <cell r="B31" t="str">
            <v>Interest expense</v>
          </cell>
          <cell r="C31" t="str">
            <v>INT_EXP_IND</v>
          </cell>
          <cell r="D31" t="str">
            <v>JPY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-386</v>
          </cell>
          <cell r="L31">
            <v>-332</v>
          </cell>
          <cell r="M31">
            <v>-360</v>
          </cell>
          <cell r="N31">
            <v>-297</v>
          </cell>
          <cell r="O31">
            <v>-315</v>
          </cell>
          <cell r="P31">
            <v>-304</v>
          </cell>
          <cell r="Q31">
            <v>-412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-457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-310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-154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-310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-460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-284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-358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-287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</row>
        <row r="32">
          <cell r="B32" t="str">
            <v>Net interest income/(expense)</v>
          </cell>
          <cell r="C32" t="str">
            <v>NET_INT_EXP</v>
          </cell>
          <cell r="D32" t="str">
            <v>JPY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-74</v>
          </cell>
          <cell r="L32">
            <v>-140</v>
          </cell>
          <cell r="M32">
            <v>-41</v>
          </cell>
          <cell r="N32">
            <v>207</v>
          </cell>
          <cell r="O32">
            <v>191</v>
          </cell>
          <cell r="P32">
            <v>189</v>
          </cell>
          <cell r="Q32">
            <v>440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566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656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598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557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553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926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1306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1356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</row>
        <row r="33">
          <cell r="B33" t="str">
            <v>Income/(loss) from unconsolidated subs &amp; associates</v>
          </cell>
          <cell r="C33" t="str">
            <v>ASSOCIATE</v>
          </cell>
          <cell r="D33" t="str">
            <v>JPY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</row>
        <row r="34">
          <cell r="B34" t="str">
            <v>Profit/(loss) on disposals of assets, pre-tax</v>
          </cell>
          <cell r="C34" t="str">
            <v>PROFIT_ON_DISP</v>
          </cell>
          <cell r="D34" t="str">
            <v>JPY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-619</v>
          </cell>
          <cell r="R34">
            <v>-619</v>
          </cell>
          <cell r="S34">
            <v>-714</v>
          </cell>
          <cell r="T34">
            <v>-708</v>
          </cell>
          <cell r="U34">
            <v>-649</v>
          </cell>
          <cell r="V34">
            <v>-714</v>
          </cell>
          <cell r="W34">
            <v>-1326</v>
          </cell>
          <cell r="X34">
            <v>-1326</v>
          </cell>
          <cell r="Y34">
            <v>-1326</v>
          </cell>
          <cell r="Z34">
            <v>-1326</v>
          </cell>
          <cell r="AA34">
            <v>-708</v>
          </cell>
          <cell r="AB34">
            <v>0</v>
          </cell>
          <cell r="AC34">
            <v>0</v>
          </cell>
          <cell r="AD34">
            <v>0</v>
          </cell>
          <cell r="AE34" t="e">
            <v>#REF!</v>
          </cell>
          <cell r="AF34">
            <v>-649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217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-1326</v>
          </cell>
          <cell r="AQ34" t="e">
            <v>#REF!</v>
          </cell>
          <cell r="AR34">
            <v>0</v>
          </cell>
          <cell r="AS34">
            <v>0</v>
          </cell>
          <cell r="AT34">
            <v>0</v>
          </cell>
          <cell r="AU34">
            <v>-1326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-1326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-1326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</row>
        <row r="35">
          <cell r="B35" t="str">
            <v>Other non-ops income/(expense)</v>
          </cell>
          <cell r="C35" t="str">
            <v>OTH_COST_INC</v>
          </cell>
          <cell r="D35" t="str">
            <v>JPY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-1941</v>
          </cell>
          <cell r="L35">
            <v>-2603</v>
          </cell>
          <cell r="M35">
            <v>-2855</v>
          </cell>
          <cell r="N35">
            <v>-1227</v>
          </cell>
          <cell r="O35">
            <v>1121</v>
          </cell>
          <cell r="P35">
            <v>-154</v>
          </cell>
          <cell r="Q35">
            <v>-672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-1690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-7376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-1068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-4040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-5555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5195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682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8648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</row>
        <row r="36">
          <cell r="B36" t="str">
            <v>Pre-tax profit</v>
          </cell>
          <cell r="C36" t="str">
            <v>PT_PROF</v>
          </cell>
          <cell r="D36" t="str">
            <v>JPY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18817</v>
          </cell>
          <cell r="L36">
            <v>16231</v>
          </cell>
          <cell r="M36">
            <v>22898</v>
          </cell>
          <cell r="N36">
            <v>29706</v>
          </cell>
          <cell r="O36">
            <v>28597</v>
          </cell>
          <cell r="P36">
            <v>28567</v>
          </cell>
          <cell r="Q36">
            <v>29080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31894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27456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43947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43296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45573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64283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67902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70026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</row>
        <row r="37">
          <cell r="A37" t="str">
            <v>Additional Income Statement Items</v>
          </cell>
          <cell r="B37">
            <v>0</v>
          </cell>
          <cell r="C37">
            <v>0</v>
          </cell>
          <cell r="D37">
            <v>0</v>
          </cell>
        </row>
        <row r="38">
          <cell r="B38" t="str">
            <v>Contribution margin ratio</v>
          </cell>
          <cell r="C38" t="str">
            <v>CONTRIB_MARGIN_RATIO</v>
          </cell>
          <cell r="D38" t="str">
            <v>JPY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</row>
        <row r="39">
          <cell r="B39" t="str">
            <v>Organic sales growth (excl. acquisitions)</v>
          </cell>
          <cell r="C39" t="str">
            <v>ORG_REV_GRTH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0.15728621749756644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0.20913687972874584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</row>
        <row r="40">
          <cell r="B40" t="str">
            <v>Lease payments</v>
          </cell>
          <cell r="C40" t="str">
            <v>LEASE_PAY</v>
          </cell>
          <cell r="D40" t="str">
            <v>JPY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</row>
        <row r="41">
          <cell r="B41" t="str">
            <v>Lease payments (deemed interest portion)</v>
          </cell>
          <cell r="C41" t="str">
            <v>LEASE_DEEM_INT</v>
          </cell>
          <cell r="D41" t="str">
            <v>JPY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</row>
        <row r="42">
          <cell r="B42" t="str">
            <v>Lease payments (deemed depreciation portion)</v>
          </cell>
          <cell r="C42" t="str">
            <v>LEASE_DEEM_DEPR</v>
          </cell>
          <cell r="D42" t="str">
            <v>JPY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</row>
        <row r="43">
          <cell r="B43" t="str">
            <v>Gross interest charge</v>
          </cell>
          <cell r="C43" t="str">
            <v>NET_INT_CH</v>
          </cell>
          <cell r="D43" t="str">
            <v>JPY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-386</v>
          </cell>
          <cell r="L43">
            <v>-332</v>
          </cell>
          <cell r="M43">
            <v>-360</v>
          </cell>
          <cell r="N43">
            <v>-297</v>
          </cell>
          <cell r="O43">
            <v>-315</v>
          </cell>
          <cell r="P43">
            <v>-304</v>
          </cell>
          <cell r="Q43">
            <v>-412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-457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-310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-154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-310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-460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-284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-358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-287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</row>
        <row r="44">
          <cell r="B44" t="str">
            <v>Income from associates (operating)</v>
          </cell>
          <cell r="C44" t="str">
            <v>ASSOCIATE_OP</v>
          </cell>
          <cell r="D44" t="str">
            <v>JPY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</row>
        <row r="45">
          <cell r="B45" t="str">
            <v>SG&amp;A, selling, general and admin. expense</v>
          </cell>
          <cell r="C45" t="str">
            <v>SGA_JPN</v>
          </cell>
          <cell r="D45" t="str">
            <v>JPY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-75544</v>
          </cell>
          <cell r="L45">
            <v>-74187</v>
          </cell>
          <cell r="M45">
            <v>-73492</v>
          </cell>
          <cell r="N45">
            <v>-77309</v>
          </cell>
          <cell r="O45">
            <v>-81424</v>
          </cell>
          <cell r="P45">
            <v>-88584</v>
          </cell>
          <cell r="Q45">
            <v>-98711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-107002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-106756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-118747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-126991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-142554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-167539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-205507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-183892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</row>
        <row r="46">
          <cell r="B46" t="str">
            <v>Gross profit</v>
          </cell>
          <cell r="C46" t="str">
            <v>GP_JPN</v>
          </cell>
          <cell r="D46" t="str">
            <v>JPY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96376</v>
          </cell>
          <cell r="L46">
            <v>93161</v>
          </cell>
          <cell r="M46">
            <v>99286</v>
          </cell>
          <cell r="N46">
            <v>108035</v>
          </cell>
          <cell r="O46">
            <v>108709</v>
          </cell>
          <cell r="P46">
            <v>117116</v>
          </cell>
          <cell r="Q46">
            <v>128642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140734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141640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163813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173553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194455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227027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267648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245240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</row>
        <row r="47">
          <cell r="B47" t="str">
            <v>EBITDA adjustment</v>
          </cell>
          <cell r="C47" t="str">
            <v>EBITDA_ADJ</v>
          </cell>
          <cell r="D47" t="str">
            <v>JPY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</row>
        <row r="48">
          <cell r="B48" t="str">
            <v>EBITDA</v>
          </cell>
          <cell r="C48" t="str">
            <v>EBITDA_JPN</v>
          </cell>
          <cell r="D48" t="str">
            <v>JPY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31467</v>
          </cell>
          <cell r="L48">
            <v>29474</v>
          </cell>
          <cell r="M48">
            <v>36817</v>
          </cell>
          <cell r="N48">
            <v>42342</v>
          </cell>
          <cell r="O48">
            <v>39614</v>
          </cell>
          <cell r="P48">
            <v>41594</v>
          </cell>
          <cell r="Q48">
            <v>43115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48772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51985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61459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63942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69057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80541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98544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85510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</row>
        <row r="49">
          <cell r="B49" t="str">
            <v>Income/(loss) from unconsolidated subs &amp; associates</v>
          </cell>
          <cell r="C49" t="str">
            <v>ASSOCIATE_JPN</v>
          </cell>
          <cell r="D49" t="str">
            <v>JPY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</row>
        <row r="50">
          <cell r="B50" t="str">
            <v>Income/(loss) from unconsolidated subs &amp; associates (SEC)</v>
          </cell>
          <cell r="C50" t="str">
            <v>ASSOCIATE_SEC_JPN</v>
          </cell>
          <cell r="D50" t="str">
            <v>JPY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</row>
        <row r="51">
          <cell r="B51" t="str">
            <v>Other non-operating income/(expense)</v>
          </cell>
          <cell r="C51" t="str">
            <v>OTH_NOP_INC_EXP_JPN</v>
          </cell>
          <cell r="D51" t="str">
            <v>JPY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487</v>
          </cell>
          <cell r="L51">
            <v>313</v>
          </cell>
          <cell r="M51">
            <v>142</v>
          </cell>
          <cell r="N51">
            <v>187</v>
          </cell>
          <cell r="O51">
            <v>502</v>
          </cell>
          <cell r="P51">
            <v>60</v>
          </cell>
          <cell r="Q51">
            <v>-300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-1971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-3933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191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-3982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-4093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4598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-633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2823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</row>
        <row r="52">
          <cell r="B52" t="str">
            <v>Extraordinary income</v>
          </cell>
          <cell r="C52" t="str">
            <v>EXTRA_INC_JPN</v>
          </cell>
          <cell r="D52" t="str">
            <v>JPY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184</v>
          </cell>
          <cell r="L52">
            <v>2934</v>
          </cell>
          <cell r="M52">
            <v>535</v>
          </cell>
          <cell r="N52">
            <v>797</v>
          </cell>
          <cell r="O52">
            <v>5627</v>
          </cell>
          <cell r="P52">
            <v>1504</v>
          </cell>
          <cell r="Q52">
            <v>225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398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26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81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3131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17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45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5684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5037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</row>
        <row r="53">
          <cell r="B53" t="str">
            <v>Extraordinary expense</v>
          </cell>
          <cell r="C53" t="str">
            <v>EXTRA_EXP_JPN</v>
          </cell>
          <cell r="D53" t="str">
            <v>JPY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-2613</v>
          </cell>
          <cell r="L53">
            <v>-5851</v>
          </cell>
          <cell r="M53">
            <v>-3533</v>
          </cell>
          <cell r="N53">
            <v>-2211</v>
          </cell>
          <cell r="O53">
            <v>-5009</v>
          </cell>
          <cell r="P53">
            <v>-1719</v>
          </cell>
          <cell r="Q53">
            <v>-1218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-832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-4178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-1988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-2973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-2805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-774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-5695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-536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</row>
        <row r="54">
          <cell r="B54" t="str">
            <v>Pre-tax profit</v>
          </cell>
          <cell r="C54" t="str">
            <v>PTP_JPN</v>
          </cell>
          <cell r="D54" t="str">
            <v>JPY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18817</v>
          </cell>
          <cell r="L54">
            <v>16231</v>
          </cell>
          <cell r="M54">
            <v>22898</v>
          </cell>
          <cell r="N54">
            <v>29706</v>
          </cell>
          <cell r="O54">
            <v>28597</v>
          </cell>
          <cell r="P54">
            <v>28567</v>
          </cell>
          <cell r="Q54">
            <v>29080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31894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27456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43947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43296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45573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64283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67902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70026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</row>
        <row r="55">
          <cell r="B55" t="str">
            <v>NI impact from a 10% reporting currency depreciation vs USD</v>
          </cell>
          <cell r="C55" t="str">
            <v>FX_USD_NI_SENSITIVITY</v>
          </cell>
          <cell r="D55" t="str">
            <v>JPY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</row>
        <row r="56">
          <cell r="B56" t="str">
            <v>NI impact from a 10% reporting currency depreciation vs EUR</v>
          </cell>
          <cell r="C56" t="str">
            <v>FX_EUR_NI_SENSITIVITY</v>
          </cell>
          <cell r="D56" t="str">
            <v>JPY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</row>
        <row r="57">
          <cell r="A57" t="str">
            <v>Balance Sheet</v>
          </cell>
          <cell r="B57">
            <v>0</v>
          </cell>
          <cell r="C57">
            <v>0</v>
          </cell>
          <cell r="D57">
            <v>0</v>
          </cell>
        </row>
        <row r="58">
          <cell r="B58" t="str">
            <v>Cash &amp; cash equivalents</v>
          </cell>
          <cell r="C58" t="str">
            <v>CASH_EQ</v>
          </cell>
          <cell r="D58" t="str">
            <v>JPY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38819</v>
          </cell>
          <cell r="L58">
            <v>51385</v>
          </cell>
          <cell r="M58">
            <v>44524</v>
          </cell>
          <cell r="N58">
            <v>48356</v>
          </cell>
          <cell r="O58">
            <v>58272</v>
          </cell>
          <cell r="P58">
            <v>80555</v>
          </cell>
          <cell r="Q58">
            <v>78583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93756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80159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101374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119270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86864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85533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111914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138781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</row>
        <row r="59">
          <cell r="B59" t="str">
            <v>Accounts receivable</v>
          </cell>
          <cell r="C59" t="str">
            <v>DEBTORS</v>
          </cell>
          <cell r="D59" t="str">
            <v>JPY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31880</v>
          </cell>
          <cell r="L59">
            <v>28521</v>
          </cell>
          <cell r="M59">
            <v>26615</v>
          </cell>
          <cell r="N59">
            <v>28843</v>
          </cell>
          <cell r="O59">
            <v>28949</v>
          </cell>
          <cell r="P59">
            <v>33092</v>
          </cell>
          <cell r="Q59">
            <v>37940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38204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40845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41568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46005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50318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60264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67597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88442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</row>
        <row r="60">
          <cell r="B60" t="str">
            <v>Inventory</v>
          </cell>
          <cell r="C60" t="str">
            <v>STOCKS</v>
          </cell>
          <cell r="D60" t="str">
            <v>JPY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10095</v>
          </cell>
          <cell r="L60">
            <v>11575</v>
          </cell>
          <cell r="M60">
            <v>11932</v>
          </cell>
          <cell r="N60">
            <v>12421</v>
          </cell>
          <cell r="O60">
            <v>12072</v>
          </cell>
          <cell r="P60">
            <v>16176</v>
          </cell>
          <cell r="Q60">
            <v>20376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19299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22690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20085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22392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33660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44784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51627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62432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</row>
        <row r="61">
          <cell r="B61" t="str">
            <v>Other current assets</v>
          </cell>
          <cell r="C61" t="str">
            <v>OTH_CUR_ASS</v>
          </cell>
          <cell r="D61" t="str">
            <v>JPY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5395</v>
          </cell>
          <cell r="L61">
            <v>4455</v>
          </cell>
          <cell r="M61">
            <v>5428</v>
          </cell>
          <cell r="N61">
            <v>4955</v>
          </cell>
          <cell r="O61">
            <v>5364</v>
          </cell>
          <cell r="P61">
            <v>5160</v>
          </cell>
          <cell r="Q61">
            <v>5689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6492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10596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9224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17052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19795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20147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34053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32117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</row>
        <row r="62">
          <cell r="B62" t="str">
            <v>Total current assets</v>
          </cell>
          <cell r="C62" t="str">
            <v>CUR_ASS</v>
          </cell>
          <cell r="D62" t="str">
            <v>JPY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86189</v>
          </cell>
          <cell r="L62">
            <v>95936</v>
          </cell>
          <cell r="M62">
            <v>88499</v>
          </cell>
          <cell r="N62">
            <v>94575</v>
          </cell>
          <cell r="O62">
            <v>104657</v>
          </cell>
          <cell r="P62">
            <v>134983</v>
          </cell>
          <cell r="Q62">
            <v>142588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157751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154290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172251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204719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190637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210728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265191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321772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</row>
        <row r="63">
          <cell r="B63" t="str">
            <v>Gross fixed assets, PP&amp;E</v>
          </cell>
          <cell r="C63" t="str">
            <v>GR_FIX_ASS</v>
          </cell>
          <cell r="D63" t="str">
            <v>JPY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144810</v>
          </cell>
          <cell r="L63">
            <v>153719</v>
          </cell>
          <cell r="M63">
            <v>159538</v>
          </cell>
          <cell r="N63">
            <v>172027</v>
          </cell>
          <cell r="O63">
            <v>173976</v>
          </cell>
          <cell r="P63">
            <v>188573</v>
          </cell>
          <cell r="Q63">
            <v>210005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219632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227305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238414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244600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272649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335771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399160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455218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</row>
        <row r="64">
          <cell r="B64" t="str">
            <v>Accumulated depreciation</v>
          </cell>
          <cell r="C64" t="str">
            <v>ACC_DDA</v>
          </cell>
          <cell r="D64" t="str">
            <v>JPY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-75422</v>
          </cell>
          <cell r="L64">
            <v>-82307</v>
          </cell>
          <cell r="M64">
            <v>-88449</v>
          </cell>
          <cell r="N64">
            <v>-94721</v>
          </cell>
          <cell r="O64">
            <v>-101178</v>
          </cell>
          <cell r="P64">
            <v>-111463</v>
          </cell>
          <cell r="Q64">
            <v>-123280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-133169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-143058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-143058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-146211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-155828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-172642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-194743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-215136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</row>
        <row r="65">
          <cell r="B65" t="str">
            <v>Net PP&amp;E</v>
          </cell>
          <cell r="C65" t="str">
            <v>NET_FIX_ASS</v>
          </cell>
          <cell r="D65" t="str">
            <v>JPY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69388</v>
          </cell>
          <cell r="L65">
            <v>71412</v>
          </cell>
          <cell r="M65">
            <v>71089</v>
          </cell>
          <cell r="N65">
            <v>77306</v>
          </cell>
          <cell r="O65">
            <v>72798</v>
          </cell>
          <cell r="P65">
            <v>77110</v>
          </cell>
          <cell r="Q65">
            <v>86725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86463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84247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95356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98389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116821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163129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204417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240082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</row>
        <row r="66">
          <cell r="B66" t="str">
            <v>Gross intangibles</v>
          </cell>
          <cell r="C66" t="str">
            <v>GR_INTANG</v>
          </cell>
          <cell r="D66" t="str">
            <v>JPY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3584</v>
          </cell>
          <cell r="L66">
            <v>3296</v>
          </cell>
          <cell r="M66">
            <v>3309</v>
          </cell>
          <cell r="N66">
            <v>2903</v>
          </cell>
          <cell r="O66">
            <v>2337</v>
          </cell>
          <cell r="P66">
            <v>4265</v>
          </cell>
          <cell r="Q66">
            <v>4027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3745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16228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14612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67489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97709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97394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95485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96178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</row>
        <row r="67">
          <cell r="B67" t="str">
            <v>Accumulated amortization</v>
          </cell>
          <cell r="C67" t="str">
            <v>ACC_AMORT</v>
          </cell>
          <cell r="D67" t="str">
            <v>JPY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</row>
        <row r="68">
          <cell r="B68" t="str">
            <v>Net intangible assets</v>
          </cell>
          <cell r="C68" t="str">
            <v>NET_INTANG</v>
          </cell>
          <cell r="D68" t="str">
            <v>JPY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3584</v>
          </cell>
          <cell r="L68">
            <v>3296</v>
          </cell>
          <cell r="M68">
            <v>3309</v>
          </cell>
          <cell r="N68">
            <v>2903</v>
          </cell>
          <cell r="O68">
            <v>2337</v>
          </cell>
          <cell r="P68">
            <v>4265</v>
          </cell>
          <cell r="Q68">
            <v>4027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3745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16228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14612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67489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97709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97394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95485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96178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</row>
        <row r="69">
          <cell r="B69" t="str">
            <v>Equity method investments</v>
          </cell>
          <cell r="C69" t="str">
            <v>FIX_ASS_INV</v>
          </cell>
          <cell r="D69" t="str">
            <v>JPY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</row>
        <row r="70">
          <cell r="B70" t="str">
            <v>Investments in securities</v>
          </cell>
          <cell r="C70" t="str">
            <v>INV_SECUR</v>
          </cell>
          <cell r="D70" t="str">
            <v>JPY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10381</v>
          </cell>
          <cell r="L70">
            <v>6806</v>
          </cell>
          <cell r="M70">
            <v>16320</v>
          </cell>
          <cell r="N70">
            <v>27309</v>
          </cell>
          <cell r="O70">
            <v>28745</v>
          </cell>
          <cell r="P70">
            <v>29599</v>
          </cell>
          <cell r="Q70">
            <v>29604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20360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15609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18052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13027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14299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19664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22105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24942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</row>
        <row r="71">
          <cell r="B71" t="str">
            <v>Other long-term assets</v>
          </cell>
          <cell r="C71" t="str">
            <v>OTH_LT_ASS</v>
          </cell>
          <cell r="D71" t="str">
            <v>JPY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7854</v>
          </cell>
          <cell r="L71">
            <v>9610</v>
          </cell>
          <cell r="M71">
            <v>8770</v>
          </cell>
          <cell r="N71">
            <v>6909</v>
          </cell>
          <cell r="O71">
            <v>6828</v>
          </cell>
          <cell r="P71">
            <v>4398</v>
          </cell>
          <cell r="Q71">
            <v>5819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7116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7939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7502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60391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53031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44140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33221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16134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</row>
        <row r="72">
          <cell r="B72" t="str">
            <v>Total assets</v>
          </cell>
          <cell r="C72" t="str">
            <v>TOT_ASSET</v>
          </cell>
          <cell r="D72" t="str">
            <v>JPY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177396</v>
          </cell>
          <cell r="L72">
            <v>187060</v>
          </cell>
          <cell r="M72">
            <v>187987</v>
          </cell>
          <cell r="N72">
            <v>209002</v>
          </cell>
          <cell r="O72">
            <v>215365</v>
          </cell>
          <cell r="P72">
            <v>250355</v>
          </cell>
          <cell r="Q72">
            <v>268763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275435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278313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307773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444015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472497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535055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620419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699108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</row>
        <row r="73">
          <cell r="B73" t="str">
            <v>Accounts payable</v>
          </cell>
          <cell r="C73" t="str">
            <v>ACC_PAY_GQ</v>
          </cell>
          <cell r="D73" t="str">
            <v>JPY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33896</v>
          </cell>
          <cell r="L73">
            <v>31780</v>
          </cell>
          <cell r="M73">
            <v>27778</v>
          </cell>
          <cell r="N73">
            <v>25990</v>
          </cell>
          <cell r="O73">
            <v>23856</v>
          </cell>
          <cell r="P73">
            <v>29547</v>
          </cell>
          <cell r="Q73">
            <v>32721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38481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37676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36135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37991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45778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53185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78433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91586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</row>
        <row r="74">
          <cell r="B74" t="str">
            <v>Short-term debt</v>
          </cell>
          <cell r="C74" t="str">
            <v>SHORT_T_DEBT</v>
          </cell>
          <cell r="D74" t="str">
            <v>JPY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2356</v>
          </cell>
          <cell r="L74">
            <v>4686</v>
          </cell>
          <cell r="M74">
            <v>4917</v>
          </cell>
          <cell r="N74">
            <v>4570</v>
          </cell>
          <cell r="O74">
            <v>6903</v>
          </cell>
          <cell r="P74">
            <v>8676</v>
          </cell>
          <cell r="Q74">
            <v>6981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3427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4666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6305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8371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8267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6228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7709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27979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</row>
        <row r="75">
          <cell r="B75" t="str">
            <v>Other current liabilities</v>
          </cell>
          <cell r="C75" t="str">
            <v>OTH_CUR_LIABS</v>
          </cell>
          <cell r="D75" t="str">
            <v>JPY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21473</v>
          </cell>
          <cell r="L75">
            <v>25470</v>
          </cell>
          <cell r="M75">
            <v>25825</v>
          </cell>
          <cell r="N75">
            <v>36314</v>
          </cell>
          <cell r="O75">
            <v>28986</v>
          </cell>
          <cell r="P75">
            <v>34422</v>
          </cell>
          <cell r="Q75">
            <v>35668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40525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38179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49884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43781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52316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62134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62761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70618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</row>
        <row r="76">
          <cell r="B76" t="str">
            <v>Total current liabilities</v>
          </cell>
          <cell r="C76" t="str">
            <v>SHORT_TERM_LIABS</v>
          </cell>
          <cell r="D76" t="str">
            <v>JPY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57725</v>
          </cell>
          <cell r="L76">
            <v>61936</v>
          </cell>
          <cell r="M76">
            <v>58520</v>
          </cell>
          <cell r="N76">
            <v>66874</v>
          </cell>
          <cell r="O76">
            <v>59745</v>
          </cell>
          <cell r="P76">
            <v>72645</v>
          </cell>
          <cell r="Q76">
            <v>75370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82433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80521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92324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90143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106361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121547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148903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190183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</row>
        <row r="77">
          <cell r="B77" t="str">
            <v>Long-term  debt</v>
          </cell>
          <cell r="C77" t="str">
            <v>LT_DEBT</v>
          </cell>
          <cell r="D77" t="str">
            <v>JPY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3917</v>
          </cell>
          <cell r="L77">
            <v>2953</v>
          </cell>
          <cell r="M77">
            <v>1710</v>
          </cell>
          <cell r="N77">
            <v>1557</v>
          </cell>
          <cell r="O77">
            <v>344</v>
          </cell>
          <cell r="P77">
            <v>677</v>
          </cell>
          <cell r="Q77">
            <v>1738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1451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1206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943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127996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115804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76333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21000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5420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</row>
        <row r="78">
          <cell r="B78" t="str">
            <v>Other long-term liabilities</v>
          </cell>
          <cell r="C78" t="str">
            <v>OTH_LT_CRED_GQ</v>
          </cell>
          <cell r="D78" t="str">
            <v>JPY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18358</v>
          </cell>
          <cell r="L78">
            <v>25111</v>
          </cell>
          <cell r="M78">
            <v>8717</v>
          </cell>
          <cell r="N78">
            <v>9950</v>
          </cell>
          <cell r="O78">
            <v>8434</v>
          </cell>
          <cell r="P78">
            <v>11546</v>
          </cell>
          <cell r="Q78">
            <v>14606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8381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10995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7092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6244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7125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7974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18364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10661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</row>
        <row r="79">
          <cell r="B79" t="str">
            <v>Total long-term liabilities</v>
          </cell>
          <cell r="C79" t="str">
            <v>TOT_LT_LIAB</v>
          </cell>
          <cell r="D79" t="str">
            <v>JPY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22275</v>
          </cell>
          <cell r="L79">
            <v>28064</v>
          </cell>
          <cell r="M79">
            <v>10427</v>
          </cell>
          <cell r="N79">
            <v>11507</v>
          </cell>
          <cell r="O79">
            <v>8778</v>
          </cell>
          <cell r="P79">
            <v>12223</v>
          </cell>
          <cell r="Q79">
            <v>16344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9832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12201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8035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134240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122929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84307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39364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16081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</row>
        <row r="80">
          <cell r="B80" t="str">
            <v>Total liabilities</v>
          </cell>
          <cell r="C80" t="str">
            <v>TOT_LIAB</v>
          </cell>
          <cell r="D80" t="str">
            <v>JPY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80000</v>
          </cell>
          <cell r="L80">
            <v>90000</v>
          </cell>
          <cell r="M80">
            <v>68947</v>
          </cell>
          <cell r="N80">
            <v>78381</v>
          </cell>
          <cell r="O80">
            <v>68523</v>
          </cell>
          <cell r="P80">
            <v>84868</v>
          </cell>
          <cell r="Q80">
            <v>91714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92265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92722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100359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224383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229290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205854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188267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206264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</row>
        <row r="81">
          <cell r="B81" t="str">
            <v>Preferred shares</v>
          </cell>
          <cell r="C81" t="str">
            <v>PREF_SH</v>
          </cell>
          <cell r="D81" t="str">
            <v>JPY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</row>
        <row r="82">
          <cell r="B82" t="str">
            <v>Total common equity</v>
          </cell>
          <cell r="C82" t="str">
            <v>ORD_SH_FUND</v>
          </cell>
          <cell r="D82" t="str">
            <v>JPY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92311</v>
          </cell>
          <cell r="L82">
            <v>91697</v>
          </cell>
          <cell r="M82">
            <v>113137</v>
          </cell>
          <cell r="N82">
            <v>123708</v>
          </cell>
          <cell r="O82">
            <v>137696</v>
          </cell>
          <cell r="P82">
            <v>151183</v>
          </cell>
          <cell r="Q82">
            <v>161166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166251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167668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183890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202224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214033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290446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374433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419892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</row>
        <row r="83">
          <cell r="B83" t="str">
            <v>Minority interest</v>
          </cell>
          <cell r="C83" t="str">
            <v>MINORITIES</v>
          </cell>
          <cell r="D83" t="str">
            <v>JPY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5085</v>
          </cell>
          <cell r="L83">
            <v>5363</v>
          </cell>
          <cell r="M83">
            <v>5903</v>
          </cell>
          <cell r="N83">
            <v>6913</v>
          </cell>
          <cell r="O83">
            <v>9146</v>
          </cell>
          <cell r="P83">
            <v>14304</v>
          </cell>
          <cell r="Q83">
            <v>15883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16919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17923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23524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17408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29174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38755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57719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72952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</row>
        <row r="84">
          <cell r="B84" t="str">
            <v>Total shareholders' equity</v>
          </cell>
          <cell r="C84" t="str">
            <v>EQ</v>
          </cell>
          <cell r="D84" t="str">
            <v>JPY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97396</v>
          </cell>
          <cell r="L84">
            <v>97060</v>
          </cell>
          <cell r="M84">
            <v>119040</v>
          </cell>
          <cell r="N84">
            <v>130621</v>
          </cell>
          <cell r="O84">
            <v>146842</v>
          </cell>
          <cell r="P84">
            <v>165487</v>
          </cell>
          <cell r="Q84">
            <v>177049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183170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185591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207414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219632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243207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329201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432152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492844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</row>
        <row r="85">
          <cell r="B85" t="str">
            <v>Total liabilities and equity</v>
          </cell>
          <cell r="C85" t="str">
            <v>TOT_LIAB_EQ</v>
          </cell>
          <cell r="D85" t="str">
            <v>JPY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177396</v>
          </cell>
          <cell r="L85">
            <v>187060</v>
          </cell>
          <cell r="M85">
            <v>187987</v>
          </cell>
          <cell r="N85">
            <v>209002</v>
          </cell>
          <cell r="O85">
            <v>215365</v>
          </cell>
          <cell r="P85">
            <v>250355</v>
          </cell>
          <cell r="Q85">
            <v>268763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275435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278313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307773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444015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472497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535055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620419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699108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</row>
        <row r="86">
          <cell r="A86" t="str">
            <v>Additional Balance Sheet Items</v>
          </cell>
          <cell r="B86">
            <v>0</v>
          </cell>
          <cell r="C86">
            <v>0</v>
          </cell>
          <cell r="D86">
            <v>0</v>
          </cell>
        </row>
        <row r="87">
          <cell r="B87" t="str">
            <v>Total US$ debt (in US$)</v>
          </cell>
          <cell r="C87" t="str">
            <v>TOT_USD_DEBT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</row>
        <row r="88">
          <cell r="B88" t="str">
            <v>% US$ debt hedged (principal)</v>
          </cell>
          <cell r="C88" t="str">
            <v>TOT_PCT_USD_DEBT_HEDGED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</row>
        <row r="89">
          <cell r="B89" t="str">
            <v>% Floating debt (local currency debt)</v>
          </cell>
          <cell r="C89" t="str">
            <v>FLOATING_PCT_LOCAL_DEBT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</row>
        <row r="90">
          <cell r="B90" t="str">
            <v>% floating debt hedged (rates)</v>
          </cell>
          <cell r="C90" t="str">
            <v>FLOATING_PCT_LOCAL_DEBT_HEDGED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</row>
        <row r="91">
          <cell r="B91" t="str">
            <v>Net debt</v>
          </cell>
          <cell r="C91" t="str">
            <v>NET_DEBT</v>
          </cell>
          <cell r="D91" t="str">
            <v>JPY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-32546</v>
          </cell>
          <cell r="L91">
            <v>-43746</v>
          </cell>
          <cell r="M91">
            <v>-37897</v>
          </cell>
          <cell r="N91">
            <v>-42229</v>
          </cell>
          <cell r="O91">
            <v>-51025</v>
          </cell>
          <cell r="P91">
            <v>-71202</v>
          </cell>
          <cell r="Q91">
            <v>-69864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-88878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-74287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-94126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17097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37207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-2972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-83205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-105382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</row>
        <row r="92">
          <cell r="B92" t="str">
            <v>Capitalized leases</v>
          </cell>
          <cell r="C92" t="str">
            <v>CAP_LEASES</v>
          </cell>
          <cell r="D92" t="str">
            <v>JPY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</row>
        <row r="93">
          <cell r="B93" t="str">
            <v>Deferred income taxes</v>
          </cell>
          <cell r="C93" t="str">
            <v>DEF_INC_TAX</v>
          </cell>
          <cell r="D93" t="str">
            <v>JPY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</row>
        <row r="94">
          <cell r="B94" t="str">
            <v>Associates (mkt value) used in EV calculation</v>
          </cell>
          <cell r="C94" t="str">
            <v>MV_ASSOCIATES</v>
          </cell>
          <cell r="D94" t="str">
            <v>JPY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</row>
        <row r="95">
          <cell r="B95" t="str">
            <v>Net debt adjustment</v>
          </cell>
          <cell r="C95" t="str">
            <v>NET_DEBT_ADJ</v>
          </cell>
          <cell r="D95" t="str">
            <v>JPY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</row>
        <row r="96">
          <cell r="B96" t="str">
            <v>Company borrowing margin</v>
          </cell>
          <cell r="C96" t="str">
            <v>CO_BOR_MARGIN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6.1533556512035709E-2</v>
          </cell>
          <cell r="L96">
            <v>4.3461186019112447E-2</v>
          </cell>
          <cell r="M96">
            <v>5.4323223177908553E-2</v>
          </cell>
          <cell r="N96">
            <v>4.8473967684021541E-2</v>
          </cell>
          <cell r="O96">
            <v>4.3466261901476476E-2</v>
          </cell>
          <cell r="P96">
            <v>3.2502940233080292E-2</v>
          </cell>
          <cell r="Q96">
            <v>4.7253125358412661E-2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9.3685936859368588E-2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5.2792915531335152E-2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2.1247240618101546E-2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2.2732772591609407E-3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3.7075545453812736E-3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3.4398808153971003E-3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1.2469957156292451E-2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8.5930716488517613E-3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</row>
        <row r="97">
          <cell r="B97" t="str">
            <v>Unfunded pensions &amp; other provisions</v>
          </cell>
          <cell r="C97" t="str">
            <v>UNF_PENS</v>
          </cell>
          <cell r="D97" t="str">
            <v>JPY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</row>
        <row r="98">
          <cell r="B98" t="str">
            <v>Unfunded pension liabilities (off balance sheet)</v>
          </cell>
          <cell r="C98" t="str">
            <v>UNF_PENS_OFF</v>
          </cell>
          <cell r="D98" t="str">
            <v>JPY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200</v>
          </cell>
          <cell r="L98">
            <v>100</v>
          </cell>
          <cell r="M98">
            <v>50</v>
          </cell>
          <cell r="N98">
            <v>0</v>
          </cell>
          <cell r="O98">
            <v>164</v>
          </cell>
          <cell r="P98">
            <v>194</v>
          </cell>
          <cell r="Q98">
            <v>190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84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1842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373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373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373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373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373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373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</row>
        <row r="99">
          <cell r="B99" t="str">
            <v>Unfunded pension liabilities &amp; other, used in EV</v>
          </cell>
          <cell r="C99" t="str">
            <v>UNF_PENS_LIAB_OTH</v>
          </cell>
          <cell r="D99" t="str">
            <v>JPY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</row>
        <row r="100">
          <cell r="B100" t="str">
            <v>Adjustment for unfunded pensions &amp; goodwill</v>
          </cell>
          <cell r="C100" t="str">
            <v>ADJ_UNF_PENS_GOOD</v>
          </cell>
          <cell r="D100" t="str">
            <v>JPY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-3661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-14386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-14239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-67116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-97336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-97021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-95112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-95805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</row>
        <row r="101">
          <cell r="B101" t="str">
            <v>Other GCI adjustments</v>
          </cell>
          <cell r="C101" t="str">
            <v>OTH_GCI_ADJ</v>
          </cell>
          <cell r="D101" t="str">
            <v>JPY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</row>
        <row r="102">
          <cell r="B102" t="str">
            <v>GCI inflator</v>
          </cell>
          <cell r="C102" t="str">
            <v>GCI_INFL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1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1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1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1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1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</row>
        <row r="103">
          <cell r="B103" t="str">
            <v>Minority interest</v>
          </cell>
          <cell r="C103" t="str">
            <v>BAL_MINO_INT</v>
          </cell>
          <cell r="D103" t="str">
            <v>JPY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5085</v>
          </cell>
          <cell r="L103">
            <v>5363</v>
          </cell>
          <cell r="M103">
            <v>5903</v>
          </cell>
          <cell r="N103">
            <v>6913</v>
          </cell>
          <cell r="O103">
            <v>9146</v>
          </cell>
          <cell r="P103">
            <v>14304</v>
          </cell>
          <cell r="Q103">
            <v>15883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16919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17923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23524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17408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29174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38755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57719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72952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</row>
        <row r="104">
          <cell r="B104" t="str">
            <v>Cash &amp; cash equivalents</v>
          </cell>
          <cell r="C104" t="str">
            <v>CASH_EQ_JPN</v>
          </cell>
          <cell r="D104" t="str">
            <v>JPY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38819</v>
          </cell>
          <cell r="L104">
            <v>51385</v>
          </cell>
          <cell r="M104">
            <v>44524</v>
          </cell>
          <cell r="N104">
            <v>48356</v>
          </cell>
          <cell r="O104">
            <v>58272</v>
          </cell>
          <cell r="P104">
            <v>80555</v>
          </cell>
          <cell r="Q104">
            <v>78583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93756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80159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101374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119270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86864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85533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111914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138781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</row>
        <row r="105">
          <cell r="B105" t="str">
            <v>Other current assets</v>
          </cell>
          <cell r="C105" t="str">
            <v>OTH_CUR_ASS_JPN</v>
          </cell>
          <cell r="D105" t="str">
            <v>JPY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5395</v>
          </cell>
          <cell r="L105">
            <v>4455</v>
          </cell>
          <cell r="M105">
            <v>5428</v>
          </cell>
          <cell r="N105">
            <v>4955</v>
          </cell>
          <cell r="O105">
            <v>5364</v>
          </cell>
          <cell r="P105">
            <v>5160</v>
          </cell>
          <cell r="Q105">
            <v>5689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6492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10596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9224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17052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19795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20147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34053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32117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</row>
        <row r="106">
          <cell r="A106" t="str">
            <v>Cash Flow Statement</v>
          </cell>
          <cell r="B106">
            <v>0</v>
          </cell>
          <cell r="C106">
            <v>0</v>
          </cell>
          <cell r="D106">
            <v>0</v>
          </cell>
        </row>
        <row r="107">
          <cell r="B107" t="str">
            <v>Minority interest add-back</v>
          </cell>
          <cell r="C107" t="str">
            <v>CF_INC_MINORITY</v>
          </cell>
          <cell r="D107" t="str">
            <v>JPY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153</v>
          </cell>
          <cell r="L107">
            <v>250</v>
          </cell>
          <cell r="M107">
            <v>1046</v>
          </cell>
          <cell r="N107">
            <v>1363</v>
          </cell>
          <cell r="O107">
            <v>1567</v>
          </cell>
          <cell r="P107">
            <v>1813</v>
          </cell>
          <cell r="Q107">
            <v>2067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2827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3521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5572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3473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3716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5790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5780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8428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</row>
        <row r="108">
          <cell r="B108" t="str">
            <v>Depreciation &amp; amortization add-back</v>
          </cell>
          <cell r="C108" t="str">
            <v>DEPR_AMORT</v>
          </cell>
          <cell r="D108" t="str">
            <v>JPY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10635</v>
          </cell>
          <cell r="L108">
            <v>10500</v>
          </cell>
          <cell r="M108">
            <v>11023</v>
          </cell>
          <cell r="N108">
            <v>11616</v>
          </cell>
          <cell r="O108">
            <v>12329</v>
          </cell>
          <cell r="P108">
            <v>13062</v>
          </cell>
          <cell r="Q108">
            <v>13184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15040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17101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16393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17380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17156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21053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31304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24162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</row>
        <row r="109">
          <cell r="B109" t="str">
            <v>(Increase)/decrease in working capital</v>
          </cell>
          <cell r="C109" t="str">
            <v>WORK_CAP</v>
          </cell>
          <cell r="D109" t="str">
            <v>JPY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-4106</v>
          </cell>
          <cell r="L109">
            <v>-249</v>
          </cell>
          <cell r="M109">
            <v>-2768</v>
          </cell>
          <cell r="N109">
            <v>-4412</v>
          </cell>
          <cell r="O109">
            <v>-1846</v>
          </cell>
          <cell r="P109">
            <v>-767</v>
          </cell>
          <cell r="Q109">
            <v>-6231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6540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-8673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1034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-3854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-3002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-6090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15313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-10803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</row>
        <row r="110">
          <cell r="B110" t="str">
            <v>Other operating cash flow items</v>
          </cell>
          <cell r="C110" t="str">
            <v>OTH_OP_CF</v>
          </cell>
          <cell r="D110" t="str">
            <v>JPY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2934</v>
          </cell>
          <cell r="L110">
            <v>5565</v>
          </cell>
          <cell r="M110">
            <v>4818</v>
          </cell>
          <cell r="N110">
            <v>11829</v>
          </cell>
          <cell r="O110">
            <v>-7861</v>
          </cell>
          <cell r="P110">
            <v>7992</v>
          </cell>
          <cell r="Q110">
            <v>4846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3455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-8459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8081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-69265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13441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10368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9399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23823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</row>
        <row r="111">
          <cell r="B111" t="str">
            <v>Cash flow from operating activities</v>
          </cell>
          <cell r="C111" t="str">
            <v>CF_OPS</v>
          </cell>
          <cell r="D111" t="str">
            <v>JPY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19522</v>
          </cell>
          <cell r="L111">
            <v>24920</v>
          </cell>
          <cell r="M111">
            <v>26998</v>
          </cell>
          <cell r="N111">
            <v>36635</v>
          </cell>
          <cell r="O111">
            <v>20570</v>
          </cell>
          <cell r="P111">
            <v>37387</v>
          </cell>
          <cell r="Q111">
            <v>28924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44545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20617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55543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-18706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58292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74242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100012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78341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</row>
        <row r="112">
          <cell r="B112" t="str">
            <v>Capital expenditures, Capex</v>
          </cell>
          <cell r="C112" t="str">
            <v>CAPEX</v>
          </cell>
          <cell r="D112" t="str">
            <v>JPY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-13737</v>
          </cell>
          <cell r="P112">
            <v>-13609</v>
          </cell>
          <cell r="Q112">
            <v>-21306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-17370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-14573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-24750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-25738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-25271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-47705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-58694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-41424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</row>
        <row r="113">
          <cell r="B113" t="str">
            <v>Acquisitions</v>
          </cell>
          <cell r="C113" t="str">
            <v>ACQ</v>
          </cell>
          <cell r="D113" t="str">
            <v>JPY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-4214</v>
          </cell>
          <cell r="Q113">
            <v>-574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-76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-422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-422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</row>
        <row r="114">
          <cell r="B114" t="str">
            <v>Divestitures</v>
          </cell>
          <cell r="C114" t="str">
            <v>DIVEST</v>
          </cell>
          <cell r="D114" t="str">
            <v>JPY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455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46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92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92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</row>
        <row r="115">
          <cell r="B115" t="str">
            <v>Other investing cash flow items</v>
          </cell>
          <cell r="C115" t="str">
            <v>OTH_INV_CF</v>
          </cell>
          <cell r="D115" t="str">
            <v>JPY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-9234</v>
          </cell>
          <cell r="L115">
            <v>-7261</v>
          </cell>
          <cell r="M115">
            <v>-26410</v>
          </cell>
          <cell r="N115">
            <v>-25836</v>
          </cell>
          <cell r="O115">
            <v>5300</v>
          </cell>
          <cell r="P115">
            <v>-2883</v>
          </cell>
          <cell r="Q115">
            <v>1552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7309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-29413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2841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-43789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-33590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-5599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474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4683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</row>
        <row r="116">
          <cell r="B116" t="str">
            <v>Cash flow from investing</v>
          </cell>
          <cell r="C116" t="str">
            <v>CF_INV</v>
          </cell>
          <cell r="D116" t="str">
            <v>JPY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-9234</v>
          </cell>
          <cell r="L116">
            <v>-7261</v>
          </cell>
          <cell r="M116">
            <v>-26410</v>
          </cell>
          <cell r="N116">
            <v>-25836</v>
          </cell>
          <cell r="O116">
            <v>-8437</v>
          </cell>
          <cell r="P116">
            <v>-20251</v>
          </cell>
          <cell r="Q116">
            <v>-20328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-10091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-44316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-22239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-69527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-58861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-53304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-58220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-36741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</row>
        <row r="117">
          <cell r="B117" t="str">
            <v>Dividends paid</v>
          </cell>
          <cell r="C117" t="str">
            <v>DIV_PAID</v>
          </cell>
          <cell r="D117" t="str">
            <v>JPY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-1692</v>
          </cell>
          <cell r="L117">
            <v>-2041</v>
          </cell>
          <cell r="M117">
            <v>-1794</v>
          </cell>
          <cell r="N117">
            <v>-2055</v>
          </cell>
          <cell r="O117">
            <v>-2250</v>
          </cell>
          <cell r="P117">
            <v>-2535</v>
          </cell>
          <cell r="Q117">
            <v>-2461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-2903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-3199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-3941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-4844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-5584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-6078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-6849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-7834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</row>
        <row r="118">
          <cell r="B118" t="str">
            <v>Common stock issuance/(repurchase)</v>
          </cell>
          <cell r="C118" t="str">
            <v>SH_REPUR</v>
          </cell>
          <cell r="D118" t="str">
            <v>JPY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-4720</v>
          </cell>
          <cell r="L118">
            <v>-3278</v>
          </cell>
          <cell r="M118">
            <v>-6773</v>
          </cell>
          <cell r="N118">
            <v>-5562</v>
          </cell>
          <cell r="O118">
            <v>-1270</v>
          </cell>
          <cell r="P118">
            <v>-4980</v>
          </cell>
          <cell r="Q118">
            <v>-6014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-5009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-1489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-6500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-7594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-9001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-11001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-12002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-8008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</row>
        <row r="119">
          <cell r="B119" t="str">
            <v>Increase/(decrease) in total debt</v>
          </cell>
          <cell r="C119" t="str">
            <v>CHG_LT_DEBT</v>
          </cell>
          <cell r="D119" t="str">
            <v>JPY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-348</v>
          </cell>
          <cell r="L119">
            <v>915</v>
          </cell>
          <cell r="M119">
            <v>-1236</v>
          </cell>
          <cell r="N119">
            <v>-695</v>
          </cell>
          <cell r="O119">
            <v>803</v>
          </cell>
          <cell r="P119">
            <v>-3369</v>
          </cell>
          <cell r="Q119">
            <v>-1387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-3595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1846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1371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130412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-20652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-14903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-1418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4682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</row>
        <row r="120">
          <cell r="B120" t="str">
            <v>Other financing cash flow items</v>
          </cell>
          <cell r="C120" t="str">
            <v>OTH_FIN_CF</v>
          </cell>
          <cell r="D120" t="str">
            <v>JPY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415</v>
          </cell>
          <cell r="L120">
            <v>-2</v>
          </cell>
          <cell r="M120">
            <v>-2</v>
          </cell>
          <cell r="N120">
            <v>379</v>
          </cell>
          <cell r="O120">
            <v>2510</v>
          </cell>
          <cell r="P120">
            <v>5038</v>
          </cell>
          <cell r="Q120">
            <v>-933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-1078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-355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-385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-1002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-1276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3329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7764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-894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</row>
        <row r="121">
          <cell r="B121" t="str">
            <v>Cash flow from financing</v>
          </cell>
          <cell r="C121" t="str">
            <v>CF_FIN</v>
          </cell>
          <cell r="D121" t="str">
            <v>JPY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-6345</v>
          </cell>
          <cell r="L121">
            <v>-4406</v>
          </cell>
          <cell r="M121">
            <v>-9805</v>
          </cell>
          <cell r="N121">
            <v>-7933</v>
          </cell>
          <cell r="O121">
            <v>-207</v>
          </cell>
          <cell r="P121">
            <v>-5846</v>
          </cell>
          <cell r="Q121">
            <v>-10795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-12585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-3197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-9455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116972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-36513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-28653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-12505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-12054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</row>
        <row r="122">
          <cell r="B122" t="str">
            <v>Total cash flow</v>
          </cell>
          <cell r="C122" t="str">
            <v>TOT_CF</v>
          </cell>
          <cell r="D122" t="str">
            <v>JPY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3943</v>
          </cell>
          <cell r="L122">
            <v>13253</v>
          </cell>
          <cell r="M122">
            <v>-9217</v>
          </cell>
          <cell r="N122">
            <v>2866</v>
          </cell>
          <cell r="O122">
            <v>11926</v>
          </cell>
          <cell r="P122">
            <v>11290</v>
          </cell>
          <cell r="Q122">
            <v>-2199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21869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-26896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23849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28739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-37082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-7715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29287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29546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</row>
        <row r="123">
          <cell r="A123" t="str">
            <v>Additional Cash Flow Items</v>
          </cell>
          <cell r="B123">
            <v>0</v>
          </cell>
          <cell r="C123">
            <v>0</v>
          </cell>
          <cell r="D123">
            <v>0</v>
          </cell>
        </row>
        <row r="124">
          <cell r="B124" t="str">
            <v>Associate and JV add-back</v>
          </cell>
          <cell r="C124" t="str">
            <v>ASSOC_JV_ADDBK</v>
          </cell>
          <cell r="D124" t="str">
            <v>JPY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JPY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</row>
        <row r="126">
          <cell r="B126" t="str">
            <v>Other non-cash adjustments</v>
          </cell>
          <cell r="C126" t="str">
            <v>OTH_NONCASH_ADJ</v>
          </cell>
          <cell r="D126" t="str">
            <v>JPY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</row>
        <row r="127">
          <cell r="B127" t="str">
            <v>Other DACF adjustments</v>
          </cell>
          <cell r="C127" t="str">
            <v>OTH_DACF_ADJ</v>
          </cell>
          <cell r="D127" t="str">
            <v>JPY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</row>
        <row r="128">
          <cell r="B128" t="str">
            <v>Cash interest expense</v>
          </cell>
          <cell r="C128" t="str">
            <v>CASH_INT_EXP</v>
          </cell>
          <cell r="D128" t="str">
            <v>JPY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</row>
        <row r="129">
          <cell r="B129" t="str">
            <v>Cash tax expense</v>
          </cell>
          <cell r="C129" t="str">
            <v>CASH_TAX_EXP</v>
          </cell>
          <cell r="D129" t="str">
            <v>JPY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</row>
        <row r="130">
          <cell r="B130" t="str">
            <v>Dividends received from associates/JVs</v>
          </cell>
          <cell r="C130" t="str">
            <v>DIVDS_ASSOC_JV</v>
          </cell>
          <cell r="D130" t="str">
            <v>JPY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</row>
        <row r="131">
          <cell r="B131" t="str">
            <v>Capex maintenance</v>
          </cell>
          <cell r="C131" t="str">
            <v>CAPEX_MAINTENANCE</v>
          </cell>
          <cell r="D131" t="str">
            <v>JPY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</row>
        <row r="132">
          <cell r="B132" t="str">
            <v>Capex expansion</v>
          </cell>
          <cell r="C132" t="str">
            <v>CAPEX_EXPANSION</v>
          </cell>
          <cell r="D132" t="str">
            <v>JPY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</row>
        <row r="133">
          <cell r="B133" t="str">
            <v>Non-PP&amp;E capex</v>
          </cell>
          <cell r="C133" t="str">
            <v>NONPPE_CAPEX</v>
          </cell>
          <cell r="D133" t="str">
            <v>JPY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</row>
        <row r="134">
          <cell r="B134" t="str">
            <v>Dividends paid to minorities</v>
          </cell>
          <cell r="C134" t="str">
            <v>DIVDS_PD_MINORITIES</v>
          </cell>
          <cell r="D134" t="str">
            <v>JPY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</row>
        <row r="135">
          <cell r="B135" t="str">
            <v>Capital expenditures (excl. leases)</v>
          </cell>
          <cell r="C135" t="str">
            <v>CAPEX_EX_LEASES</v>
          </cell>
          <cell r="D135" t="str">
            <v>JPY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-17370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-14573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-24750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-25738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-25271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-47705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-58694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-41424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</row>
        <row r="136">
          <cell r="A136" t="str">
            <v>Other Items</v>
          </cell>
          <cell r="B136">
            <v>0</v>
          </cell>
          <cell r="C136">
            <v>0</v>
          </cell>
          <cell r="D136">
            <v>0</v>
          </cell>
        </row>
        <row r="137">
          <cell r="B137" t="str">
            <v>Number of employees</v>
          </cell>
          <cell r="C137" t="str">
            <v>EMPLOYEES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10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10.3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10.855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11.423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</row>
        <row r="138">
          <cell r="B138" t="str">
            <v>Media/advertising expense</v>
          </cell>
          <cell r="C138" t="str">
            <v>MEDIA_ADVERTISING</v>
          </cell>
          <cell r="D138" t="str">
            <v>JPY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15796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19138.585874662498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</row>
        <row r="139">
          <cell r="A139" t="str">
            <v>COGS Breakdown</v>
          </cell>
          <cell r="B139">
            <v>0</v>
          </cell>
          <cell r="C139">
            <v>0</v>
          </cell>
          <cell r="D139">
            <v>0</v>
          </cell>
        </row>
        <row r="140">
          <cell r="B140" t="str">
            <v>% of COGS from Dairy</v>
          </cell>
          <cell r="C140" t="str">
            <v>COGS_DAIRY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</row>
        <row r="141">
          <cell r="B141" t="str">
            <v>% of COGS from Nuts</v>
          </cell>
          <cell r="C141" t="str">
            <v>COGS_NUTS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</row>
        <row r="142">
          <cell r="B142" t="str">
            <v>% of COGS from Palm oil</v>
          </cell>
          <cell r="C142" t="str">
            <v>COGS_PALM_OIL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</row>
        <row r="143">
          <cell r="B143" t="str">
            <v>% of COGS from Other edible oil</v>
          </cell>
          <cell r="C143" t="str">
            <v>COGS_OTH_EDIBLE_OIL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</row>
        <row r="144">
          <cell r="B144" t="str">
            <v>% of COGS from Soybean</v>
          </cell>
          <cell r="C144" t="str">
            <v>COGS_SOYBEAN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</row>
        <row r="145">
          <cell r="B145" t="str">
            <v>% of COGS from Tobacco leaf</v>
          </cell>
          <cell r="C145" t="str">
            <v>COGS_TOBACCO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</row>
        <row r="146">
          <cell r="B146" t="str">
            <v>% of COGS from Energy</v>
          </cell>
          <cell r="C146" t="str">
            <v>COGS_ENERGY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</row>
        <row r="147">
          <cell r="B147" t="str">
            <v>% of COGS from Raws - Pulp</v>
          </cell>
          <cell r="C147" t="str">
            <v>COGS_RAW_PULP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0.05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0.05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</row>
        <row r="148">
          <cell r="B148" t="str">
            <v>% of COGS from Raws - Oil derivatives</v>
          </cell>
          <cell r="C148" t="str">
            <v>COGS_RAW_OIL_DERIV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0.05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0.05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</row>
        <row r="149">
          <cell r="B149" t="str">
            <v>% of COGS from Raws - Other</v>
          </cell>
          <cell r="C149" t="str">
            <v>COGS_RAW_OTH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</row>
        <row r="150">
          <cell r="B150" t="str">
            <v>% of COGS from Pack - Paper/pulp</v>
          </cell>
          <cell r="C150" t="str">
            <v>COGS_PACK_PAPER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</row>
        <row r="151">
          <cell r="B151" t="str">
            <v>% of COGS from Pack - Glass</v>
          </cell>
          <cell r="C151" t="str">
            <v>COGS_PACK_GLASS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</row>
        <row r="152">
          <cell r="B152" t="str">
            <v>% of COGS from Pack - Oil derivatives/plastics</v>
          </cell>
          <cell r="C152" t="str">
            <v>COGS_PACK_OIL_DERIV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</row>
        <row r="153">
          <cell r="B153" t="str">
            <v>% of COGS from Pack - Tin</v>
          </cell>
          <cell r="C153" t="str">
            <v>COGS_PACK_TIN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</row>
        <row r="154">
          <cell r="B154" t="str">
            <v>% of COGS from Pack - Aluminium</v>
          </cell>
          <cell r="C154" t="str">
            <v>COGS_PACK_ALUM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</row>
        <row r="155">
          <cell r="B155" t="str">
            <v>% of COGS from Overhead / wages</v>
          </cell>
          <cell r="C155" t="str">
            <v>COGS_OH_WAGES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0.05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0.05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</row>
        <row r="156">
          <cell r="A156" t="str">
            <v>Regional Sales Growth</v>
          </cell>
          <cell r="B156">
            <v>0</v>
          </cell>
          <cell r="C156">
            <v>0</v>
          </cell>
          <cell r="D156">
            <v>0</v>
          </cell>
        </row>
        <row r="157">
          <cell r="B157" t="str">
            <v>North America sales growth</v>
          </cell>
          <cell r="C157" t="str">
            <v>NAMERICA_SALES_GROWTH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0.89655172413793105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</row>
        <row r="158">
          <cell r="B158" t="str">
            <v>LatAm sales growth</v>
          </cell>
          <cell r="C158" t="str">
            <v>LATAM_SALES_GROWTH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</row>
        <row r="159">
          <cell r="B159" t="str">
            <v>Europe sales growth</v>
          </cell>
          <cell r="C159" t="str">
            <v>EUROPE_SALES_GROWTH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-7.2072072072072113E-2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0.26213592233009719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</row>
        <row r="160">
          <cell r="B160" t="str">
            <v>EEMEA sales growth</v>
          </cell>
          <cell r="C160" t="str">
            <v>EEMEA_SALES_GROWTH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0.30541871921182273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0.35471698113207539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</row>
        <row r="161">
          <cell r="B161" t="str">
            <v>Asia sales growth</v>
          </cell>
          <cell r="C161" t="str">
            <v>ASIA_SALES_GROWTH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0.13262812555877179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0.17956807932807251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</row>
        <row r="162">
          <cell r="A162" t="str">
            <v>Geographical Breakdown</v>
          </cell>
          <cell r="B162">
            <v>0</v>
          </cell>
          <cell r="C162">
            <v>0</v>
          </cell>
          <cell r="D162">
            <v>0</v>
          </cell>
        </row>
        <row r="163">
          <cell r="B163" t="str">
            <v>Sales - % Canada</v>
          </cell>
          <cell r="C163" t="str">
            <v>SALES_CANADA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</row>
        <row r="164">
          <cell r="B164" t="str">
            <v>Sales - % United States</v>
          </cell>
          <cell r="C164" t="str">
            <v>SALES_US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2.3397899433407764E-2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2.3397899433407764E-2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2.3397899433407764E-2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2.3397899433407764E-2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2.3397899433407764E-2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2.3397899433407764E-2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2.3397899433407764E-2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2.3397899433407764E-2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3.6700002502272899E-2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</row>
        <row r="165">
          <cell r="B165" t="str">
            <v>Sales - % Other North Americas</v>
          </cell>
          <cell r="C165" t="str">
            <v>SALES_OTH_NO_AMER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</row>
        <row r="166">
          <cell r="B166" t="str">
            <v>Sales - % Argentina</v>
          </cell>
          <cell r="C166" t="str">
            <v>SALES_ARGENTINA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</row>
        <row r="167">
          <cell r="B167" t="str">
            <v>Sales - % Brazil</v>
          </cell>
          <cell r="C167" t="str">
            <v>SALES_BRAZIL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</row>
        <row r="168">
          <cell r="B168" t="str">
            <v>Sales - % Chile</v>
          </cell>
          <cell r="C168" t="str">
            <v>SALES_CHILE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</row>
        <row r="169">
          <cell r="B169" t="str">
            <v>Sales - % Colombia</v>
          </cell>
          <cell r="C169" t="str">
            <v>SALES_COLOMBIA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</row>
        <row r="170">
          <cell r="B170" t="str">
            <v>Sales - % Mexico</v>
          </cell>
          <cell r="C170" t="str">
            <v>SALES_MEXICO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</row>
        <row r="171">
          <cell r="B171" t="str">
            <v>Sales - % Venezuela</v>
          </cell>
          <cell r="C171" t="str">
            <v>SALES_VENEZUELA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</row>
        <row r="172">
          <cell r="B172" t="str">
            <v>Sales - % Other Latin Americas</v>
          </cell>
          <cell r="C172" t="str">
            <v>SALES_OTH_LATAM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</row>
        <row r="173">
          <cell r="B173" t="str">
            <v>Sales - % Austria</v>
          </cell>
          <cell r="C173" t="str">
            <v>SALES_AUSTRIA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</row>
        <row r="174">
          <cell r="B174" t="str">
            <v>Sales - % Belgium</v>
          </cell>
          <cell r="C174" t="str">
            <v>SALES_BEL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</row>
        <row r="175">
          <cell r="B175" t="str">
            <v>Sales - % France</v>
          </cell>
          <cell r="C175" t="str">
            <v>SALES_FRA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</row>
        <row r="176">
          <cell r="B176" t="str">
            <v>Sales - % Germany</v>
          </cell>
          <cell r="C176" t="str">
            <v>SALES_GER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</row>
        <row r="177">
          <cell r="B177" t="str">
            <v>Sales - % Greece</v>
          </cell>
          <cell r="C177" t="str">
            <v>SALES_GRE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</row>
        <row r="178">
          <cell r="B178" t="str">
            <v>Sales - % Ireland</v>
          </cell>
          <cell r="C178" t="str">
            <v>SALES_IRE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</row>
        <row r="179">
          <cell r="B179" t="str">
            <v>Sales - % Italy</v>
          </cell>
          <cell r="C179" t="str">
            <v>SALES_ITA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</row>
        <row r="180">
          <cell r="B180" t="str">
            <v>Sales - % Netherlands</v>
          </cell>
          <cell r="C180" t="str">
            <v>SALES_NETH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</row>
        <row r="181">
          <cell r="B181" t="str">
            <v>Sales - % Norway</v>
          </cell>
          <cell r="C181" t="str">
            <v>SALES_NOR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</row>
        <row r="182">
          <cell r="B182" t="str">
            <v>Sales - % Portugal</v>
          </cell>
          <cell r="C182" t="str">
            <v>SALES_POR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</row>
        <row r="183">
          <cell r="B183" t="str">
            <v>Sales - % Spain</v>
          </cell>
          <cell r="C183" t="str">
            <v>SALES_SPA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</row>
        <row r="184">
          <cell r="B184" t="str">
            <v>Sales - % Sweden</v>
          </cell>
          <cell r="C184" t="str">
            <v>SALES_SWE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</row>
        <row r="185">
          <cell r="B185" t="str">
            <v>Sales - % Switzerland</v>
          </cell>
          <cell r="C185" t="str">
            <v>SALES_SWIT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</row>
        <row r="186">
          <cell r="B186" t="str">
            <v>Sales - % UK</v>
          </cell>
          <cell r="C186" t="str">
            <v>SALES_UK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</row>
        <row r="187">
          <cell r="B187" t="str">
            <v>Sales - % Other Western Europe</v>
          </cell>
          <cell r="C187" t="str">
            <v>SALES_OTH_WEST_EURO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</row>
        <row r="188">
          <cell r="B188" t="str">
            <v>Sales - % Poland</v>
          </cell>
          <cell r="C188" t="str">
            <v>SALES_POLAND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</row>
        <row r="189">
          <cell r="B189" t="str">
            <v>Sales - % Russia</v>
          </cell>
          <cell r="C189" t="str">
            <v>SALES_RUSSIA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</row>
        <row r="190">
          <cell r="B190" t="str">
            <v>Sales - % Turkey</v>
          </cell>
          <cell r="C190" t="str">
            <v>SALES_TURKEY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</row>
        <row r="191">
          <cell r="B191" t="str">
            <v>Sales - % Other CEE</v>
          </cell>
          <cell r="C191" t="str">
            <v>SALES_OTH_CEE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</row>
        <row r="192">
          <cell r="B192" t="str">
            <v>Sales - % Saudi Arabia</v>
          </cell>
          <cell r="C192" t="str">
            <v>SALES_SAUDI_ARABIA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</row>
        <row r="193">
          <cell r="B193" t="str">
            <v>Sales - % United Arab Emirates</v>
          </cell>
          <cell r="C193" t="str">
            <v>SALES_UAE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</row>
        <row r="194">
          <cell r="B194" t="str">
            <v>Sales - % Other Middle East</v>
          </cell>
          <cell r="C194" t="str">
            <v>SALES_OTH_ME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</row>
        <row r="195">
          <cell r="B195" t="str">
            <v>Sales - % Nigeria</v>
          </cell>
          <cell r="C195" t="str">
            <v>SALES_NIGERIA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</row>
        <row r="196">
          <cell r="B196" t="str">
            <v>Sales - % South Africa</v>
          </cell>
          <cell r="C196" t="str">
            <v>SALES_SO_AFRICA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</row>
        <row r="197">
          <cell r="B197" t="str">
            <v>Sales - % Other Africa</v>
          </cell>
          <cell r="C197" t="str">
            <v>SALES_OTH_AFRICA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</row>
        <row r="198">
          <cell r="B198" t="str">
            <v>Sales - % Hong Kong</v>
          </cell>
          <cell r="C198" t="str">
            <v>SALES_HONG_KONG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</row>
        <row r="199">
          <cell r="B199" t="str">
            <v>Sales - % Japan</v>
          </cell>
          <cell r="C199" t="str">
            <v>SALES_JAPAN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0.47802917072600049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0.47802917072600049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0.47802917072600049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0.47802917072600049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0.47802917072600049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0.47802917072600049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0.47802917072600049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0.47802917072600049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0.42440550166401148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</row>
        <row r="200">
          <cell r="B200" t="str">
            <v>Sales - % Singapore</v>
          </cell>
          <cell r="C200" t="str">
            <v>SALES_SINGAPORE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</row>
        <row r="201">
          <cell r="B201" t="str">
            <v>Sales - % South Korea</v>
          </cell>
          <cell r="C201" t="str">
            <v>SALES_SK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</row>
        <row r="202">
          <cell r="B202" t="str">
            <v>Sales - % Taiwan</v>
          </cell>
          <cell r="C202" t="str">
            <v>SALES_TAIWAN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</row>
        <row r="203">
          <cell r="B203" t="str">
            <v>Sales - % Other Developed Asia</v>
          </cell>
          <cell r="C203" t="str">
            <v>SALES_OTH_DEV_ASIA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</row>
        <row r="204">
          <cell r="B204" t="str">
            <v>Sales - % China</v>
          </cell>
          <cell r="C204" t="str">
            <v>SALES_CHINA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0.14580522055545805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0.14580522055545805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0.14580522055545805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0.14580522055545805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0.14580522055545805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0.14580522055545805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0.14580522055545805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0.14580522055545805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0.15493906965493656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</row>
        <row r="205">
          <cell r="B205" t="str">
            <v>Sales - % India</v>
          </cell>
          <cell r="C205" t="str">
            <v>SALES_INDIA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</row>
        <row r="206">
          <cell r="B206" t="str">
            <v>Sales - % Indonesia</v>
          </cell>
          <cell r="C206" t="str">
            <v>SALES_INDONESIA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8.5523356549697338E-2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8.5523356549697338E-2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8.5523356549697338E-2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8.5523356549697338E-2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8.5523356549697338E-2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8.5523356549697338E-2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8.5523356549697338E-2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8.5523356549697338E-2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9.9090006756136828E-2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</row>
        <row r="207">
          <cell r="B207" t="str">
            <v>Sales - % Thailand</v>
          </cell>
          <cell r="C207" t="str">
            <v>SALES_THAILAND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5.6881100346732667E-2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5.6881100346732667E-2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5.6881100346732667E-2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5.6881100346732667E-2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5.6881100346732667E-2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5.6881100346732667E-2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5.6881100346732667E-2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5.6881100346732667E-2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6.2890458833440369E-2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</row>
        <row r="208">
          <cell r="B208" t="str">
            <v>Sales - % Other Emerging Asia</v>
          </cell>
          <cell r="C208" t="str">
            <v>SALES_OTH_EMERG_ASIA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</row>
        <row r="209">
          <cell r="B209" t="str">
            <v>Sales - % Australia</v>
          </cell>
          <cell r="C209" t="str">
            <v>SALES_AUSTRA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1.875866075264588E-2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1.875866075264588E-2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1.875866075264588E-2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1.875866075264588E-2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1.875866075264588E-2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1.875866075264588E-2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1.875866075264588E-2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1.875866075264588E-2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2.0351819569442244E-2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</row>
        <row r="210">
          <cell r="B210" t="str">
            <v>Sales - % New Zealand</v>
          </cell>
          <cell r="C210" t="str">
            <v>SALES_NZ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</row>
        <row r="211">
          <cell r="B211" t="str">
            <v>Sales - % Others</v>
          </cell>
          <cell r="C211" t="str">
            <v>SALES_OTHER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0.19160459163605781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0.19160459163605781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0.19160459163605781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0.19160459163605781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0.19160459163605781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0.19160459163605781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0.19160459163605781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0.19160459163605781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0.20162314101975976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</row>
        <row r="212">
          <cell r="B212" t="str">
            <v>% of CoGS from U.S. (GS estimate)</v>
          </cell>
          <cell r="C212" t="str">
            <v>COGS_PCT_US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</row>
        <row r="213">
          <cell r="B213" t="str">
            <v>% of CoGS from non-U.S. (GS estimate)</v>
          </cell>
          <cell r="C213" t="str">
            <v>COGS_PCT_ROW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</row>
        <row r="214">
          <cell r="B214" t="str">
            <v>% of SG&amp;A from U.S. (GS estimate)</v>
          </cell>
          <cell r="C214" t="str">
            <v>SGA_PCT_US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</row>
        <row r="215">
          <cell r="B215" t="str">
            <v>% of SG&amp;A from non-U.S. (GS estimate)</v>
          </cell>
          <cell r="C215" t="str">
            <v>SGA_PCT_ROW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</row>
        <row r="216">
          <cell r="B216" t="str">
            <v>Sales -% Consumer (C)</v>
          </cell>
          <cell r="C216" t="str">
            <v>SALES_CONS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0.99</v>
          </cell>
          <cell r="L216">
            <v>0.99</v>
          </cell>
          <cell r="M216">
            <v>0.99</v>
          </cell>
          <cell r="N216">
            <v>0.99</v>
          </cell>
          <cell r="O216">
            <v>0.99</v>
          </cell>
          <cell r="P216">
            <v>0.99</v>
          </cell>
          <cell r="Q216">
            <v>0.99</v>
          </cell>
          <cell r="R216">
            <v>0.99</v>
          </cell>
          <cell r="S216">
            <v>0.99</v>
          </cell>
          <cell r="T216">
            <v>0.99</v>
          </cell>
          <cell r="U216">
            <v>0.99</v>
          </cell>
          <cell r="V216">
            <v>0.99</v>
          </cell>
          <cell r="W216">
            <v>0.99</v>
          </cell>
          <cell r="X216">
            <v>0.99</v>
          </cell>
          <cell r="Y216">
            <v>0.99</v>
          </cell>
          <cell r="Z216">
            <v>0.99</v>
          </cell>
          <cell r="AA216">
            <v>0.99</v>
          </cell>
          <cell r="AB216">
            <v>0.99</v>
          </cell>
          <cell r="AC216">
            <v>0.99</v>
          </cell>
          <cell r="AD216">
            <v>0.99</v>
          </cell>
          <cell r="AE216">
            <v>0.99</v>
          </cell>
          <cell r="AF216">
            <v>0.99</v>
          </cell>
          <cell r="AG216">
            <v>0.99</v>
          </cell>
          <cell r="AH216">
            <v>0.99</v>
          </cell>
          <cell r="AI216">
            <v>0.99</v>
          </cell>
          <cell r="AJ216">
            <v>0.99</v>
          </cell>
          <cell r="AK216">
            <v>0.99</v>
          </cell>
          <cell r="AL216">
            <v>0.99</v>
          </cell>
          <cell r="AM216">
            <v>0.99</v>
          </cell>
          <cell r="AN216">
            <v>0.99</v>
          </cell>
          <cell r="AO216">
            <v>0.99</v>
          </cell>
          <cell r="AP216">
            <v>0.99</v>
          </cell>
          <cell r="AQ216">
            <v>0.99</v>
          </cell>
          <cell r="AR216">
            <v>0.99</v>
          </cell>
          <cell r="AS216">
            <v>0.99</v>
          </cell>
          <cell r="AT216">
            <v>0.99</v>
          </cell>
          <cell r="AU216">
            <v>0.99</v>
          </cell>
          <cell r="AV216">
            <v>0.99</v>
          </cell>
          <cell r="AW216">
            <v>0.99</v>
          </cell>
          <cell r="AX216">
            <v>0.99</v>
          </cell>
          <cell r="AY216">
            <v>0.99</v>
          </cell>
          <cell r="AZ216">
            <v>0.99</v>
          </cell>
          <cell r="BA216">
            <v>0.99</v>
          </cell>
          <cell r="BB216">
            <v>0.99</v>
          </cell>
          <cell r="BC216">
            <v>0.99</v>
          </cell>
          <cell r="BD216">
            <v>0.99</v>
          </cell>
          <cell r="BE216">
            <v>0.99</v>
          </cell>
          <cell r="BF216">
            <v>0.99</v>
          </cell>
          <cell r="BG216">
            <v>0.99</v>
          </cell>
          <cell r="BH216">
            <v>0.99</v>
          </cell>
          <cell r="BI216">
            <v>0.99</v>
          </cell>
        </row>
        <row r="217">
          <cell r="B217" t="str">
            <v>Sales -% Industry (I)</v>
          </cell>
          <cell r="C217" t="str">
            <v>SALES_IND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0.01</v>
          </cell>
          <cell r="L217">
            <v>0.01</v>
          </cell>
          <cell r="M217">
            <v>0.01</v>
          </cell>
          <cell r="N217">
            <v>0.01</v>
          </cell>
          <cell r="O217">
            <v>0.01</v>
          </cell>
          <cell r="P217">
            <v>0.01</v>
          </cell>
          <cell r="Q217">
            <v>0.01</v>
          </cell>
          <cell r="R217">
            <v>0.01</v>
          </cell>
          <cell r="S217">
            <v>0.01</v>
          </cell>
          <cell r="T217">
            <v>0.01</v>
          </cell>
          <cell r="U217">
            <v>0.01</v>
          </cell>
          <cell r="V217">
            <v>0.01</v>
          </cell>
          <cell r="W217">
            <v>0.01</v>
          </cell>
          <cell r="X217">
            <v>0.01</v>
          </cell>
          <cell r="Y217">
            <v>0.01</v>
          </cell>
          <cell r="Z217">
            <v>0.01</v>
          </cell>
          <cell r="AA217">
            <v>0.01</v>
          </cell>
          <cell r="AB217">
            <v>0.01</v>
          </cell>
          <cell r="AC217">
            <v>0.01</v>
          </cell>
          <cell r="AD217">
            <v>0.01</v>
          </cell>
          <cell r="AE217">
            <v>0.01</v>
          </cell>
          <cell r="AF217">
            <v>0.01</v>
          </cell>
          <cell r="AG217">
            <v>0.01</v>
          </cell>
          <cell r="AH217">
            <v>0.01</v>
          </cell>
          <cell r="AI217">
            <v>0.01</v>
          </cell>
          <cell r="AJ217">
            <v>0.01</v>
          </cell>
          <cell r="AK217">
            <v>0.01</v>
          </cell>
          <cell r="AL217">
            <v>0.01</v>
          </cell>
          <cell r="AM217">
            <v>0.01</v>
          </cell>
          <cell r="AN217">
            <v>0.01</v>
          </cell>
          <cell r="AO217">
            <v>0.01</v>
          </cell>
          <cell r="AP217">
            <v>0.01</v>
          </cell>
          <cell r="AQ217">
            <v>0.01</v>
          </cell>
          <cell r="AR217">
            <v>0.01</v>
          </cell>
          <cell r="AS217">
            <v>0.01</v>
          </cell>
          <cell r="AT217">
            <v>0.01</v>
          </cell>
          <cell r="AU217">
            <v>0.01</v>
          </cell>
          <cell r="AV217">
            <v>0.01</v>
          </cell>
          <cell r="AW217">
            <v>0.01</v>
          </cell>
          <cell r="AX217">
            <v>0.01</v>
          </cell>
          <cell r="AY217">
            <v>0.01</v>
          </cell>
          <cell r="AZ217">
            <v>0.01</v>
          </cell>
          <cell r="BA217">
            <v>0.01</v>
          </cell>
          <cell r="BB217">
            <v>0.01</v>
          </cell>
          <cell r="BC217">
            <v>0.01</v>
          </cell>
          <cell r="BD217">
            <v>0.01</v>
          </cell>
          <cell r="BE217">
            <v>0.01</v>
          </cell>
          <cell r="BF217">
            <v>0.01</v>
          </cell>
          <cell r="BG217">
            <v>0.01</v>
          </cell>
          <cell r="BH217">
            <v>0.01</v>
          </cell>
          <cell r="BI217">
            <v>0.01</v>
          </cell>
        </row>
        <row r="218">
          <cell r="B218" t="str">
            <v>Sales -% Government (G)</v>
          </cell>
          <cell r="C218" t="str">
            <v>SALES_GOV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</row>
        <row r="219">
          <cell r="B219" t="str">
            <v>Sales - % Industry Sub-Segment: Financial Services</v>
          </cell>
          <cell r="C219" t="str">
            <v>SALES_FINAN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</row>
        <row r="220">
          <cell r="B220" t="str">
            <v>Sales - % Industry Sub-Segment: Oil &amp; Gas</v>
          </cell>
          <cell r="C220" t="str">
            <v>SALES_OIL_GAS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</row>
        <row r="221">
          <cell r="B221" t="str">
            <v>Sales - % from Captive Financing Business</v>
          </cell>
          <cell r="C221" t="str">
            <v>REV_FIN_SEGMENT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</row>
        <row r="222">
          <cell r="A222">
            <v>0</v>
          </cell>
          <cell r="B222" t="str">
            <v>Sales - % Canada</v>
          </cell>
          <cell r="C222" t="str">
            <v>SALES_CANADA</v>
          </cell>
          <cell r="D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</row>
        <row r="223">
          <cell r="A223">
            <v>0</v>
          </cell>
          <cell r="B223" t="str">
            <v>Sales - % Austria</v>
          </cell>
          <cell r="C223" t="str">
            <v>SALES_AUSTRIA</v>
          </cell>
          <cell r="D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</row>
        <row r="224">
          <cell r="A224">
            <v>0</v>
          </cell>
          <cell r="B224" t="str">
            <v>Sales - % Belgium</v>
          </cell>
          <cell r="C224" t="str">
            <v>SALES_BEL</v>
          </cell>
          <cell r="D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</row>
        <row r="225">
          <cell r="A225">
            <v>0</v>
          </cell>
          <cell r="B225" t="str">
            <v>Sales - % Denmark</v>
          </cell>
          <cell r="C225" t="str">
            <v>SALES_DEN</v>
          </cell>
          <cell r="D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</row>
        <row r="226">
          <cell r="A226">
            <v>0</v>
          </cell>
          <cell r="B226" t="str">
            <v>Sales - % Finland</v>
          </cell>
          <cell r="C226" t="str">
            <v>SALES_FIN</v>
          </cell>
          <cell r="D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</row>
        <row r="227">
          <cell r="A227">
            <v>0</v>
          </cell>
          <cell r="B227" t="str">
            <v>Sales - % France</v>
          </cell>
          <cell r="C227" t="str">
            <v>SALES_FRA</v>
          </cell>
          <cell r="D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</row>
        <row r="228">
          <cell r="A228">
            <v>0</v>
          </cell>
          <cell r="B228" t="str">
            <v>Sales - % Germany</v>
          </cell>
          <cell r="C228" t="str">
            <v>SALES_GER</v>
          </cell>
          <cell r="D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</row>
        <row r="229">
          <cell r="A229">
            <v>0</v>
          </cell>
          <cell r="B229" t="str">
            <v>Sales - % Greece</v>
          </cell>
          <cell r="C229" t="str">
            <v>SALES_GRE</v>
          </cell>
          <cell r="D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</row>
        <row r="230">
          <cell r="A230">
            <v>0</v>
          </cell>
          <cell r="B230" t="str">
            <v>Sales - % Iceland</v>
          </cell>
          <cell r="C230" t="str">
            <v>SALES_ICE</v>
          </cell>
          <cell r="D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</row>
        <row r="231">
          <cell r="A231">
            <v>0</v>
          </cell>
          <cell r="B231" t="str">
            <v>Sales - % Ireland</v>
          </cell>
          <cell r="C231" t="str">
            <v>SALES_IRE</v>
          </cell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</row>
        <row r="232">
          <cell r="A232">
            <v>0</v>
          </cell>
          <cell r="B232" t="str">
            <v>Sales - % Italy</v>
          </cell>
          <cell r="C232" t="str">
            <v>SALES_ITA</v>
          </cell>
          <cell r="D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</row>
        <row r="233">
          <cell r="A233">
            <v>0</v>
          </cell>
          <cell r="B233" t="str">
            <v>Sales - % Netherlands</v>
          </cell>
          <cell r="C233" t="str">
            <v>SALES_NETH</v>
          </cell>
          <cell r="D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</row>
        <row r="234">
          <cell r="A234">
            <v>0</v>
          </cell>
          <cell r="B234" t="str">
            <v>Sales - % Norway</v>
          </cell>
          <cell r="C234" t="str">
            <v>SALES_NOR</v>
          </cell>
          <cell r="D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</row>
        <row r="235">
          <cell r="A235">
            <v>0</v>
          </cell>
          <cell r="B235" t="str">
            <v>Sales - % Portugal</v>
          </cell>
          <cell r="C235" t="str">
            <v>SALES_POR</v>
          </cell>
          <cell r="D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</row>
        <row r="236">
          <cell r="A236">
            <v>0</v>
          </cell>
          <cell r="B236" t="str">
            <v>Sales - % Spain</v>
          </cell>
          <cell r="C236" t="str">
            <v>SALES_SPA</v>
          </cell>
          <cell r="D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</row>
        <row r="237">
          <cell r="A237">
            <v>0</v>
          </cell>
          <cell r="B237" t="str">
            <v>Sales - % Sweden</v>
          </cell>
          <cell r="C237" t="str">
            <v>SALES_SWE</v>
          </cell>
          <cell r="D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</row>
        <row r="238">
          <cell r="A238">
            <v>0</v>
          </cell>
          <cell r="B238" t="str">
            <v>Sales - % Switzerland</v>
          </cell>
          <cell r="C238" t="str">
            <v>SALES_SWIT</v>
          </cell>
          <cell r="D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</row>
        <row r="239">
          <cell r="A239">
            <v>0</v>
          </cell>
          <cell r="B239" t="str">
            <v>Sales - % South Korea</v>
          </cell>
          <cell r="C239" t="str">
            <v>SALES_SK</v>
          </cell>
          <cell r="D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</row>
        <row r="240">
          <cell r="A240">
            <v>0</v>
          </cell>
          <cell r="B240" t="str">
            <v>Sales - % New Zealand</v>
          </cell>
          <cell r="C240" t="str">
            <v>SALES_NZ</v>
          </cell>
          <cell r="D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</row>
        <row r="241">
          <cell r="A241">
            <v>0</v>
          </cell>
          <cell r="B241" t="str">
            <v>Operating Profit - % Total Americas</v>
          </cell>
          <cell r="C241" t="str">
            <v>OP_TOT_AM</v>
          </cell>
          <cell r="D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</row>
        <row r="242">
          <cell r="A242">
            <v>0</v>
          </cell>
          <cell r="B242" t="str">
            <v>Operating Profit - % United States</v>
          </cell>
          <cell r="C242" t="str">
            <v>OP_US</v>
          </cell>
          <cell r="D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</row>
        <row r="243">
          <cell r="A243">
            <v>0</v>
          </cell>
          <cell r="B243" t="str">
            <v>Operating Profit - % Canada</v>
          </cell>
          <cell r="C243" t="str">
            <v>OP_CANADA</v>
          </cell>
          <cell r="D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</row>
        <row r="244">
          <cell r="A244">
            <v>0</v>
          </cell>
          <cell r="B244" t="str">
            <v>Operating Profit - % Brazil</v>
          </cell>
          <cell r="C244" t="str">
            <v>OP_BRAZIL</v>
          </cell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</row>
        <row r="245">
          <cell r="A245">
            <v>0</v>
          </cell>
          <cell r="B245" t="str">
            <v>Operating Profit - % Other Americas</v>
          </cell>
          <cell r="C245" t="str">
            <v>OP_OTH_AM</v>
          </cell>
          <cell r="D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</row>
        <row r="246">
          <cell r="A246">
            <v>0</v>
          </cell>
          <cell r="B246" t="str">
            <v>Operating Profit - Total % EMEA</v>
          </cell>
          <cell r="C246" t="str">
            <v>OP_TOT_EMEA</v>
          </cell>
          <cell r="D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</row>
        <row r="247">
          <cell r="A247">
            <v>0</v>
          </cell>
          <cell r="B247" t="str">
            <v>Operating Profit - % UK</v>
          </cell>
          <cell r="C247" t="str">
            <v>OP_UK</v>
          </cell>
          <cell r="D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</row>
        <row r="248">
          <cell r="A248">
            <v>0</v>
          </cell>
          <cell r="B248" t="str">
            <v>Operating Profit - % Europe-Ex UK</v>
          </cell>
          <cell r="C248" t="str">
            <v>OP_EU_EX_UK</v>
          </cell>
          <cell r="D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</row>
        <row r="249">
          <cell r="A249">
            <v>0</v>
          </cell>
          <cell r="B249" t="str">
            <v>Operating Profit - % Austria</v>
          </cell>
          <cell r="C249" t="str">
            <v>OP_AUSTRIA</v>
          </cell>
          <cell r="D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</row>
        <row r="250">
          <cell r="A250">
            <v>0</v>
          </cell>
          <cell r="B250" t="str">
            <v>Operating Profit - % Belgium</v>
          </cell>
          <cell r="C250" t="str">
            <v>OP_BEL</v>
          </cell>
          <cell r="D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</row>
        <row r="251">
          <cell r="A251">
            <v>0</v>
          </cell>
          <cell r="B251" t="str">
            <v>Operating Profit - % Denmark</v>
          </cell>
          <cell r="C251" t="str">
            <v>OP_DEN</v>
          </cell>
          <cell r="D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</row>
        <row r="252">
          <cell r="A252">
            <v>0</v>
          </cell>
          <cell r="B252" t="str">
            <v>Operating Profit - % Finland</v>
          </cell>
          <cell r="C252" t="str">
            <v>OP_FIN</v>
          </cell>
          <cell r="D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</row>
        <row r="253">
          <cell r="A253">
            <v>0</v>
          </cell>
          <cell r="B253" t="str">
            <v>Operating Profit - % France</v>
          </cell>
          <cell r="C253" t="str">
            <v>OP_FRA</v>
          </cell>
          <cell r="D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</row>
        <row r="254">
          <cell r="A254">
            <v>0</v>
          </cell>
          <cell r="B254" t="str">
            <v>Operating Profit - % Germany</v>
          </cell>
          <cell r="C254" t="str">
            <v>OP_GER</v>
          </cell>
          <cell r="D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</row>
        <row r="255">
          <cell r="A255">
            <v>0</v>
          </cell>
          <cell r="B255" t="str">
            <v>Operating Profit - % Greece</v>
          </cell>
          <cell r="C255" t="str">
            <v>OP_GRE</v>
          </cell>
          <cell r="D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</row>
        <row r="256">
          <cell r="A256">
            <v>0</v>
          </cell>
          <cell r="B256" t="str">
            <v>Operating Profit - % Iceland</v>
          </cell>
          <cell r="C256" t="str">
            <v>OP_ICE</v>
          </cell>
          <cell r="D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</row>
        <row r="257">
          <cell r="A257">
            <v>0</v>
          </cell>
          <cell r="B257" t="str">
            <v>Operating Profit - % Ireland</v>
          </cell>
          <cell r="C257" t="str">
            <v>OP_IRE</v>
          </cell>
          <cell r="D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</row>
        <row r="258">
          <cell r="A258">
            <v>0</v>
          </cell>
          <cell r="B258" t="str">
            <v>Operating Profit - % Italy</v>
          </cell>
          <cell r="C258" t="str">
            <v>OP_ITA</v>
          </cell>
          <cell r="D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</row>
        <row r="259">
          <cell r="A259">
            <v>0</v>
          </cell>
          <cell r="B259" t="str">
            <v>Operating Profit - % Netherlands</v>
          </cell>
          <cell r="C259" t="str">
            <v>OP_NETH</v>
          </cell>
          <cell r="D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</row>
        <row r="260">
          <cell r="A260">
            <v>0</v>
          </cell>
          <cell r="B260" t="str">
            <v>Operating Profit - % Norway</v>
          </cell>
          <cell r="C260" t="str">
            <v>OP_NOR</v>
          </cell>
          <cell r="D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</row>
        <row r="261">
          <cell r="A261">
            <v>0</v>
          </cell>
          <cell r="B261" t="str">
            <v>Operating Profit - % Portugal</v>
          </cell>
          <cell r="C261" t="str">
            <v>OP_POR</v>
          </cell>
          <cell r="D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</row>
        <row r="262">
          <cell r="A262">
            <v>0</v>
          </cell>
          <cell r="B262" t="str">
            <v>Operating Profit - % Spain</v>
          </cell>
          <cell r="C262" t="str">
            <v>OP_SPA</v>
          </cell>
          <cell r="D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</row>
        <row r="263">
          <cell r="A263">
            <v>0</v>
          </cell>
          <cell r="B263" t="str">
            <v>Operating Profit - % Sweden</v>
          </cell>
          <cell r="C263" t="str">
            <v>OP_SWE</v>
          </cell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</row>
        <row r="264">
          <cell r="A264">
            <v>0</v>
          </cell>
          <cell r="B264" t="str">
            <v>Operating Profit - % Switzerland</v>
          </cell>
          <cell r="C264" t="str">
            <v>OP_SWIT</v>
          </cell>
          <cell r="D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</row>
        <row r="265">
          <cell r="A265">
            <v>0</v>
          </cell>
          <cell r="B265" t="str">
            <v>Operating Profit - % Central &amp; Eastern Europe</v>
          </cell>
          <cell r="C265" t="str">
            <v>OP_CEE</v>
          </cell>
          <cell r="D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</row>
        <row r="266">
          <cell r="A266">
            <v>0</v>
          </cell>
          <cell r="B266" t="str">
            <v>Operating Profit - % Middle East</v>
          </cell>
          <cell r="C266" t="str">
            <v>OP_ME</v>
          </cell>
          <cell r="D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</row>
        <row r="267">
          <cell r="A267">
            <v>0</v>
          </cell>
          <cell r="B267" t="str">
            <v>Operating Profit - % Russia</v>
          </cell>
          <cell r="C267" t="str">
            <v>OP_RUSSIA</v>
          </cell>
          <cell r="D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</row>
        <row r="268">
          <cell r="A268">
            <v>0</v>
          </cell>
          <cell r="B268" t="str">
            <v>Operating Profit - % Other EMEA</v>
          </cell>
          <cell r="C268" t="str">
            <v>OP_OTH_EMEA</v>
          </cell>
          <cell r="D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</row>
        <row r="269">
          <cell r="A269">
            <v>0</v>
          </cell>
          <cell r="B269" t="str">
            <v>Operating Profit - Total % Asia (incl Australia &amp; New Zealand)</v>
          </cell>
          <cell r="C269" t="str">
            <v>OP_TOT_ASIA</v>
          </cell>
          <cell r="D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</row>
        <row r="270">
          <cell r="A270">
            <v>0</v>
          </cell>
          <cell r="B270" t="str">
            <v>Operating Profit - % Japan</v>
          </cell>
          <cell r="C270" t="str">
            <v>OP_JAPAN</v>
          </cell>
          <cell r="D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</row>
        <row r="271">
          <cell r="A271">
            <v>0</v>
          </cell>
          <cell r="B271" t="str">
            <v>Operating Profit - % Greater China (incl HK)</v>
          </cell>
          <cell r="C271" t="str">
            <v>OP_CHINA</v>
          </cell>
          <cell r="D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</row>
        <row r="272">
          <cell r="A272">
            <v>0</v>
          </cell>
          <cell r="B272" t="str">
            <v>Operating Profit - % India</v>
          </cell>
          <cell r="C272" t="str">
            <v>OP_INDIA</v>
          </cell>
          <cell r="D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</row>
        <row r="273">
          <cell r="A273">
            <v>0</v>
          </cell>
          <cell r="B273" t="str">
            <v>Operating Profit - % South Korea</v>
          </cell>
          <cell r="C273" t="str">
            <v>OP_SK</v>
          </cell>
          <cell r="D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</row>
        <row r="274">
          <cell r="A274">
            <v>0</v>
          </cell>
          <cell r="B274" t="str">
            <v>Operating Profit - % Australia</v>
          </cell>
          <cell r="C274" t="str">
            <v>OP_AUSTRA</v>
          </cell>
          <cell r="D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</row>
        <row r="275">
          <cell r="A275">
            <v>0</v>
          </cell>
          <cell r="B275" t="str">
            <v>Operating Profit - % New Zealand</v>
          </cell>
          <cell r="C275" t="str">
            <v>OP_NZ</v>
          </cell>
          <cell r="D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</row>
        <row r="276">
          <cell r="A276">
            <v>0</v>
          </cell>
          <cell r="B276" t="str">
            <v>Operating Profit - % Other AEJ (incl Taiwan)</v>
          </cell>
          <cell r="C276" t="str">
            <v>OP_OTH_AEJ</v>
          </cell>
          <cell r="D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</row>
        <row r="277">
          <cell r="A277">
            <v>0</v>
          </cell>
          <cell r="B277" t="str">
            <v>Operating Profit - % Others</v>
          </cell>
          <cell r="C277" t="str">
            <v>OP_OTHER</v>
          </cell>
          <cell r="D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</row>
        <row r="278">
          <cell r="A278">
            <v>0</v>
          </cell>
          <cell r="B278" t="str">
            <v>Operating Profit - % Consumer (C)</v>
          </cell>
          <cell r="C278" t="str">
            <v>OP_CONS</v>
          </cell>
          <cell r="D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</row>
        <row r="279">
          <cell r="A279">
            <v>0</v>
          </cell>
          <cell r="B279" t="str">
            <v>Operating Profit - % Industry (I)</v>
          </cell>
          <cell r="C279" t="str">
            <v>OP_IND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</row>
        <row r="280">
          <cell r="A280">
            <v>0</v>
          </cell>
          <cell r="B280" t="str">
            <v>Operating Profit - % Government (G)</v>
          </cell>
          <cell r="C280" t="str">
            <v>OP_GOV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</row>
        <row r="281">
          <cell r="A281" t="str">
            <v>Commodities Exposure - Expense</v>
          </cell>
          <cell r="B281">
            <v>0</v>
          </cell>
          <cell r="C281">
            <v>0</v>
          </cell>
          <cell r="D281">
            <v>0</v>
          </cell>
        </row>
        <row r="282">
          <cell r="B282" t="str">
            <v>Expense - % Oil/Petrol/Fuel</v>
          </cell>
          <cell r="C282" t="str">
            <v>EXP_OIL_PETRO_FUEL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</row>
        <row r="283">
          <cell r="B283" t="str">
            <v>Expense - % Oil derivatives/NGLs/plastics</v>
          </cell>
          <cell r="C283" t="str">
            <v>EXP_OIL_DERIV_NGLS_PLASTICS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</row>
        <row r="284">
          <cell r="B284" t="str">
            <v>Expense - % Aluminium</v>
          </cell>
          <cell r="C284" t="str">
            <v>EXP_ALUMINIUM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</row>
        <row r="285">
          <cell r="B285" t="str">
            <v>Expense - % Steel</v>
          </cell>
          <cell r="C285" t="str">
            <v>EXP_STEEL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</row>
        <row r="286">
          <cell r="B286" t="str">
            <v>Expense - % Tin</v>
          </cell>
          <cell r="C286" t="str">
            <v>EXP_TIN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</row>
        <row r="287">
          <cell r="B287" t="str">
            <v>Expense - % Paper/pulp</v>
          </cell>
          <cell r="C287" t="str">
            <v>EXP_PAPER_PULP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</row>
        <row r="288">
          <cell r="B288" t="str">
            <v>Expense - % Glass</v>
          </cell>
          <cell r="C288" t="str">
            <v>EXP_GLASS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</row>
        <row r="289">
          <cell r="B289" t="str">
            <v>Expense - % Nuts</v>
          </cell>
          <cell r="C289" t="str">
            <v>EXP_NUTS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</row>
        <row r="290">
          <cell r="B290" t="str">
            <v>Expense - % Palm oil</v>
          </cell>
          <cell r="C290" t="str">
            <v>EXP_PALM_OIL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</row>
        <row r="291">
          <cell r="B291" t="str">
            <v>Expense - % Other edible oil</v>
          </cell>
          <cell r="C291" t="str">
            <v>EXP_OTH_EDIBLE_OIL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</row>
        <row r="292">
          <cell r="B292" t="str">
            <v>Expense - % Water</v>
          </cell>
          <cell r="C292" t="str">
            <v>EXP_WATER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</row>
        <row r="293">
          <cell r="B293" t="str">
            <v>Expense - % Other commodity</v>
          </cell>
          <cell r="C293" t="str">
            <v>EXP_OTH_COMMODITY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</row>
        <row r="294">
          <cell r="B294" t="str">
            <v>Expense - % Other (Non-Commodity) cost</v>
          </cell>
          <cell r="C294" t="str">
            <v>EXP_OTH_COST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</row>
        <row r="295">
          <cell r="A295" t="str">
            <v>FX Exposure - Sales</v>
          </cell>
          <cell r="B295">
            <v>0</v>
          </cell>
          <cell r="C295">
            <v>0</v>
          </cell>
          <cell r="D295">
            <v>0</v>
          </cell>
        </row>
        <row r="296">
          <cell r="B296" t="str">
            <v>Sales - % FX: British Pounds/Pence</v>
          </cell>
          <cell r="C296" t="str">
            <v>SALES_FX_GPB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</row>
        <row r="297">
          <cell r="B297" t="str">
            <v>Sales - % FX: Euro</v>
          </cell>
          <cell r="C297" t="str">
            <v>SALES_FX_EUR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4.1551442097258612E-2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4.3372730229958877E-2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</row>
        <row r="298">
          <cell r="B298" t="str">
            <v>Sales - % FX: New Russian Ruble</v>
          </cell>
          <cell r="C298" t="str">
            <v>SALES_FX_RUB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</row>
        <row r="299">
          <cell r="B299" t="str">
            <v>Sales - % FX: U.S. Dollar</v>
          </cell>
          <cell r="C299" t="str">
            <v>SALES_FX_USD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2.3397899433407764E-2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3.6700002502272899E-2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</row>
        <row r="300">
          <cell r="B300" t="str">
            <v>Sales - % FX: Brazilian Real</v>
          </cell>
          <cell r="C300" t="str">
            <v>SALES_FX_BRL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</row>
        <row r="301">
          <cell r="B301" t="str">
            <v>Sales - % FX: Japanese Yen</v>
          </cell>
          <cell r="C301" t="str">
            <v>SALES_FX_YEN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0.47802917072600049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0.42440550166401148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</row>
        <row r="302">
          <cell r="B302" t="str">
            <v>Sales - % FX: Chinese Renminbi</v>
          </cell>
          <cell r="C302" t="str">
            <v>SALES_FX_CNY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0.14580522055545805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0.15493906965493656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</row>
        <row r="303">
          <cell r="B303" t="str">
            <v>Sales - % FX: Indian Rupee</v>
          </cell>
          <cell r="C303" t="str">
            <v>SALES_FX_INR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</row>
        <row r="304">
          <cell r="B304" t="str">
            <v>Sales - % FX: Indonesian Rupiah</v>
          </cell>
          <cell r="C304" t="str">
            <v>SALES_FX_IDR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8.5523356549697338E-2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9.9090006756136828E-2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</row>
        <row r="305">
          <cell r="B305" t="str">
            <v>Sales - % FX: Thai Baht</v>
          </cell>
          <cell r="C305" t="str">
            <v>SALES_FX_THB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5.6881100346732667E-2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6.2890458833440369E-2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</row>
        <row r="306">
          <cell r="B306" t="str">
            <v>Sales - % FX: Australian Dollar</v>
          </cell>
          <cell r="C306" t="str">
            <v>SALES_FX_AUD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1.875866075264588E-2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2.0351819569442244E-2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</row>
        <row r="307">
          <cell r="B307" t="str">
            <v>Sales - % FX: Other Currency</v>
          </cell>
          <cell r="C307" t="str">
            <v>SALES_FX_OTH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0.15005314953879922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0.15825041078980084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</row>
        <row r="308">
          <cell r="A308" t="str">
            <v>Items to be removed</v>
          </cell>
          <cell r="B308">
            <v>0</v>
          </cell>
          <cell r="C308">
            <v>0</v>
          </cell>
          <cell r="D308">
            <v>0</v>
          </cell>
        </row>
        <row r="309">
          <cell r="B309" t="str">
            <v>Sales - Total % Americas</v>
          </cell>
          <cell r="C309" t="str">
            <v>SALES_TOT_AM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2.3397899433407764E-2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3.6700002502272899E-2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</row>
        <row r="310">
          <cell r="B310" t="str">
            <v>Sales - % Other Americas</v>
          </cell>
          <cell r="C310" t="str">
            <v>SALES_OTH_AM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</row>
        <row r="311">
          <cell r="B311" t="str">
            <v>Sales - Total % EMEA</v>
          </cell>
          <cell r="C311" t="str">
            <v>SALES_TOT_EMEA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9.5003539940819448E-2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0.10326046158594056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</row>
        <row r="312">
          <cell r="B312" t="str">
            <v>Sales - % Western Europe-Ex UK</v>
          </cell>
          <cell r="C312" t="str">
            <v>SALES_EU_EX_UK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</row>
        <row r="313">
          <cell r="B313" t="str">
            <v>Sales - % Central &amp; Eastern Europe</v>
          </cell>
          <cell r="C313" t="str">
            <v>SALES_CEE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</row>
        <row r="314">
          <cell r="B314" t="str">
            <v>Sales - % Middle East</v>
          </cell>
          <cell r="C314" t="str">
            <v>SALES_ME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5.3452097843560836E-2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5.9887731355981681E-2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</row>
        <row r="315">
          <cell r="B315" t="str">
            <v>Sales - % Total Africa</v>
          </cell>
          <cell r="C315" t="str">
            <v>SALES_TOT_AFRICA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</row>
        <row r="316">
          <cell r="B316" t="str">
            <v>Sales - % Other EMEA</v>
          </cell>
          <cell r="C316" t="str">
            <v>SALES_OTH_EMEA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</row>
        <row r="317">
          <cell r="B317" t="str">
            <v>Sales - Total % Asia (incl Australia &amp; New Zealand)</v>
          </cell>
          <cell r="C317" t="str">
            <v>SALES_TOT_ASIA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0.81147186312457498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0.83882026094993012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0.85364387758154858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0.89298873865061712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0.93799792090233369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0.96972867944344143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0.8815985606257728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0.8600395359117865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</row>
        <row r="318">
          <cell r="B318" t="str">
            <v>Sales - % Other Asia</v>
          </cell>
          <cell r="C318" t="str">
            <v>SALES_OTH_AEJ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0.18763747184311647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0.21498586966847155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0.22980948630008999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0.26915434736915855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0.31416352962087507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0.34589428816198287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9.6601051695238332E-2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9.8362679433819059E-2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</row>
        <row r="319">
          <cell r="A319" t="str">
            <v>Analyst Defined Items</v>
          </cell>
          <cell r="B319">
            <v>0</v>
          </cell>
          <cell r="C319">
            <v>0</v>
          </cell>
          <cell r="D319">
            <v>0</v>
          </cell>
        </row>
        <row r="320">
          <cell r="B320" t="str">
            <v>Currency contribution to % sales growth</v>
          </cell>
          <cell r="C320" t="str">
            <v>SALES_FX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</row>
        <row r="321">
          <cell r="B321" t="str">
            <v>Inorganic sales contribution to % sales growth</v>
          </cell>
          <cell r="C321" t="str">
            <v>SALES_INORGANIC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0.15887500927366568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0.14814549866447352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</row>
        <row r="322">
          <cell r="B322" t="str">
            <v>Pricing contribution to % sales growth</v>
          </cell>
          <cell r="C322" t="str">
            <v>SALES_PRICE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</row>
        <row r="323">
          <cell r="B323" t="str">
            <v>Volume contribution to % sales growth</v>
          </cell>
          <cell r="C323" t="str">
            <v>SALES_VOLUME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-1.5887917760992556E-3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6.0991381064272314E-2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</row>
        <row r="324">
          <cell r="A324" t="str">
            <v>Security: Unicharm</v>
          </cell>
          <cell r="B324">
            <v>0</v>
          </cell>
          <cell r="C324">
            <v>0</v>
          </cell>
          <cell r="D324">
            <v>0</v>
          </cell>
        </row>
        <row r="325">
          <cell r="A325" t="str">
            <v>Reference Data</v>
          </cell>
          <cell r="B325">
            <v>0</v>
          </cell>
          <cell r="C325">
            <v>0</v>
          </cell>
          <cell r="D325">
            <v>0</v>
          </cell>
        </row>
        <row r="326">
          <cell r="B326" t="str">
            <v>Ticker</v>
          </cell>
          <cell r="C326" t="str">
            <v>Ticker</v>
          </cell>
          <cell r="E326" t="str">
            <v>8113.T</v>
          </cell>
        </row>
        <row r="327">
          <cell r="B327" t="str">
            <v>Security Name</v>
          </cell>
          <cell r="C327" t="str">
            <v>Security Name</v>
          </cell>
          <cell r="E327" t="str">
            <v>Unicharm</v>
          </cell>
        </row>
        <row r="328">
          <cell r="B328" t="str">
            <v>Interim Type</v>
          </cell>
          <cell r="C328" t="str">
            <v>Interim Type</v>
          </cell>
          <cell r="E328" t="str">
            <v>Q</v>
          </cell>
        </row>
        <row r="329">
          <cell r="B329" t="str">
            <v>Publishing Currency</v>
          </cell>
          <cell r="C329" t="str">
            <v>PUB_CURRENCY_ISO</v>
          </cell>
          <cell r="E329" t="str">
            <v>JPY</v>
          </cell>
        </row>
        <row r="330">
          <cell r="B330" t="str">
            <v>Pricing Currency</v>
          </cell>
          <cell r="C330" t="str">
            <v>PRICE_CURRENCY_ISO</v>
          </cell>
          <cell r="E330" t="str">
            <v>JPY</v>
          </cell>
        </row>
        <row r="331">
          <cell r="B331" t="str">
            <v>Reporting Currency</v>
          </cell>
          <cell r="C331" t="str">
            <v>CURRENCY_ISO</v>
          </cell>
          <cell r="E331" t="str">
            <v>JPY</v>
          </cell>
        </row>
        <row r="332">
          <cell r="A332" t="str">
            <v>General Information</v>
          </cell>
          <cell r="B332">
            <v>0</v>
          </cell>
          <cell r="C332">
            <v>0</v>
          </cell>
          <cell r="D332">
            <v>0</v>
          </cell>
        </row>
        <row r="333">
          <cell r="B333" t="str">
            <v>Japan Investment List</v>
          </cell>
          <cell r="C333" t="str">
            <v>JAPAN_LIST</v>
          </cell>
          <cell r="E333">
            <v>0</v>
          </cell>
        </row>
        <row r="334">
          <cell r="B334" t="str">
            <v>Japan Conviction List</v>
          </cell>
          <cell r="C334" t="str">
            <v>JAPAN_CONVICTION</v>
          </cell>
          <cell r="E334">
            <v>0</v>
          </cell>
        </row>
        <row r="335">
          <cell r="B335" t="str">
            <v>Legal rating</v>
          </cell>
          <cell r="C335" t="str">
            <v>LEGAL_RATING</v>
          </cell>
          <cell r="E335">
            <v>0</v>
          </cell>
        </row>
        <row r="336">
          <cell r="B336" t="str">
            <v>Target price</v>
          </cell>
          <cell r="C336" t="str">
            <v>TARGET_PRICE</v>
          </cell>
          <cell r="D336" t="str">
            <v>JPY</v>
          </cell>
          <cell r="E336">
            <v>2800</v>
          </cell>
        </row>
        <row r="337">
          <cell r="B337" t="str">
            <v>Target price period</v>
          </cell>
          <cell r="C337" t="str">
            <v>TP_PERIOD</v>
          </cell>
          <cell r="E337" t="str">
            <v>12 months</v>
          </cell>
        </row>
        <row r="338">
          <cell r="B338" t="str">
            <v>Current shares outstanding (mn)</v>
          </cell>
          <cell r="C338" t="str">
            <v>NUM_SH</v>
          </cell>
          <cell r="D338" t="str">
            <v>JPY</v>
          </cell>
          <cell r="E338">
            <v>600.79738600000007</v>
          </cell>
        </row>
        <row r="339">
          <cell r="B339" t="str">
            <v>Free float</v>
          </cell>
          <cell r="C339" t="str">
            <v>FREE_FLOAT</v>
          </cell>
          <cell r="D339" t="str">
            <v>JPY</v>
          </cell>
          <cell r="E339">
            <v>0</v>
          </cell>
        </row>
        <row r="340">
          <cell r="B340" t="str">
            <v>Catalyst 1 date</v>
          </cell>
          <cell r="C340" t="str">
            <v>CATALYST1_DATE</v>
          </cell>
          <cell r="E340">
            <v>0</v>
          </cell>
        </row>
        <row r="341">
          <cell r="B341" t="str">
            <v>Catalyst 1 description</v>
          </cell>
          <cell r="C341" t="str">
            <v>CATALYST1_EVENT</v>
          </cell>
          <cell r="E341">
            <v>0</v>
          </cell>
        </row>
        <row r="342">
          <cell r="B342" t="str">
            <v>Catalyst 2 date</v>
          </cell>
          <cell r="C342" t="str">
            <v>CATALYST2_DATE</v>
          </cell>
          <cell r="E342">
            <v>0</v>
          </cell>
        </row>
        <row r="343">
          <cell r="B343" t="str">
            <v>Catalyst 2 description</v>
          </cell>
          <cell r="C343" t="str">
            <v>CATALYST2_EVENT</v>
          </cell>
          <cell r="E343">
            <v>0</v>
          </cell>
        </row>
        <row r="344">
          <cell r="B344" t="str">
            <v>Catalyst 3 date</v>
          </cell>
          <cell r="C344" t="str">
            <v>CATALYST3_DATE</v>
          </cell>
          <cell r="E344">
            <v>0</v>
          </cell>
        </row>
        <row r="345">
          <cell r="B345" t="str">
            <v>Catalyst 3 description</v>
          </cell>
          <cell r="C345" t="str">
            <v>CATALYST3_EVENT</v>
          </cell>
          <cell r="E345">
            <v>0</v>
          </cell>
        </row>
        <row r="346">
          <cell r="B346" t="str">
            <v>Catalyst 4 date</v>
          </cell>
          <cell r="C346" t="str">
            <v>CATALYST4_DATE</v>
          </cell>
          <cell r="E346">
            <v>0</v>
          </cell>
        </row>
        <row r="347">
          <cell r="B347" t="str">
            <v>Catalyst 4 description</v>
          </cell>
          <cell r="C347" t="str">
            <v>CATALYST4_EVENT</v>
          </cell>
          <cell r="E347">
            <v>0</v>
          </cell>
        </row>
        <row r="348">
          <cell r="B348" t="str">
            <v>Catalyst 5 date</v>
          </cell>
          <cell r="C348" t="str">
            <v>CATALYST5_DATE</v>
          </cell>
          <cell r="E348">
            <v>0</v>
          </cell>
        </row>
        <row r="349">
          <cell r="B349" t="str">
            <v>Catalyst 5 description</v>
          </cell>
          <cell r="C349" t="str">
            <v>CATALYST5_EVENT</v>
          </cell>
          <cell r="E349">
            <v>0</v>
          </cell>
        </row>
        <row r="350">
          <cell r="B350" t="str">
            <v>Target price multiple</v>
          </cell>
          <cell r="C350" t="str">
            <v>PRI_TARG_MULT</v>
          </cell>
          <cell r="E350">
            <v>0</v>
          </cell>
        </row>
        <row r="351">
          <cell r="B351" t="str">
            <v>Target price methodology</v>
          </cell>
          <cell r="C351" t="str">
            <v>PRI_TARG_METH</v>
          </cell>
          <cell r="E351" t="str">
            <v>Director's cut</v>
          </cell>
        </row>
        <row r="352">
          <cell r="B352" t="str">
            <v>Dividend policy</v>
          </cell>
          <cell r="C352" t="str">
            <v>DIV_POLICY</v>
          </cell>
          <cell r="E352">
            <v>0</v>
          </cell>
        </row>
        <row r="353">
          <cell r="A353" t="str">
            <v>Publishing Items</v>
          </cell>
          <cell r="B353">
            <v>0</v>
          </cell>
          <cell r="C353">
            <v>0</v>
          </cell>
          <cell r="D353">
            <v>0</v>
          </cell>
          <cell r="E353" t="str">
            <v>Director's cut</v>
          </cell>
        </row>
        <row r="354">
          <cell r="B354" t="str">
            <v>Book value per share, BVPS (Pub)</v>
          </cell>
          <cell r="C354" t="str">
            <v>BVPS_PUB</v>
          </cell>
          <cell r="D354" t="str">
            <v>JPY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144.82603502665768</v>
          </cell>
          <cell r="L354">
            <v>147.70080677464335</v>
          </cell>
          <cell r="M354">
            <v>179.06824034755516</v>
          </cell>
          <cell r="N354">
            <v>197.9191809436563</v>
          </cell>
          <cell r="O354">
            <v>221.78588246557212</v>
          </cell>
          <cell r="P354">
            <v>243.51585499254591</v>
          </cell>
          <cell r="Q354">
            <v>259.59582946315822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267.78642048620378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270.06883296991185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296.19818745877029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325.72941574127117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344.75059359597032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467.83174046794272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603.11259951465399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676.33503359855331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</row>
        <row r="355">
          <cell r="A355" t="str">
            <v>Publishing Items</v>
          </cell>
          <cell r="B355" t="str">
            <v>DPS, dividend per share (Pub)</v>
          </cell>
          <cell r="C355" t="str">
            <v>DPS_PUB</v>
          </cell>
          <cell r="D355" t="str">
            <v>JPY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8</v>
          </cell>
          <cell r="L355">
            <v>6.666666666666667</v>
          </cell>
          <cell r="M355">
            <v>8</v>
          </cell>
          <cell r="N355">
            <v>9.3333333333333339</v>
          </cell>
          <cell r="O355">
            <v>10</v>
          </cell>
          <cell r="P355">
            <v>10.666666666666666</v>
          </cell>
          <cell r="Q355">
            <v>14.666666666666666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15.333333333333334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18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23.333333333333332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28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32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34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38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25.4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</row>
        <row r="356">
          <cell r="B356" t="str">
            <v>Special dividend per share</v>
          </cell>
          <cell r="C356" t="str">
            <v>DPS_SPECIAL_PUB</v>
          </cell>
          <cell r="D356" t="str">
            <v>JPY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</row>
        <row r="357">
          <cell r="B357" t="str">
            <v>EBITDA (Pub)</v>
          </cell>
          <cell r="C357" t="str">
            <v>EBITDA_PUB</v>
          </cell>
          <cell r="D357" t="str">
            <v>JPY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31467</v>
          </cell>
          <cell r="L357">
            <v>29474</v>
          </cell>
          <cell r="M357">
            <v>36817</v>
          </cell>
          <cell r="N357">
            <v>42342</v>
          </cell>
          <cell r="O357">
            <v>39614</v>
          </cell>
          <cell r="P357">
            <v>41594</v>
          </cell>
          <cell r="Q357">
            <v>43115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48772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51985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61459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63942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69057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80541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98544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85510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</row>
        <row r="358">
          <cell r="B358" t="str">
            <v>Special dividend per share</v>
          </cell>
          <cell r="C358" t="str">
            <v>DPS_SPECIAL_PUB</v>
          </cell>
          <cell r="D358" t="str">
            <v>JPY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A1" t="str">
            <v>Issuer: Unicharm</v>
          </cell>
          <cell r="C1">
            <v>2035320167</v>
          </cell>
          <cell r="F1">
            <v>1995</v>
          </cell>
          <cell r="G1">
            <v>1996</v>
          </cell>
          <cell r="H1">
            <v>1997</v>
          </cell>
          <cell r="I1">
            <v>1998</v>
          </cell>
          <cell r="J1">
            <v>1999</v>
          </cell>
          <cell r="K1">
            <v>2000</v>
          </cell>
          <cell r="L1">
            <v>2001</v>
          </cell>
          <cell r="M1">
            <v>2002</v>
          </cell>
          <cell r="N1">
            <v>2003</v>
          </cell>
          <cell r="O1">
            <v>2004</v>
          </cell>
          <cell r="P1">
            <v>2005</v>
          </cell>
          <cell r="Q1">
            <v>2006</v>
          </cell>
          <cell r="R1" t="str">
            <v>2007 Q1</v>
          </cell>
          <cell r="S1" t="str">
            <v>2007 Q2</v>
          </cell>
          <cell r="T1" t="str">
            <v>2007 Q3</v>
          </cell>
          <cell r="U1" t="str">
            <v>2007 Q4</v>
          </cell>
          <cell r="V1">
            <v>2007</v>
          </cell>
          <cell r="W1" t="str">
            <v>2008 Q1</v>
          </cell>
          <cell r="X1" t="str">
            <v>2008 Q2</v>
          </cell>
          <cell r="Y1" t="str">
            <v>2008 Q3</v>
          </cell>
          <cell r="Z1" t="str">
            <v>2008 Q4</v>
          </cell>
          <cell r="AA1">
            <v>2008</v>
          </cell>
          <cell r="AB1" t="str">
            <v>2009 Q1</v>
          </cell>
          <cell r="AC1" t="str">
            <v>2009 Q2</v>
          </cell>
          <cell r="AD1" t="str">
            <v>2009 Q3</v>
          </cell>
          <cell r="AE1" t="str">
            <v>2009 Q4</v>
          </cell>
          <cell r="AF1">
            <v>2009</v>
          </cell>
          <cell r="AG1" t="str">
            <v>2010 Q1</v>
          </cell>
          <cell r="AH1" t="str">
            <v>2010 Q2</v>
          </cell>
          <cell r="AI1" t="str">
            <v>2010 Q3</v>
          </cell>
          <cell r="AJ1" t="str">
            <v>2010 Q4</v>
          </cell>
          <cell r="AK1">
            <v>2010</v>
          </cell>
          <cell r="AL1" t="str">
            <v>2011 Q1</v>
          </cell>
          <cell r="AM1" t="str">
            <v>2011 Q2</v>
          </cell>
          <cell r="AN1" t="str">
            <v>2011 Q3</v>
          </cell>
          <cell r="AO1" t="str">
            <v>2011 Q4</v>
          </cell>
          <cell r="AP1">
            <v>2011</v>
          </cell>
          <cell r="AQ1" t="str">
            <v>2012 Q1</v>
          </cell>
          <cell r="AR1" t="str">
            <v>2012 Q2</v>
          </cell>
          <cell r="AS1" t="str">
            <v>2012 Q3</v>
          </cell>
          <cell r="AT1" t="str">
            <v>2012 Q4</v>
          </cell>
          <cell r="AU1">
            <v>2012</v>
          </cell>
          <cell r="AV1" t="str">
            <v>2013 Q1</v>
          </cell>
          <cell r="AW1" t="str">
            <v>2013 Q2</v>
          </cell>
          <cell r="AX1" t="str">
            <v>2013 Q3</v>
          </cell>
          <cell r="AY1" t="str">
            <v>2013 Q4</v>
          </cell>
          <cell r="AZ1">
            <v>2013</v>
          </cell>
          <cell r="BA1" t="str">
            <v>2014 Q1</v>
          </cell>
          <cell r="BB1" t="str">
            <v>2014 Q2</v>
          </cell>
          <cell r="BC1" t="str">
            <v>2014 Q3</v>
          </cell>
          <cell r="BD1" t="str">
            <v>2014 Q4</v>
          </cell>
          <cell r="BE1">
            <v>2014</v>
          </cell>
          <cell r="BF1" t="str">
            <v>2015 Q1</v>
          </cell>
          <cell r="BG1" t="str">
            <v>2015 Q2</v>
          </cell>
          <cell r="BH1" t="str">
            <v>2015 Q3</v>
          </cell>
          <cell r="BI1" t="str">
            <v>2015 Q4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Actual</v>
          </cell>
          <cell r="O2" t="str">
            <v>Actual</v>
          </cell>
          <cell r="P2" t="str">
            <v>Actual</v>
          </cell>
          <cell r="Q2" t="str">
            <v>Actual</v>
          </cell>
          <cell r="R2" t="str">
            <v>Actual</v>
          </cell>
          <cell r="S2" t="str">
            <v>Actual</v>
          </cell>
          <cell r="T2" t="str">
            <v>Actual</v>
          </cell>
          <cell r="U2" t="str">
            <v>Actual</v>
          </cell>
          <cell r="V2" t="str">
            <v>Actual</v>
          </cell>
          <cell r="W2" t="str">
            <v>Actual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  <cell r="AC2" t="str">
            <v>Actual</v>
          </cell>
          <cell r="AD2" t="str">
            <v>Actual</v>
          </cell>
          <cell r="AE2" t="str">
            <v>Actual</v>
          </cell>
          <cell r="AF2" t="str">
            <v>Actual</v>
          </cell>
          <cell r="AG2" t="str">
            <v>Actual</v>
          </cell>
          <cell r="AH2" t="str">
            <v>Actual</v>
          </cell>
          <cell r="AI2" t="str">
            <v>Actual</v>
          </cell>
          <cell r="AJ2" t="str">
            <v>Actual</v>
          </cell>
          <cell r="AK2" t="str">
            <v>Actual</v>
          </cell>
          <cell r="AL2" t="str">
            <v>Actual</v>
          </cell>
          <cell r="AM2" t="str">
            <v>Actual</v>
          </cell>
          <cell r="AN2" t="str">
            <v>Actual</v>
          </cell>
          <cell r="AO2" t="str">
            <v>Actual</v>
          </cell>
          <cell r="AP2" t="str">
            <v>Actual</v>
          </cell>
          <cell r="AQ2" t="str">
            <v>Actual</v>
          </cell>
          <cell r="AR2" t="str">
            <v>Actual</v>
          </cell>
          <cell r="AS2" t="str">
            <v>Actual</v>
          </cell>
          <cell r="AT2" t="str">
            <v>Actual</v>
          </cell>
          <cell r="AU2" t="str">
            <v>Actual</v>
          </cell>
          <cell r="AV2" t="str">
            <v>Actual</v>
          </cell>
          <cell r="AW2" t="str">
            <v>Actual</v>
          </cell>
          <cell r="AX2" t="str">
            <v>Actual</v>
          </cell>
          <cell r="AY2" t="str">
            <v>Actual</v>
          </cell>
          <cell r="AZ2" t="str">
            <v>Actual</v>
          </cell>
          <cell r="BA2" t="str">
            <v>Actual</v>
          </cell>
          <cell r="BB2" t="str">
            <v>Actual</v>
          </cell>
          <cell r="BC2" t="str">
            <v>Actual</v>
          </cell>
          <cell r="BD2" t="str">
            <v>Actual</v>
          </cell>
          <cell r="BE2" t="str">
            <v>Actual</v>
          </cell>
          <cell r="BF2" t="str">
            <v>Actual</v>
          </cell>
          <cell r="BG2" t="str">
            <v>Actual</v>
          </cell>
          <cell r="BH2" t="str">
            <v>Actual</v>
          </cell>
          <cell r="BI2" t="str">
            <v>Actual</v>
          </cell>
        </row>
        <row r="3">
          <cell r="F3">
            <v>35064</v>
          </cell>
          <cell r="G3">
            <v>35430</v>
          </cell>
          <cell r="H3">
            <v>35795</v>
          </cell>
          <cell r="I3">
            <v>36160</v>
          </cell>
          <cell r="J3">
            <v>36525</v>
          </cell>
          <cell r="K3">
            <v>36891</v>
          </cell>
          <cell r="L3">
            <v>37256</v>
          </cell>
          <cell r="M3">
            <v>37621</v>
          </cell>
          <cell r="N3">
            <v>37986</v>
          </cell>
          <cell r="O3">
            <v>38352</v>
          </cell>
          <cell r="P3">
            <v>38717</v>
          </cell>
          <cell r="Q3">
            <v>39082</v>
          </cell>
          <cell r="R3">
            <v>39172</v>
          </cell>
          <cell r="S3">
            <v>39263</v>
          </cell>
          <cell r="T3">
            <v>39355</v>
          </cell>
          <cell r="U3">
            <v>39447</v>
          </cell>
          <cell r="V3">
            <v>39447</v>
          </cell>
          <cell r="W3">
            <v>39538</v>
          </cell>
          <cell r="X3">
            <v>39629</v>
          </cell>
          <cell r="Y3">
            <v>39721</v>
          </cell>
          <cell r="Z3">
            <v>39813</v>
          </cell>
          <cell r="AA3">
            <v>39813</v>
          </cell>
          <cell r="AB3">
            <v>39903</v>
          </cell>
          <cell r="AC3">
            <v>39994</v>
          </cell>
          <cell r="AD3">
            <v>40086</v>
          </cell>
          <cell r="AE3">
            <v>40178</v>
          </cell>
          <cell r="AF3">
            <v>40178</v>
          </cell>
          <cell r="AG3">
            <v>40268</v>
          </cell>
          <cell r="AH3">
            <v>40359</v>
          </cell>
          <cell r="AI3">
            <v>40451</v>
          </cell>
          <cell r="AJ3">
            <v>40543</v>
          </cell>
          <cell r="AK3">
            <v>40543</v>
          </cell>
          <cell r="AL3">
            <v>40633</v>
          </cell>
          <cell r="AM3">
            <v>40724</v>
          </cell>
          <cell r="AN3">
            <v>40816</v>
          </cell>
          <cell r="AO3">
            <v>40908</v>
          </cell>
          <cell r="AP3">
            <v>40908</v>
          </cell>
          <cell r="AQ3">
            <v>40999</v>
          </cell>
          <cell r="AR3">
            <v>41090</v>
          </cell>
          <cell r="AS3">
            <v>41182</v>
          </cell>
          <cell r="AT3">
            <v>41274</v>
          </cell>
          <cell r="AU3">
            <v>41274</v>
          </cell>
          <cell r="AV3">
            <v>41364</v>
          </cell>
          <cell r="AW3">
            <v>41455</v>
          </cell>
          <cell r="AX3">
            <v>41547</v>
          </cell>
          <cell r="AY3">
            <v>41639</v>
          </cell>
          <cell r="AZ3">
            <v>41639</v>
          </cell>
          <cell r="BA3">
            <v>41729</v>
          </cell>
          <cell r="BB3">
            <v>41820</v>
          </cell>
          <cell r="BC3">
            <v>41912</v>
          </cell>
          <cell r="BD3">
            <v>42004</v>
          </cell>
          <cell r="BE3">
            <v>42004</v>
          </cell>
          <cell r="BF3">
            <v>42094</v>
          </cell>
          <cell r="BG3">
            <v>42185</v>
          </cell>
          <cell r="BH3">
            <v>42277</v>
          </cell>
          <cell r="BI3">
            <v>42369</v>
          </cell>
        </row>
        <row r="4">
          <cell r="A4" t="str">
            <v>Issuer: Unicharm</v>
          </cell>
          <cell r="B4" t="str">
            <v>131OK3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Unicharm</v>
          </cell>
        </row>
        <row r="7">
          <cell r="B7" t="str">
            <v>Reporting Currency</v>
          </cell>
          <cell r="C7" t="str">
            <v>CURRENCY_ISO</v>
          </cell>
          <cell r="E7" t="str">
            <v>JPY</v>
          </cell>
        </row>
        <row r="8">
          <cell r="A8" t="str">
            <v>General Information</v>
          </cell>
        </row>
        <row r="9">
          <cell r="B9" t="str">
            <v>Analyst Yen/USD assumption</v>
          </cell>
          <cell r="C9" t="str">
            <v>ASS_YEN_PER_USD_FX</v>
          </cell>
          <cell r="E9">
            <v>110</v>
          </cell>
        </row>
        <row r="10">
          <cell r="B10" t="str">
            <v>Analyst Yen/Euro assumption</v>
          </cell>
          <cell r="C10" t="str">
            <v>ASS_YEN_PER_EUR_FX</v>
          </cell>
          <cell r="E10">
            <v>125</v>
          </cell>
        </row>
        <row r="11">
          <cell r="B11" t="str">
            <v>M&amp;A probability (1 = high, 3 = low)</v>
          </cell>
          <cell r="C11" t="str">
            <v>MA_PROB</v>
          </cell>
          <cell r="E11">
            <v>3</v>
          </cell>
        </row>
        <row r="12">
          <cell r="B12" t="str">
            <v>Analyst USD rate assumption vs reporting currency</v>
          </cell>
          <cell r="C12" t="str">
            <v>FX_USD_ASSUMPTION</v>
          </cell>
        </row>
        <row r="13">
          <cell r="B13" t="str">
            <v>Analyst EUR rate assumption vs reporting currency</v>
          </cell>
          <cell r="C13" t="str">
            <v>FX_EUR_ASSUMPTION</v>
          </cell>
        </row>
        <row r="14">
          <cell r="A14" t="str">
            <v>Publishing Items</v>
          </cell>
        </row>
        <row r="15">
          <cell r="B15" t="str">
            <v>COE Yen/USD</v>
          </cell>
          <cell r="C15" t="str">
            <v>COE_YEN_PER_US_AVG_FX_PUB</v>
          </cell>
          <cell r="BE15">
            <v>90</v>
          </cell>
        </row>
        <row r="16">
          <cell r="B16" t="str">
            <v>COE Yen/EUR</v>
          </cell>
          <cell r="C16" t="str">
            <v>COE_YEN_PER_EUR_AVG_FX_PUB</v>
          </cell>
          <cell r="BE16">
            <v>123.6</v>
          </cell>
        </row>
        <row r="17">
          <cell r="A17" t="str">
            <v>Income Statement</v>
          </cell>
        </row>
        <row r="18">
          <cell r="B18" t="str">
            <v>Sales, net revenue</v>
          </cell>
          <cell r="C18" t="str">
            <v>SALES</v>
          </cell>
          <cell r="D18" t="str">
            <v>JPY</v>
          </cell>
          <cell r="K18">
            <v>212198</v>
          </cell>
          <cell r="L18">
            <v>206707</v>
          </cell>
          <cell r="M18">
            <v>223168</v>
          </cell>
          <cell r="N18">
            <v>240109</v>
          </cell>
          <cell r="O18">
            <v>246050</v>
          </cell>
          <cell r="P18">
            <v>270380</v>
          </cell>
          <cell r="Q18">
            <v>301880</v>
          </cell>
          <cell r="V18">
            <v>336864</v>
          </cell>
          <cell r="AA18">
            <v>347849</v>
          </cell>
          <cell r="AF18">
            <v>356825</v>
          </cell>
          <cell r="AK18">
            <v>376947</v>
          </cell>
          <cell r="AP18">
            <v>428391</v>
          </cell>
          <cell r="AU18">
            <v>495771</v>
          </cell>
          <cell r="AV18">
            <v>143761</v>
          </cell>
          <cell r="AW18">
            <v>142857</v>
          </cell>
          <cell r="AX18">
            <v>152360</v>
          </cell>
          <cell r="AY18">
            <v>160477</v>
          </cell>
          <cell r="AZ18">
            <v>599455</v>
          </cell>
          <cell r="BA18">
            <v>0</v>
          </cell>
          <cell r="BB18">
            <v>195709</v>
          </cell>
          <cell r="BC18">
            <v>161117</v>
          </cell>
          <cell r="BD18">
            <v>196835</v>
          </cell>
          <cell r="BE18">
            <v>553661</v>
          </cell>
          <cell r="BF18">
            <v>177558</v>
          </cell>
          <cell r="BG18">
            <v>181251</v>
          </cell>
          <cell r="BH18">
            <v>170262</v>
          </cell>
          <cell r="BI18">
            <v>209636</v>
          </cell>
        </row>
        <row r="19">
          <cell r="B19" t="str">
            <v>Cost of goods sold, COGS</v>
          </cell>
          <cell r="C19" t="str">
            <v>COST_GD_SD</v>
          </cell>
          <cell r="D19" t="str">
            <v>JPY</v>
          </cell>
          <cell r="K19">
            <v>-115822</v>
          </cell>
          <cell r="L19">
            <v>-113546</v>
          </cell>
          <cell r="M19">
            <v>-123882</v>
          </cell>
          <cell r="N19">
            <v>-132074</v>
          </cell>
          <cell r="O19">
            <v>-137341</v>
          </cell>
          <cell r="P19">
            <v>-153264</v>
          </cell>
          <cell r="Q19">
            <v>-173238</v>
          </cell>
          <cell r="V19">
            <v>-196130</v>
          </cell>
          <cell r="AA19">
            <v>-206209</v>
          </cell>
          <cell r="AF19">
            <v>-193012</v>
          </cell>
          <cell r="AK19">
            <v>-203394</v>
          </cell>
          <cell r="AP19">
            <v>-233936</v>
          </cell>
          <cell r="AU19">
            <v>-268744</v>
          </cell>
          <cell r="AZ19">
            <v>-331807</v>
          </cell>
          <cell r="BE19">
            <v>-308421</v>
          </cell>
        </row>
        <row r="20">
          <cell r="B20" t="str">
            <v>SG&amp;A, selling, general and admin. expense</v>
          </cell>
          <cell r="C20" t="str">
            <v>SEL_GL_AD</v>
          </cell>
          <cell r="D20" t="str">
            <v>JPY</v>
          </cell>
          <cell r="K20">
            <v>-75544</v>
          </cell>
          <cell r="L20">
            <v>-74187</v>
          </cell>
          <cell r="M20">
            <v>-73492</v>
          </cell>
          <cell r="N20">
            <v>-77309</v>
          </cell>
          <cell r="O20">
            <v>-81424</v>
          </cell>
          <cell r="P20">
            <v>-88584</v>
          </cell>
          <cell r="Q20">
            <v>-98711</v>
          </cell>
          <cell r="V20">
            <v>-107002</v>
          </cell>
          <cell r="AA20">
            <v>-106756</v>
          </cell>
          <cell r="AF20">
            <v>-118747</v>
          </cell>
          <cell r="AK20">
            <v>-126991</v>
          </cell>
          <cell r="AP20">
            <v>-142554</v>
          </cell>
          <cell r="AU20">
            <v>-167539</v>
          </cell>
          <cell r="AZ20">
            <v>-200408</v>
          </cell>
          <cell r="BE20">
            <v>-183892</v>
          </cell>
        </row>
        <row r="21">
          <cell r="B21" t="str">
            <v>Total operating expense</v>
          </cell>
          <cell r="C21" t="str">
            <v>OP_COST</v>
          </cell>
          <cell r="D21" t="str">
            <v>JPY</v>
          </cell>
          <cell r="K21">
            <v>-191366</v>
          </cell>
          <cell r="L21">
            <v>-187733</v>
          </cell>
          <cell r="M21">
            <v>-197374</v>
          </cell>
          <cell r="N21">
            <v>-209383</v>
          </cell>
          <cell r="O21">
            <v>-218765</v>
          </cell>
          <cell r="P21">
            <v>-241848</v>
          </cell>
          <cell r="Q21">
            <v>-271949</v>
          </cell>
          <cell r="V21">
            <v>-303132</v>
          </cell>
          <cell r="AA21">
            <v>-312965</v>
          </cell>
          <cell r="AF21">
            <v>-311759</v>
          </cell>
          <cell r="AK21">
            <v>-330385</v>
          </cell>
          <cell r="AP21">
            <v>-376490</v>
          </cell>
          <cell r="AU21">
            <v>-436283</v>
          </cell>
          <cell r="AZ21">
            <v>-532215</v>
          </cell>
          <cell r="BE21">
            <v>-492313</v>
          </cell>
        </row>
        <row r="22">
          <cell r="B22" t="str">
            <v>R&amp;D expense</v>
          </cell>
          <cell r="C22" t="str">
            <v>RD_EXP</v>
          </cell>
          <cell r="D22" t="str">
            <v>JPY</v>
          </cell>
          <cell r="AZ22">
            <v>-5099</v>
          </cell>
        </row>
        <row r="23">
          <cell r="B23" t="str">
            <v>Other operating income/(expense) (incl. leases)</v>
          </cell>
          <cell r="C23" t="str">
            <v>OTH_OP_INC_EXP</v>
          </cell>
          <cell r="D23" t="str">
            <v>JPY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V23">
            <v>0</v>
          </cell>
          <cell r="AA23">
            <v>0</v>
          </cell>
          <cell r="AF23">
            <v>0</v>
          </cell>
          <cell r="BE23">
            <v>0</v>
          </cell>
        </row>
        <row r="24">
          <cell r="B24" t="str">
            <v>Total operating expense (incl. D&amp;A)</v>
          </cell>
          <cell r="C24" t="str">
            <v>TOT_OPS_EXP_DDA</v>
          </cell>
          <cell r="D24" t="str">
            <v>JPY</v>
          </cell>
          <cell r="K24">
            <v>-191366</v>
          </cell>
          <cell r="L24">
            <v>-187733</v>
          </cell>
          <cell r="M24">
            <v>-197374</v>
          </cell>
          <cell r="N24">
            <v>-209383</v>
          </cell>
          <cell r="O24">
            <v>-218765</v>
          </cell>
          <cell r="P24">
            <v>-241848</v>
          </cell>
          <cell r="Q24">
            <v>-271949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-303132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-312965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-311759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-330385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-376490</v>
          </cell>
          <cell r="AU24">
            <v>-436283</v>
          </cell>
          <cell r="AZ24">
            <v>-532215</v>
          </cell>
          <cell r="BE24">
            <v>-492313</v>
          </cell>
        </row>
        <row r="25">
          <cell r="B25" t="str">
            <v>Total operating expense (excl. D&amp;A)</v>
          </cell>
          <cell r="C25" t="str">
            <v>TOT_OPS_EXP</v>
          </cell>
          <cell r="D25" t="str">
            <v>JPY</v>
          </cell>
          <cell r="K25">
            <v>-180731</v>
          </cell>
          <cell r="L25">
            <v>-177233</v>
          </cell>
          <cell r="M25">
            <v>-186351</v>
          </cell>
          <cell r="N25">
            <v>-197767</v>
          </cell>
          <cell r="O25">
            <v>-206436</v>
          </cell>
          <cell r="P25">
            <v>-228786</v>
          </cell>
          <cell r="Q25">
            <v>-258765</v>
          </cell>
          <cell r="V25">
            <v>-288092</v>
          </cell>
          <cell r="AA25">
            <v>-295864</v>
          </cell>
          <cell r="AF25">
            <v>-295366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-313005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-359334</v>
          </cell>
          <cell r="AU25">
            <v>-415230</v>
          </cell>
          <cell r="AZ25">
            <v>-500911</v>
          </cell>
          <cell r="BE25">
            <v>-468151</v>
          </cell>
        </row>
        <row r="26">
          <cell r="B26" t="str">
            <v>EBITDA</v>
          </cell>
          <cell r="C26" t="str">
            <v>EBITDA_CALC</v>
          </cell>
          <cell r="D26" t="str">
            <v>JPY</v>
          </cell>
          <cell r="K26">
            <v>31467</v>
          </cell>
          <cell r="L26">
            <v>29474</v>
          </cell>
          <cell r="M26">
            <v>36817</v>
          </cell>
          <cell r="N26">
            <v>42342</v>
          </cell>
          <cell r="O26">
            <v>39614</v>
          </cell>
          <cell r="P26">
            <v>41594</v>
          </cell>
          <cell r="Q26">
            <v>43115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48772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51985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61459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63942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69057</v>
          </cell>
          <cell r="AU26">
            <v>80541</v>
          </cell>
          <cell r="AZ26">
            <v>98544</v>
          </cell>
          <cell r="BE26">
            <v>85510</v>
          </cell>
        </row>
        <row r="27">
          <cell r="B27" t="str">
            <v>Depreciation</v>
          </cell>
          <cell r="C27" t="str">
            <v>DEPREC</v>
          </cell>
          <cell r="D27" t="str">
            <v>JPY</v>
          </cell>
          <cell r="K27">
            <v>-10635</v>
          </cell>
          <cell r="L27">
            <v>-10500</v>
          </cell>
          <cell r="M27">
            <v>-11023</v>
          </cell>
          <cell r="N27">
            <v>-11616</v>
          </cell>
          <cell r="O27">
            <v>-12329</v>
          </cell>
          <cell r="P27">
            <v>-13062</v>
          </cell>
          <cell r="Q27">
            <v>-13184</v>
          </cell>
          <cell r="V27">
            <v>-15040</v>
          </cell>
          <cell r="AA27">
            <v>-17101</v>
          </cell>
          <cell r="AF27">
            <v>-16393</v>
          </cell>
          <cell r="AK27">
            <v>-14620</v>
          </cell>
          <cell r="AP27">
            <v>-13257</v>
          </cell>
          <cell r="AU27">
            <v>-16814</v>
          </cell>
          <cell r="AZ27">
            <v>-22101</v>
          </cell>
          <cell r="BE27">
            <v>-20393</v>
          </cell>
        </row>
        <row r="28">
          <cell r="B28" t="str">
            <v>Amortization</v>
          </cell>
          <cell r="C28" t="str">
            <v>GOODWILL_AMORT</v>
          </cell>
          <cell r="D28" t="str">
            <v>JPY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V28">
            <v>0</v>
          </cell>
          <cell r="AA28">
            <v>0</v>
          </cell>
          <cell r="AF28">
            <v>0</v>
          </cell>
          <cell r="AK28">
            <v>-2760</v>
          </cell>
          <cell r="AP28">
            <v>-3899</v>
          </cell>
          <cell r="AU28">
            <v>-4239</v>
          </cell>
          <cell r="AZ28">
            <v>-9203</v>
          </cell>
          <cell r="BE28">
            <v>-3769</v>
          </cell>
        </row>
        <row r="29">
          <cell r="B29" t="str">
            <v>EBIT, operating profit</v>
          </cell>
          <cell r="C29" t="str">
            <v>EBIT</v>
          </cell>
          <cell r="D29" t="str">
            <v>JPY</v>
          </cell>
          <cell r="K29">
            <v>20832</v>
          </cell>
          <cell r="L29">
            <v>18974</v>
          </cell>
          <cell r="M29">
            <v>25794</v>
          </cell>
          <cell r="N29">
            <v>30726</v>
          </cell>
          <cell r="O29">
            <v>27285</v>
          </cell>
          <cell r="P29">
            <v>28532</v>
          </cell>
          <cell r="Q29">
            <v>29931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33732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34884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45066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46562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51901</v>
          </cell>
          <cell r="AU29">
            <v>59488</v>
          </cell>
          <cell r="AV29">
            <v>17653</v>
          </cell>
          <cell r="AW29">
            <v>14392</v>
          </cell>
          <cell r="AX29">
            <v>17150</v>
          </cell>
          <cell r="AY29">
            <v>18045</v>
          </cell>
          <cell r="AZ29">
            <v>67240</v>
          </cell>
          <cell r="BE29">
            <v>61348</v>
          </cell>
        </row>
        <row r="30">
          <cell r="B30" t="str">
            <v>Interest income</v>
          </cell>
          <cell r="C30" t="str">
            <v>INT_INC_IND</v>
          </cell>
          <cell r="D30" t="str">
            <v>JPY</v>
          </cell>
          <cell r="K30">
            <v>312</v>
          </cell>
          <cell r="L30">
            <v>192</v>
          </cell>
          <cell r="M30">
            <v>319</v>
          </cell>
          <cell r="N30">
            <v>504</v>
          </cell>
          <cell r="O30">
            <v>506</v>
          </cell>
          <cell r="P30">
            <v>493</v>
          </cell>
          <cell r="Q30">
            <v>852</v>
          </cell>
          <cell r="V30">
            <v>1023</v>
          </cell>
          <cell r="AA30">
            <v>966</v>
          </cell>
          <cell r="AF30">
            <v>752</v>
          </cell>
          <cell r="AK30">
            <v>867</v>
          </cell>
          <cell r="AP30">
            <v>1013</v>
          </cell>
          <cell r="AU30">
            <v>1210</v>
          </cell>
          <cell r="AZ30">
            <v>1664</v>
          </cell>
          <cell r="BE30">
            <v>1643</v>
          </cell>
        </row>
        <row r="31">
          <cell r="B31" t="str">
            <v>Interest expense</v>
          </cell>
          <cell r="C31" t="str">
            <v>INT_EXP_IND</v>
          </cell>
          <cell r="D31" t="str">
            <v>JPY</v>
          </cell>
          <cell r="K31">
            <v>-386</v>
          </cell>
          <cell r="L31">
            <v>-332</v>
          </cell>
          <cell r="M31">
            <v>-360</v>
          </cell>
          <cell r="N31">
            <v>-297</v>
          </cell>
          <cell r="O31">
            <v>-315</v>
          </cell>
          <cell r="P31">
            <v>-304</v>
          </cell>
          <cell r="Q31">
            <v>-412</v>
          </cell>
          <cell r="V31">
            <v>-457</v>
          </cell>
          <cell r="AA31">
            <v>-310</v>
          </cell>
          <cell r="AF31">
            <v>-154</v>
          </cell>
          <cell r="AK31">
            <v>-310</v>
          </cell>
          <cell r="AP31">
            <v>-460</v>
          </cell>
          <cell r="AU31">
            <v>-284</v>
          </cell>
          <cell r="AZ31">
            <v>-358</v>
          </cell>
          <cell r="BE31">
            <v>-287</v>
          </cell>
        </row>
        <row r="32">
          <cell r="B32" t="str">
            <v>Net interest income/(expense)</v>
          </cell>
          <cell r="C32" t="str">
            <v>NET_INT_EXP</v>
          </cell>
          <cell r="D32" t="str">
            <v>JPY</v>
          </cell>
          <cell r="K32">
            <v>-74</v>
          </cell>
          <cell r="L32">
            <v>-140</v>
          </cell>
          <cell r="M32">
            <v>-41</v>
          </cell>
          <cell r="N32">
            <v>207</v>
          </cell>
          <cell r="O32">
            <v>191</v>
          </cell>
          <cell r="P32">
            <v>189</v>
          </cell>
          <cell r="Q32">
            <v>440</v>
          </cell>
          <cell r="V32">
            <v>566</v>
          </cell>
          <cell r="AA32">
            <v>656</v>
          </cell>
          <cell r="AF32">
            <v>598</v>
          </cell>
          <cell r="AK32">
            <v>557</v>
          </cell>
          <cell r="AP32">
            <v>553</v>
          </cell>
          <cell r="AU32">
            <v>926</v>
          </cell>
          <cell r="AZ32">
            <v>1306</v>
          </cell>
          <cell r="BE32">
            <v>1356</v>
          </cell>
        </row>
        <row r="33">
          <cell r="B33" t="str">
            <v>Income/(loss) from unconsolidated subs &amp; associates</v>
          </cell>
          <cell r="C33" t="str">
            <v>ASSOCIATE</v>
          </cell>
          <cell r="D33" t="str">
            <v>JPY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V33">
            <v>0</v>
          </cell>
          <cell r="AA33">
            <v>0</v>
          </cell>
          <cell r="AF33">
            <v>0</v>
          </cell>
          <cell r="AK33">
            <v>0</v>
          </cell>
          <cell r="AP33">
            <v>0</v>
          </cell>
          <cell r="AU33">
            <v>0</v>
          </cell>
          <cell r="AZ33">
            <v>0</v>
          </cell>
          <cell r="BE33">
            <v>0</v>
          </cell>
        </row>
        <row r="34">
          <cell r="B34" t="str">
            <v>Profit/(loss) on disposals of assets, pre-tax</v>
          </cell>
          <cell r="C34" t="str">
            <v>PROFIT_ON_DISP</v>
          </cell>
          <cell r="D34" t="str">
            <v>JPY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-619</v>
          </cell>
          <cell r="R34">
            <v>-619</v>
          </cell>
          <cell r="S34">
            <v>-714</v>
          </cell>
          <cell r="T34">
            <v>-708</v>
          </cell>
          <cell r="U34">
            <v>-649</v>
          </cell>
          <cell r="V34">
            <v>-714</v>
          </cell>
          <cell r="W34">
            <v>-1326</v>
          </cell>
          <cell r="X34">
            <v>-1326</v>
          </cell>
          <cell r="Y34">
            <v>-1326</v>
          </cell>
          <cell r="Z34">
            <v>-1326</v>
          </cell>
          <cell r="AA34">
            <v>-708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-649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217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-1326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-1326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-1326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-1326</v>
          </cell>
        </row>
        <row r="35">
          <cell r="B35" t="str">
            <v>Other non-ops income/(expense)</v>
          </cell>
          <cell r="C35" t="str">
            <v>OTH_COST_INC</v>
          </cell>
          <cell r="D35" t="str">
            <v>JPY</v>
          </cell>
          <cell r="K35">
            <v>-1941</v>
          </cell>
          <cell r="L35">
            <v>-2603</v>
          </cell>
          <cell r="M35">
            <v>-2855</v>
          </cell>
          <cell r="N35">
            <v>-1227</v>
          </cell>
          <cell r="O35">
            <v>1121</v>
          </cell>
          <cell r="P35">
            <v>-154</v>
          </cell>
          <cell r="Q35">
            <v>-672</v>
          </cell>
          <cell r="V35">
            <v>-1690</v>
          </cell>
          <cell r="AA35">
            <v>-7376</v>
          </cell>
          <cell r="AF35">
            <v>-1068</v>
          </cell>
          <cell r="AK35">
            <v>-4040</v>
          </cell>
          <cell r="AP35">
            <v>-5555</v>
          </cell>
          <cell r="AU35">
            <v>5195</v>
          </cell>
          <cell r="AZ35">
            <v>682</v>
          </cell>
          <cell r="BE35">
            <v>8648</v>
          </cell>
        </row>
        <row r="36">
          <cell r="B36" t="str">
            <v>Pre-tax profit</v>
          </cell>
          <cell r="C36" t="str">
            <v>PT_PROF</v>
          </cell>
          <cell r="D36" t="str">
            <v>JPY</v>
          </cell>
          <cell r="K36">
            <v>18817</v>
          </cell>
          <cell r="L36">
            <v>16231</v>
          </cell>
          <cell r="M36">
            <v>22898</v>
          </cell>
          <cell r="N36">
            <v>29706</v>
          </cell>
          <cell r="O36">
            <v>28597</v>
          </cell>
          <cell r="P36">
            <v>28567</v>
          </cell>
          <cell r="Q36">
            <v>29080</v>
          </cell>
          <cell r="V36">
            <v>31894</v>
          </cell>
          <cell r="AA36">
            <v>27456</v>
          </cell>
          <cell r="AF36">
            <v>43947</v>
          </cell>
          <cell r="AK36">
            <v>43296</v>
          </cell>
          <cell r="AP36">
            <v>45573</v>
          </cell>
          <cell r="AU36">
            <v>64283</v>
          </cell>
          <cell r="AZ36">
            <v>67902</v>
          </cell>
          <cell r="BE36">
            <v>70026</v>
          </cell>
        </row>
        <row r="37">
          <cell r="A37" t="str">
            <v>Additional Income Statement Items</v>
          </cell>
        </row>
        <row r="38">
          <cell r="B38" t="str">
            <v>Contribution margin ratio</v>
          </cell>
          <cell r="C38" t="str">
            <v>CONTRIB_MARGIN_RATIO</v>
          </cell>
          <cell r="D38" t="str">
            <v>JPY</v>
          </cell>
        </row>
        <row r="39">
          <cell r="B39" t="str">
            <v>Organic sales growth (excl. acquisitions)</v>
          </cell>
          <cell r="C39" t="str">
            <v>ORG_REV_GRTH</v>
          </cell>
          <cell r="AZ39">
            <v>0.15728621749800001</v>
          </cell>
          <cell r="BE39">
            <v>0.209136879729</v>
          </cell>
        </row>
        <row r="40">
          <cell r="B40" t="str">
            <v>Lease payments</v>
          </cell>
          <cell r="C40" t="str">
            <v>LEASE_PAY</v>
          </cell>
          <cell r="D40" t="str">
            <v>JPY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V40">
            <v>0</v>
          </cell>
          <cell r="AA40">
            <v>0</v>
          </cell>
          <cell r="AF40">
            <v>0</v>
          </cell>
          <cell r="AK40">
            <v>0</v>
          </cell>
          <cell r="AP40">
            <v>0</v>
          </cell>
          <cell r="AU40">
            <v>0</v>
          </cell>
          <cell r="AZ40">
            <v>0</v>
          </cell>
          <cell r="BE40">
            <v>0</v>
          </cell>
        </row>
        <row r="41">
          <cell r="B41" t="str">
            <v>Lease payments (deemed interest portion)</v>
          </cell>
          <cell r="C41" t="str">
            <v>LEASE_DEEM_INT</v>
          </cell>
          <cell r="D41" t="str">
            <v>JPY</v>
          </cell>
        </row>
        <row r="42">
          <cell r="B42" t="str">
            <v>Lease payments (deemed depreciation portion)</v>
          </cell>
          <cell r="C42" t="str">
            <v>LEASE_DEEM_DEPR</v>
          </cell>
          <cell r="D42" t="str">
            <v>JPY</v>
          </cell>
        </row>
        <row r="43">
          <cell r="B43" t="str">
            <v>Gross interest charge</v>
          </cell>
          <cell r="C43" t="str">
            <v>NET_INT_CH</v>
          </cell>
          <cell r="D43" t="str">
            <v>JPY</v>
          </cell>
          <cell r="K43">
            <v>-386</v>
          </cell>
          <cell r="L43">
            <v>-332</v>
          </cell>
          <cell r="M43">
            <v>-360</v>
          </cell>
          <cell r="N43">
            <v>-297</v>
          </cell>
          <cell r="O43">
            <v>-315</v>
          </cell>
          <cell r="P43">
            <v>-304</v>
          </cell>
          <cell r="Q43">
            <v>-412</v>
          </cell>
          <cell r="V43">
            <v>-457</v>
          </cell>
          <cell r="AA43">
            <v>-310</v>
          </cell>
          <cell r="AF43">
            <v>-154</v>
          </cell>
          <cell r="AK43">
            <v>-310</v>
          </cell>
          <cell r="AP43">
            <v>-460</v>
          </cell>
          <cell r="AU43">
            <v>-284</v>
          </cell>
          <cell r="AZ43">
            <v>-358</v>
          </cell>
          <cell r="BE43">
            <v>-287</v>
          </cell>
        </row>
        <row r="44">
          <cell r="B44" t="str">
            <v>Income from associates (operating)</v>
          </cell>
          <cell r="C44" t="str">
            <v>ASSOCIATE_OP</v>
          </cell>
          <cell r="D44" t="str">
            <v>JPY</v>
          </cell>
        </row>
        <row r="45">
          <cell r="B45" t="str">
            <v>SG&amp;A, selling, general and admin. expense</v>
          </cell>
          <cell r="C45" t="str">
            <v>SGA_JPN</v>
          </cell>
          <cell r="D45" t="str">
            <v>JPY</v>
          </cell>
          <cell r="K45">
            <v>-75544</v>
          </cell>
          <cell r="L45">
            <v>-74187</v>
          </cell>
          <cell r="M45">
            <v>-73492</v>
          </cell>
          <cell r="N45">
            <v>-77309</v>
          </cell>
          <cell r="O45">
            <v>-81424</v>
          </cell>
          <cell r="P45">
            <v>-88584</v>
          </cell>
          <cell r="Q45">
            <v>-98711</v>
          </cell>
          <cell r="V45">
            <v>-107002</v>
          </cell>
          <cell r="AA45">
            <v>-106756</v>
          </cell>
          <cell r="AF45">
            <v>-118747</v>
          </cell>
          <cell r="AK45">
            <v>-126991</v>
          </cell>
          <cell r="AP45">
            <v>-142554</v>
          </cell>
          <cell r="AU45">
            <v>-167539</v>
          </cell>
          <cell r="AZ45">
            <v>-205507</v>
          </cell>
          <cell r="BE45">
            <v>-183892</v>
          </cell>
        </row>
        <row r="46">
          <cell r="B46" t="str">
            <v>Gross profit</v>
          </cell>
          <cell r="C46" t="str">
            <v>GP_JPN</v>
          </cell>
          <cell r="D46" t="str">
            <v>JPY</v>
          </cell>
          <cell r="K46">
            <v>96376</v>
          </cell>
          <cell r="L46">
            <v>93161</v>
          </cell>
          <cell r="M46">
            <v>99286</v>
          </cell>
          <cell r="N46">
            <v>108035</v>
          </cell>
          <cell r="O46">
            <v>108709</v>
          </cell>
          <cell r="P46">
            <v>117116</v>
          </cell>
          <cell r="Q46">
            <v>128642</v>
          </cell>
          <cell r="V46">
            <v>140734</v>
          </cell>
          <cell r="AA46">
            <v>141640</v>
          </cell>
          <cell r="AF46">
            <v>163813</v>
          </cell>
          <cell r="AK46">
            <v>173553</v>
          </cell>
          <cell r="AP46">
            <v>194455</v>
          </cell>
          <cell r="AU46">
            <v>227027</v>
          </cell>
          <cell r="AZ46">
            <v>267648</v>
          </cell>
          <cell r="BE46">
            <v>245240</v>
          </cell>
        </row>
        <row r="47">
          <cell r="B47" t="str">
            <v>EBITDA adjustment</v>
          </cell>
          <cell r="C47" t="str">
            <v>EBITDA_ADJ</v>
          </cell>
          <cell r="D47" t="str">
            <v>JPY</v>
          </cell>
        </row>
        <row r="48">
          <cell r="B48" t="str">
            <v>EBITDA</v>
          </cell>
          <cell r="C48" t="str">
            <v>EBITDA_JPN</v>
          </cell>
          <cell r="D48" t="str">
            <v>JPY</v>
          </cell>
          <cell r="K48">
            <v>31467</v>
          </cell>
          <cell r="L48">
            <v>29474</v>
          </cell>
          <cell r="M48">
            <v>36817</v>
          </cell>
          <cell r="N48">
            <v>42342</v>
          </cell>
          <cell r="O48">
            <v>39614</v>
          </cell>
          <cell r="P48">
            <v>41594</v>
          </cell>
          <cell r="Q48">
            <v>43115</v>
          </cell>
          <cell r="V48">
            <v>48772</v>
          </cell>
          <cell r="AA48">
            <v>51985</v>
          </cell>
          <cell r="AF48">
            <v>61459</v>
          </cell>
          <cell r="AK48">
            <v>63942</v>
          </cell>
          <cell r="AP48">
            <v>69057</v>
          </cell>
          <cell r="AU48">
            <v>80541</v>
          </cell>
          <cell r="AZ48">
            <v>98544</v>
          </cell>
          <cell r="BE48">
            <v>85510</v>
          </cell>
        </row>
        <row r="49">
          <cell r="B49" t="str">
            <v>Income/(loss) from unconsolidated subs &amp; associates</v>
          </cell>
          <cell r="C49" t="str">
            <v>ASSOCIATE_JPN</v>
          </cell>
          <cell r="D49" t="str">
            <v>JPY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V49">
            <v>0</v>
          </cell>
          <cell r="AA49">
            <v>0</v>
          </cell>
          <cell r="AF49">
            <v>0</v>
          </cell>
          <cell r="AK49">
            <v>0</v>
          </cell>
          <cell r="AP49">
            <v>0</v>
          </cell>
          <cell r="AU49">
            <v>0</v>
          </cell>
          <cell r="AZ49">
            <v>0</v>
          </cell>
          <cell r="BE49">
            <v>0</v>
          </cell>
        </row>
        <row r="50">
          <cell r="B50" t="str">
            <v>Income/(loss) from unconsolidated subs &amp; associates (SEC)</v>
          </cell>
          <cell r="C50" t="str">
            <v>ASSOCIATE_SEC_JPN</v>
          </cell>
          <cell r="D50" t="str">
            <v>JPY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V50">
            <v>0</v>
          </cell>
          <cell r="AA50">
            <v>0</v>
          </cell>
          <cell r="AF50">
            <v>0</v>
          </cell>
          <cell r="AK50">
            <v>0</v>
          </cell>
          <cell r="AP50">
            <v>0</v>
          </cell>
          <cell r="AU50">
            <v>0</v>
          </cell>
          <cell r="AZ50">
            <v>0</v>
          </cell>
          <cell r="BE50">
            <v>0</v>
          </cell>
        </row>
        <row r="51">
          <cell r="B51" t="str">
            <v>Other non-operating income/(expense)</v>
          </cell>
          <cell r="C51" t="str">
            <v>OTH_NOP_INC_EXP_JPN</v>
          </cell>
          <cell r="D51" t="str">
            <v>JPY</v>
          </cell>
          <cell r="K51">
            <v>487</v>
          </cell>
          <cell r="L51">
            <v>313</v>
          </cell>
          <cell r="M51">
            <v>142</v>
          </cell>
          <cell r="N51">
            <v>187</v>
          </cell>
          <cell r="O51">
            <v>502</v>
          </cell>
          <cell r="P51">
            <v>60</v>
          </cell>
          <cell r="Q51">
            <v>-300</v>
          </cell>
          <cell r="V51">
            <v>-1971</v>
          </cell>
          <cell r="AA51">
            <v>-3933</v>
          </cell>
          <cell r="AF51">
            <v>191</v>
          </cell>
          <cell r="AK51">
            <v>-3982</v>
          </cell>
          <cell r="AP51">
            <v>-4093</v>
          </cell>
          <cell r="AU51">
            <v>4598</v>
          </cell>
          <cell r="AZ51">
            <v>-633</v>
          </cell>
          <cell r="BE51">
            <v>2823</v>
          </cell>
        </row>
        <row r="52">
          <cell r="B52" t="str">
            <v>Extraordinary income</v>
          </cell>
          <cell r="C52" t="str">
            <v>EXTRA_INC_JPN</v>
          </cell>
          <cell r="D52" t="str">
            <v>JPY</v>
          </cell>
          <cell r="H52">
            <v>0</v>
          </cell>
          <cell r="K52">
            <v>184</v>
          </cell>
          <cell r="L52">
            <v>2934</v>
          </cell>
          <cell r="M52">
            <v>535</v>
          </cell>
          <cell r="N52">
            <v>797</v>
          </cell>
          <cell r="O52">
            <v>5627</v>
          </cell>
          <cell r="P52">
            <v>1504</v>
          </cell>
          <cell r="Q52">
            <v>225</v>
          </cell>
          <cell r="V52">
            <v>398</v>
          </cell>
          <cell r="AA52">
            <v>26</v>
          </cell>
          <cell r="AF52">
            <v>81</v>
          </cell>
          <cell r="AK52">
            <v>3131</v>
          </cell>
          <cell r="AP52">
            <v>17</v>
          </cell>
          <cell r="AU52">
            <v>45</v>
          </cell>
          <cell r="AZ52">
            <v>5684</v>
          </cell>
          <cell r="BE52">
            <v>5037</v>
          </cell>
        </row>
        <row r="53">
          <cell r="B53" t="str">
            <v>Extraordinary expense</v>
          </cell>
          <cell r="C53" t="str">
            <v>EXTRA_EXP_JPN</v>
          </cell>
          <cell r="D53" t="str">
            <v>JPY</v>
          </cell>
          <cell r="K53">
            <v>-2613</v>
          </cell>
          <cell r="L53">
            <v>-5851</v>
          </cell>
          <cell r="M53">
            <v>-3533</v>
          </cell>
          <cell r="N53">
            <v>-2211</v>
          </cell>
          <cell r="O53">
            <v>-5009</v>
          </cell>
          <cell r="P53">
            <v>-1719</v>
          </cell>
          <cell r="Q53">
            <v>-1218</v>
          </cell>
          <cell r="V53">
            <v>-832</v>
          </cell>
          <cell r="AA53">
            <v>-4178</v>
          </cell>
          <cell r="AF53">
            <v>-1988</v>
          </cell>
          <cell r="AK53">
            <v>-2973</v>
          </cell>
          <cell r="AP53">
            <v>-2805</v>
          </cell>
          <cell r="AU53">
            <v>-774</v>
          </cell>
          <cell r="AZ53">
            <v>-5695</v>
          </cell>
          <cell r="BE53">
            <v>-536</v>
          </cell>
        </row>
        <row r="54">
          <cell r="B54" t="str">
            <v>Pre-tax profit</v>
          </cell>
          <cell r="C54" t="str">
            <v>PTP_JPN</v>
          </cell>
          <cell r="D54" t="str">
            <v>JPY</v>
          </cell>
          <cell r="K54">
            <v>18817</v>
          </cell>
          <cell r="L54">
            <v>16231</v>
          </cell>
          <cell r="M54">
            <v>22898</v>
          </cell>
          <cell r="N54">
            <v>29706</v>
          </cell>
          <cell r="O54">
            <v>28597</v>
          </cell>
          <cell r="P54">
            <v>28567</v>
          </cell>
          <cell r="Q54">
            <v>29080</v>
          </cell>
          <cell r="V54">
            <v>31894</v>
          </cell>
          <cell r="AA54">
            <v>27456</v>
          </cell>
          <cell r="AF54">
            <v>43947</v>
          </cell>
          <cell r="AK54">
            <v>43296</v>
          </cell>
          <cell r="AP54">
            <v>45573</v>
          </cell>
          <cell r="AU54">
            <v>64283</v>
          </cell>
          <cell r="AZ54">
            <v>67902</v>
          </cell>
          <cell r="BE54">
            <v>70026</v>
          </cell>
        </row>
        <row r="55">
          <cell r="B55" t="str">
            <v>NI impact from a 10% reporting currency depreciation vs USD</v>
          </cell>
          <cell r="C55" t="str">
            <v>FX_USD_NI_SENSITIVITY</v>
          </cell>
          <cell r="D55" t="str">
            <v>JPY</v>
          </cell>
        </row>
        <row r="56">
          <cell r="B56" t="str">
            <v>NI impact from a 10% reporting currency depreciation vs EUR</v>
          </cell>
          <cell r="C56" t="str">
            <v>FX_EUR_NI_SENSITIVITY</v>
          </cell>
          <cell r="D56" t="str">
            <v>JPY</v>
          </cell>
        </row>
        <row r="57">
          <cell r="A57" t="str">
            <v>Balance Sheet</v>
          </cell>
        </row>
        <row r="58">
          <cell r="B58" t="str">
            <v>Cash &amp; cash equivalents</v>
          </cell>
          <cell r="C58" t="str">
            <v>CASH_EQ</v>
          </cell>
          <cell r="D58" t="str">
            <v>JPY</v>
          </cell>
          <cell r="K58">
            <v>38819</v>
          </cell>
          <cell r="L58">
            <v>51385</v>
          </cell>
          <cell r="M58">
            <v>44524</v>
          </cell>
          <cell r="N58">
            <v>48356</v>
          </cell>
          <cell r="O58">
            <v>58272</v>
          </cell>
          <cell r="P58">
            <v>80555</v>
          </cell>
          <cell r="Q58">
            <v>78583</v>
          </cell>
          <cell r="V58">
            <v>93756</v>
          </cell>
          <cell r="AA58">
            <v>80159</v>
          </cell>
          <cell r="AF58">
            <v>101374</v>
          </cell>
          <cell r="AK58">
            <v>119270</v>
          </cell>
          <cell r="AP58">
            <v>86864</v>
          </cell>
          <cell r="AU58">
            <v>85533</v>
          </cell>
          <cell r="AZ58">
            <v>111914</v>
          </cell>
          <cell r="BE58">
            <v>138781</v>
          </cell>
        </row>
        <row r="59">
          <cell r="B59" t="str">
            <v>Accounts receivable</v>
          </cell>
          <cell r="C59" t="str">
            <v>DEBTORS</v>
          </cell>
          <cell r="D59" t="str">
            <v>JPY</v>
          </cell>
          <cell r="K59">
            <v>31880</v>
          </cell>
          <cell r="L59">
            <v>28521</v>
          </cell>
          <cell r="M59">
            <v>26615</v>
          </cell>
          <cell r="N59">
            <v>28843</v>
          </cell>
          <cell r="O59">
            <v>28949</v>
          </cell>
          <cell r="P59">
            <v>33092</v>
          </cell>
          <cell r="Q59">
            <v>37940</v>
          </cell>
          <cell r="V59">
            <v>38204</v>
          </cell>
          <cell r="AA59">
            <v>40845</v>
          </cell>
          <cell r="AF59">
            <v>41568</v>
          </cell>
          <cell r="AK59">
            <v>46005</v>
          </cell>
          <cell r="AP59">
            <v>50318</v>
          </cell>
          <cell r="AU59">
            <v>60264</v>
          </cell>
          <cell r="AZ59">
            <v>67597</v>
          </cell>
          <cell r="BE59">
            <v>88442</v>
          </cell>
        </row>
        <row r="60">
          <cell r="B60" t="str">
            <v>Inventory</v>
          </cell>
          <cell r="C60" t="str">
            <v>STOCKS</v>
          </cell>
          <cell r="D60" t="str">
            <v>JPY</v>
          </cell>
          <cell r="K60">
            <v>10095</v>
          </cell>
          <cell r="L60">
            <v>11575</v>
          </cell>
          <cell r="M60">
            <v>11932</v>
          </cell>
          <cell r="N60">
            <v>12421</v>
          </cell>
          <cell r="O60">
            <v>12072</v>
          </cell>
          <cell r="P60">
            <v>16176</v>
          </cell>
          <cell r="Q60">
            <v>20376</v>
          </cell>
          <cell r="V60">
            <v>19299</v>
          </cell>
          <cell r="AA60">
            <v>22690</v>
          </cell>
          <cell r="AF60">
            <v>20085</v>
          </cell>
          <cell r="AK60">
            <v>22392</v>
          </cell>
          <cell r="AP60">
            <v>33660</v>
          </cell>
          <cell r="AU60">
            <v>44784</v>
          </cell>
          <cell r="AZ60">
            <v>51627</v>
          </cell>
          <cell r="BE60">
            <v>62432</v>
          </cell>
        </row>
        <row r="61">
          <cell r="B61" t="str">
            <v>Other current assets</v>
          </cell>
          <cell r="C61" t="str">
            <v>OTH_CUR_ASS</v>
          </cell>
          <cell r="D61" t="str">
            <v>JPY</v>
          </cell>
          <cell r="K61">
            <v>5395</v>
          </cell>
          <cell r="L61">
            <v>4455</v>
          </cell>
          <cell r="M61">
            <v>5428</v>
          </cell>
          <cell r="N61">
            <v>4955</v>
          </cell>
          <cell r="O61">
            <v>5364</v>
          </cell>
          <cell r="P61">
            <v>5160</v>
          </cell>
          <cell r="Q61">
            <v>5689</v>
          </cell>
          <cell r="V61">
            <v>6492</v>
          </cell>
          <cell r="AA61">
            <v>10596</v>
          </cell>
          <cell r="AF61">
            <v>9224</v>
          </cell>
          <cell r="AK61">
            <v>17052</v>
          </cell>
          <cell r="AP61">
            <v>19795</v>
          </cell>
          <cell r="AU61">
            <v>20147</v>
          </cell>
          <cell r="AZ61">
            <v>34053</v>
          </cell>
          <cell r="BE61">
            <v>32117</v>
          </cell>
        </row>
        <row r="62">
          <cell r="B62" t="str">
            <v>Total current assets</v>
          </cell>
          <cell r="C62" t="str">
            <v>CUR_ASS</v>
          </cell>
          <cell r="D62" t="str">
            <v>JPY</v>
          </cell>
          <cell r="K62">
            <v>86189</v>
          </cell>
          <cell r="L62">
            <v>95936</v>
          </cell>
          <cell r="M62">
            <v>88499</v>
          </cell>
          <cell r="N62">
            <v>94575</v>
          </cell>
          <cell r="O62">
            <v>104657</v>
          </cell>
          <cell r="P62">
            <v>134983</v>
          </cell>
          <cell r="Q62">
            <v>142588</v>
          </cell>
          <cell r="V62">
            <v>157751</v>
          </cell>
          <cell r="AA62">
            <v>154290</v>
          </cell>
          <cell r="AF62">
            <v>172251</v>
          </cell>
          <cell r="AK62">
            <v>204719</v>
          </cell>
          <cell r="AP62">
            <v>190637</v>
          </cell>
          <cell r="AU62">
            <v>210728</v>
          </cell>
          <cell r="AZ62">
            <v>265191</v>
          </cell>
          <cell r="BE62">
            <v>321772</v>
          </cell>
        </row>
        <row r="63">
          <cell r="B63" t="str">
            <v>Gross fixed assets, PP&amp;E</v>
          </cell>
          <cell r="C63" t="str">
            <v>GR_FIX_ASS</v>
          </cell>
          <cell r="D63" t="str">
            <v>JPY</v>
          </cell>
          <cell r="K63">
            <v>144810</v>
          </cell>
          <cell r="L63">
            <v>153719</v>
          </cell>
          <cell r="M63">
            <v>159538</v>
          </cell>
          <cell r="N63">
            <v>172027</v>
          </cell>
          <cell r="O63">
            <v>173976</v>
          </cell>
          <cell r="P63">
            <v>188573</v>
          </cell>
          <cell r="Q63">
            <v>210005</v>
          </cell>
          <cell r="V63">
            <v>219632</v>
          </cell>
          <cell r="AA63">
            <v>227305</v>
          </cell>
          <cell r="AF63">
            <v>238414</v>
          </cell>
          <cell r="AK63">
            <v>244600</v>
          </cell>
          <cell r="AP63">
            <v>272649</v>
          </cell>
          <cell r="AU63">
            <v>335771</v>
          </cell>
          <cell r="AZ63">
            <v>399160</v>
          </cell>
          <cell r="BE63">
            <v>455218</v>
          </cell>
        </row>
        <row r="64">
          <cell r="B64" t="str">
            <v>Accumulated depreciation</v>
          </cell>
          <cell r="C64" t="str">
            <v>ACC_DDA</v>
          </cell>
          <cell r="D64" t="str">
            <v>JPY</v>
          </cell>
          <cell r="K64">
            <v>-75422</v>
          </cell>
          <cell r="L64">
            <v>-82307</v>
          </cell>
          <cell r="M64">
            <v>-88449</v>
          </cell>
          <cell r="N64">
            <v>-94721</v>
          </cell>
          <cell r="O64">
            <v>-101178</v>
          </cell>
          <cell r="P64">
            <v>-111463</v>
          </cell>
          <cell r="Q64">
            <v>-123280</v>
          </cell>
          <cell r="V64">
            <v>-133169</v>
          </cell>
          <cell r="AA64">
            <v>-143058</v>
          </cell>
          <cell r="AF64">
            <v>-143058</v>
          </cell>
          <cell r="AK64">
            <v>-146211</v>
          </cell>
          <cell r="AP64">
            <v>-155828</v>
          </cell>
          <cell r="AU64">
            <v>-172642</v>
          </cell>
          <cell r="AZ64">
            <v>-194743</v>
          </cell>
          <cell r="BE64">
            <v>-215136</v>
          </cell>
        </row>
        <row r="65">
          <cell r="B65" t="str">
            <v>Net PP&amp;E</v>
          </cell>
          <cell r="C65" t="str">
            <v>NET_FIX_ASS</v>
          </cell>
          <cell r="D65" t="str">
            <v>JPY</v>
          </cell>
          <cell r="K65">
            <v>69388</v>
          </cell>
          <cell r="L65">
            <v>71412</v>
          </cell>
          <cell r="M65">
            <v>71089</v>
          </cell>
          <cell r="N65">
            <v>77306</v>
          </cell>
          <cell r="O65">
            <v>72798</v>
          </cell>
          <cell r="P65">
            <v>77110</v>
          </cell>
          <cell r="Q65">
            <v>86725</v>
          </cell>
          <cell r="V65">
            <v>86463</v>
          </cell>
          <cell r="AA65">
            <v>84247</v>
          </cell>
          <cell r="AF65">
            <v>95356</v>
          </cell>
          <cell r="AK65">
            <v>98389</v>
          </cell>
          <cell r="AP65">
            <v>116821</v>
          </cell>
          <cell r="AU65">
            <v>163129</v>
          </cell>
          <cell r="AZ65">
            <v>204417</v>
          </cell>
          <cell r="BE65">
            <v>240082</v>
          </cell>
        </row>
        <row r="66">
          <cell r="B66" t="str">
            <v>Gross intangibles</v>
          </cell>
          <cell r="C66" t="str">
            <v>GR_INTANG</v>
          </cell>
          <cell r="D66" t="str">
            <v>JPY</v>
          </cell>
          <cell r="K66">
            <v>3584</v>
          </cell>
          <cell r="L66">
            <v>3296</v>
          </cell>
          <cell r="M66">
            <v>3309</v>
          </cell>
          <cell r="N66">
            <v>2903</v>
          </cell>
          <cell r="O66">
            <v>2337</v>
          </cell>
          <cell r="P66">
            <v>4265</v>
          </cell>
          <cell r="Q66">
            <v>4027</v>
          </cell>
          <cell r="V66">
            <v>3745</v>
          </cell>
          <cell r="AA66">
            <v>16228</v>
          </cell>
          <cell r="AF66">
            <v>14612</v>
          </cell>
          <cell r="AK66">
            <v>67489</v>
          </cell>
          <cell r="AP66">
            <v>97709</v>
          </cell>
          <cell r="AU66">
            <v>97394</v>
          </cell>
          <cell r="AZ66">
            <v>95485</v>
          </cell>
          <cell r="BE66">
            <v>96178</v>
          </cell>
        </row>
        <row r="67">
          <cell r="B67" t="str">
            <v>Accumulated amortization</v>
          </cell>
          <cell r="C67" t="str">
            <v>ACC_AMORT</v>
          </cell>
          <cell r="D67" t="str">
            <v>JPY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V67">
            <v>0</v>
          </cell>
          <cell r="AA67">
            <v>0</v>
          </cell>
          <cell r="AF67">
            <v>0</v>
          </cell>
          <cell r="AK67">
            <v>0</v>
          </cell>
          <cell r="AP67">
            <v>0</v>
          </cell>
          <cell r="AU67">
            <v>0</v>
          </cell>
          <cell r="AZ67">
            <v>0</v>
          </cell>
          <cell r="BE67">
            <v>0</v>
          </cell>
        </row>
        <row r="68">
          <cell r="B68" t="str">
            <v>Net intangible assets</v>
          </cell>
          <cell r="C68" t="str">
            <v>NET_INTANG</v>
          </cell>
          <cell r="D68" t="str">
            <v>JPY</v>
          </cell>
          <cell r="K68">
            <v>3584</v>
          </cell>
          <cell r="L68">
            <v>3296</v>
          </cell>
          <cell r="M68">
            <v>3309</v>
          </cell>
          <cell r="N68">
            <v>2903</v>
          </cell>
          <cell r="O68">
            <v>2337</v>
          </cell>
          <cell r="P68">
            <v>4265</v>
          </cell>
          <cell r="Q68">
            <v>4027</v>
          </cell>
          <cell r="V68">
            <v>3745</v>
          </cell>
          <cell r="AA68">
            <v>16228</v>
          </cell>
          <cell r="AF68">
            <v>14612</v>
          </cell>
          <cell r="AK68">
            <v>67489</v>
          </cell>
          <cell r="AP68">
            <v>97709</v>
          </cell>
          <cell r="AU68">
            <v>97394</v>
          </cell>
          <cell r="AZ68">
            <v>95485</v>
          </cell>
          <cell r="BE68">
            <v>96178</v>
          </cell>
        </row>
        <row r="69">
          <cell r="B69" t="str">
            <v>Equity method investments</v>
          </cell>
          <cell r="C69" t="str">
            <v>FIX_ASS_INV</v>
          </cell>
          <cell r="D69" t="str">
            <v>JPY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V69">
            <v>0</v>
          </cell>
          <cell r="AA69">
            <v>0</v>
          </cell>
          <cell r="AF69">
            <v>0</v>
          </cell>
          <cell r="AK69">
            <v>0</v>
          </cell>
          <cell r="AP69">
            <v>0</v>
          </cell>
          <cell r="AU69">
            <v>0</v>
          </cell>
          <cell r="AZ69">
            <v>0</v>
          </cell>
          <cell r="BE69">
            <v>0</v>
          </cell>
        </row>
        <row r="70">
          <cell r="B70" t="str">
            <v>Investments in securities</v>
          </cell>
          <cell r="C70" t="str">
            <v>INV_SECUR</v>
          </cell>
          <cell r="D70" t="str">
            <v>JPY</v>
          </cell>
          <cell r="K70">
            <v>10381</v>
          </cell>
          <cell r="L70">
            <v>6806</v>
          </cell>
          <cell r="M70">
            <v>16320</v>
          </cell>
          <cell r="N70">
            <v>27309</v>
          </cell>
          <cell r="O70">
            <v>28745</v>
          </cell>
          <cell r="P70">
            <v>29599</v>
          </cell>
          <cell r="Q70">
            <v>29604</v>
          </cell>
          <cell r="V70">
            <v>20360</v>
          </cell>
          <cell r="AA70">
            <v>15609</v>
          </cell>
          <cell r="AF70">
            <v>18052</v>
          </cell>
          <cell r="AK70">
            <v>13027</v>
          </cell>
          <cell r="AP70">
            <v>14299</v>
          </cell>
          <cell r="AU70">
            <v>19664</v>
          </cell>
          <cell r="AZ70">
            <v>22105</v>
          </cell>
          <cell r="BE70">
            <v>24942</v>
          </cell>
        </row>
        <row r="71">
          <cell r="B71" t="str">
            <v>Other long-term assets</v>
          </cell>
          <cell r="C71" t="str">
            <v>OTH_LT_ASS</v>
          </cell>
          <cell r="D71" t="str">
            <v>JPY</v>
          </cell>
          <cell r="K71">
            <v>7854</v>
          </cell>
          <cell r="L71">
            <v>9610</v>
          </cell>
          <cell r="M71">
            <v>8770</v>
          </cell>
          <cell r="N71">
            <v>6909</v>
          </cell>
          <cell r="O71">
            <v>6828</v>
          </cell>
          <cell r="P71">
            <v>4398</v>
          </cell>
          <cell r="Q71">
            <v>5819</v>
          </cell>
          <cell r="V71">
            <v>7116</v>
          </cell>
          <cell r="AA71">
            <v>7939</v>
          </cell>
          <cell r="AF71">
            <v>7502</v>
          </cell>
          <cell r="AK71">
            <v>60391</v>
          </cell>
          <cell r="AP71">
            <v>53031</v>
          </cell>
          <cell r="AU71">
            <v>44140</v>
          </cell>
          <cell r="AZ71">
            <v>33221</v>
          </cell>
          <cell r="BE71">
            <v>16134</v>
          </cell>
        </row>
        <row r="72">
          <cell r="B72" t="str">
            <v>Total assets</v>
          </cell>
          <cell r="C72" t="str">
            <v>TOT_ASSET</v>
          </cell>
          <cell r="D72" t="str">
            <v>JPY</v>
          </cell>
          <cell r="K72">
            <v>177396</v>
          </cell>
          <cell r="L72">
            <v>187060</v>
          </cell>
          <cell r="M72">
            <v>187987</v>
          </cell>
          <cell r="N72">
            <v>209002</v>
          </cell>
          <cell r="O72">
            <v>215365</v>
          </cell>
          <cell r="P72">
            <v>250355</v>
          </cell>
          <cell r="Q72">
            <v>268763</v>
          </cell>
          <cell r="V72">
            <v>275435</v>
          </cell>
          <cell r="AA72">
            <v>278313</v>
          </cell>
          <cell r="AF72">
            <v>307773</v>
          </cell>
          <cell r="AK72">
            <v>444015</v>
          </cell>
          <cell r="AP72">
            <v>472497</v>
          </cell>
          <cell r="AU72">
            <v>535055</v>
          </cell>
          <cell r="AZ72">
            <v>620419</v>
          </cell>
          <cell r="BE72">
            <v>699108</v>
          </cell>
        </row>
        <row r="73">
          <cell r="B73" t="str">
            <v>Accounts payable</v>
          </cell>
          <cell r="C73" t="str">
            <v>ACC_PAY_GQ</v>
          </cell>
          <cell r="D73" t="str">
            <v>JPY</v>
          </cell>
          <cell r="K73">
            <v>33896</v>
          </cell>
          <cell r="L73">
            <v>31780</v>
          </cell>
          <cell r="M73">
            <v>27778</v>
          </cell>
          <cell r="N73">
            <v>25990</v>
          </cell>
          <cell r="O73">
            <v>23856</v>
          </cell>
          <cell r="P73">
            <v>29547</v>
          </cell>
          <cell r="Q73">
            <v>32721</v>
          </cell>
          <cell r="V73">
            <v>38481</v>
          </cell>
          <cell r="AA73">
            <v>37676</v>
          </cell>
          <cell r="AF73">
            <v>36135</v>
          </cell>
          <cell r="AK73">
            <v>37991</v>
          </cell>
          <cell r="AP73">
            <v>45778</v>
          </cell>
          <cell r="AU73">
            <v>53185</v>
          </cell>
          <cell r="AZ73">
            <v>78433</v>
          </cell>
          <cell r="BE73">
            <v>91586</v>
          </cell>
        </row>
        <row r="74">
          <cell r="B74" t="str">
            <v>Short-term debt</v>
          </cell>
          <cell r="C74" t="str">
            <v>SHORT_T_DEBT</v>
          </cell>
          <cell r="D74" t="str">
            <v>JPY</v>
          </cell>
          <cell r="K74">
            <v>2356</v>
          </cell>
          <cell r="L74">
            <v>4686</v>
          </cell>
          <cell r="M74">
            <v>4917</v>
          </cell>
          <cell r="N74">
            <v>4570</v>
          </cell>
          <cell r="O74">
            <v>6903</v>
          </cell>
          <cell r="P74">
            <v>8676</v>
          </cell>
          <cell r="Q74">
            <v>6981</v>
          </cell>
          <cell r="V74">
            <v>3427</v>
          </cell>
          <cell r="AA74">
            <v>4666</v>
          </cell>
          <cell r="AF74">
            <v>6305</v>
          </cell>
          <cell r="AK74">
            <v>8371</v>
          </cell>
          <cell r="AP74">
            <v>8267</v>
          </cell>
          <cell r="AU74">
            <v>6228</v>
          </cell>
          <cell r="AZ74">
            <v>7709</v>
          </cell>
          <cell r="BE74">
            <v>27979</v>
          </cell>
        </row>
        <row r="75">
          <cell r="B75" t="str">
            <v>Other current liabilities</v>
          </cell>
          <cell r="C75" t="str">
            <v>OTH_CUR_LIABS</v>
          </cell>
          <cell r="D75" t="str">
            <v>JPY</v>
          </cell>
          <cell r="K75">
            <v>21473</v>
          </cell>
          <cell r="L75">
            <v>25470</v>
          </cell>
          <cell r="M75">
            <v>25825</v>
          </cell>
          <cell r="N75">
            <v>36314</v>
          </cell>
          <cell r="O75">
            <v>28986</v>
          </cell>
          <cell r="P75">
            <v>34422</v>
          </cell>
          <cell r="Q75">
            <v>35668</v>
          </cell>
          <cell r="V75">
            <v>40525</v>
          </cell>
          <cell r="AA75">
            <v>38179</v>
          </cell>
          <cell r="AF75">
            <v>49884</v>
          </cell>
          <cell r="AK75">
            <v>43781</v>
          </cell>
          <cell r="AP75">
            <v>52316</v>
          </cell>
          <cell r="AU75">
            <v>62134</v>
          </cell>
          <cell r="AZ75">
            <v>62761</v>
          </cell>
          <cell r="BE75">
            <v>70618</v>
          </cell>
        </row>
        <row r="76">
          <cell r="B76" t="str">
            <v>Total current liabilities</v>
          </cell>
          <cell r="C76" t="str">
            <v>SHORT_TERM_LIABS</v>
          </cell>
          <cell r="D76" t="str">
            <v>JPY</v>
          </cell>
          <cell r="K76">
            <v>57725</v>
          </cell>
          <cell r="L76">
            <v>61936</v>
          </cell>
          <cell r="M76">
            <v>58520</v>
          </cell>
          <cell r="N76">
            <v>66874</v>
          </cell>
          <cell r="O76">
            <v>59745</v>
          </cell>
          <cell r="P76">
            <v>72645</v>
          </cell>
          <cell r="Q76">
            <v>75370</v>
          </cell>
          <cell r="V76">
            <v>82433</v>
          </cell>
          <cell r="AA76">
            <v>80521</v>
          </cell>
          <cell r="AF76">
            <v>92324</v>
          </cell>
          <cell r="AK76">
            <v>90143</v>
          </cell>
          <cell r="AP76">
            <v>106361</v>
          </cell>
          <cell r="AU76">
            <v>121547</v>
          </cell>
          <cell r="AZ76">
            <v>148903</v>
          </cell>
          <cell r="BE76">
            <v>190183</v>
          </cell>
        </row>
        <row r="77">
          <cell r="B77" t="str">
            <v>Long-term  debt</v>
          </cell>
          <cell r="C77" t="str">
            <v>LT_DEBT</v>
          </cell>
          <cell r="D77" t="str">
            <v>JPY</v>
          </cell>
          <cell r="K77">
            <v>3917</v>
          </cell>
          <cell r="L77">
            <v>2953</v>
          </cell>
          <cell r="M77">
            <v>1710</v>
          </cell>
          <cell r="N77">
            <v>1557</v>
          </cell>
          <cell r="O77">
            <v>344</v>
          </cell>
          <cell r="P77">
            <v>677</v>
          </cell>
          <cell r="Q77">
            <v>1738</v>
          </cell>
          <cell r="V77">
            <v>1451</v>
          </cell>
          <cell r="AA77">
            <v>1206</v>
          </cell>
          <cell r="AF77">
            <v>943</v>
          </cell>
          <cell r="AK77">
            <v>127996</v>
          </cell>
          <cell r="AP77">
            <v>115804</v>
          </cell>
          <cell r="AU77">
            <v>76333</v>
          </cell>
          <cell r="AZ77">
            <v>21000</v>
          </cell>
          <cell r="BE77">
            <v>5420</v>
          </cell>
        </row>
        <row r="78">
          <cell r="B78" t="str">
            <v>Other long-term liabilities</v>
          </cell>
          <cell r="C78" t="str">
            <v>OTH_LT_CRED_GQ</v>
          </cell>
          <cell r="D78" t="str">
            <v>JPY</v>
          </cell>
          <cell r="K78">
            <v>18358</v>
          </cell>
          <cell r="L78">
            <v>25111</v>
          </cell>
          <cell r="M78">
            <v>8717</v>
          </cell>
          <cell r="N78">
            <v>9950</v>
          </cell>
          <cell r="O78">
            <v>8434</v>
          </cell>
          <cell r="P78">
            <v>11546</v>
          </cell>
          <cell r="Q78">
            <v>14606</v>
          </cell>
          <cell r="V78">
            <v>8381</v>
          </cell>
          <cell r="AA78">
            <v>10995</v>
          </cell>
          <cell r="AF78">
            <v>7092</v>
          </cell>
          <cell r="AK78">
            <v>6244</v>
          </cell>
          <cell r="AP78">
            <v>7125</v>
          </cell>
          <cell r="AU78">
            <v>7974</v>
          </cell>
          <cell r="AZ78">
            <v>18364</v>
          </cell>
          <cell r="BE78">
            <v>10661</v>
          </cell>
        </row>
        <row r="79">
          <cell r="B79" t="str">
            <v>Total long-term liabilities</v>
          </cell>
          <cell r="C79" t="str">
            <v>TOT_LT_LIAB</v>
          </cell>
          <cell r="D79" t="str">
            <v>JPY</v>
          </cell>
          <cell r="K79">
            <v>22275</v>
          </cell>
          <cell r="L79">
            <v>28064</v>
          </cell>
          <cell r="M79">
            <v>10427</v>
          </cell>
          <cell r="N79">
            <v>11507</v>
          </cell>
          <cell r="O79">
            <v>8778</v>
          </cell>
          <cell r="P79">
            <v>12223</v>
          </cell>
          <cell r="Q79">
            <v>16344</v>
          </cell>
          <cell r="V79">
            <v>9832</v>
          </cell>
          <cell r="AA79">
            <v>12201</v>
          </cell>
          <cell r="AF79">
            <v>8035</v>
          </cell>
          <cell r="AK79">
            <v>134240</v>
          </cell>
          <cell r="AP79">
            <v>122929</v>
          </cell>
          <cell r="AU79">
            <v>84307</v>
          </cell>
          <cell r="AZ79">
            <v>39364</v>
          </cell>
          <cell r="BE79">
            <v>16081</v>
          </cell>
        </row>
        <row r="80">
          <cell r="B80" t="str">
            <v>Total liabilities</v>
          </cell>
          <cell r="C80" t="str">
            <v>TOT_LIAB</v>
          </cell>
          <cell r="D80" t="str">
            <v>JPY</v>
          </cell>
          <cell r="K80">
            <v>80000</v>
          </cell>
          <cell r="L80">
            <v>90000</v>
          </cell>
          <cell r="M80">
            <v>68947</v>
          </cell>
          <cell r="N80">
            <v>78381</v>
          </cell>
          <cell r="O80">
            <v>68523</v>
          </cell>
          <cell r="P80">
            <v>84868</v>
          </cell>
          <cell r="Q80">
            <v>91714</v>
          </cell>
          <cell r="V80">
            <v>92265</v>
          </cell>
          <cell r="AA80">
            <v>92722</v>
          </cell>
          <cell r="AF80">
            <v>100359</v>
          </cell>
          <cell r="AK80">
            <v>224383</v>
          </cell>
          <cell r="AP80">
            <v>229290</v>
          </cell>
          <cell r="AU80">
            <v>205854</v>
          </cell>
          <cell r="AZ80">
            <v>188267</v>
          </cell>
          <cell r="BE80">
            <v>206264</v>
          </cell>
        </row>
        <row r="81">
          <cell r="B81" t="str">
            <v>Preferred shares</v>
          </cell>
          <cell r="C81" t="str">
            <v>PREF_SH</v>
          </cell>
          <cell r="D81" t="str">
            <v>JPY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</row>
        <row r="82">
          <cell r="B82" t="str">
            <v>Total common equity</v>
          </cell>
          <cell r="C82" t="str">
            <v>ORD_SH_FUND</v>
          </cell>
          <cell r="D82" t="str">
            <v>JPY</v>
          </cell>
          <cell r="K82">
            <v>92311</v>
          </cell>
          <cell r="L82">
            <v>91697</v>
          </cell>
          <cell r="M82">
            <v>113137</v>
          </cell>
          <cell r="N82">
            <v>123708</v>
          </cell>
          <cell r="O82">
            <v>137696</v>
          </cell>
          <cell r="P82">
            <v>151183</v>
          </cell>
          <cell r="Q82">
            <v>161166</v>
          </cell>
          <cell r="V82">
            <v>166251</v>
          </cell>
          <cell r="AA82">
            <v>167668</v>
          </cell>
          <cell r="AF82">
            <v>183890</v>
          </cell>
          <cell r="AK82">
            <v>202224</v>
          </cell>
          <cell r="AP82">
            <v>214033</v>
          </cell>
          <cell r="AU82">
            <v>290446</v>
          </cell>
          <cell r="AZ82">
            <v>374433</v>
          </cell>
          <cell r="BE82">
            <v>419892</v>
          </cell>
        </row>
        <row r="83">
          <cell r="B83" t="str">
            <v>Minority interest</v>
          </cell>
          <cell r="C83" t="str">
            <v>MINORITIES</v>
          </cell>
          <cell r="D83" t="str">
            <v>JPY</v>
          </cell>
          <cell r="K83">
            <v>5085</v>
          </cell>
          <cell r="L83">
            <v>5363</v>
          </cell>
          <cell r="M83">
            <v>5903</v>
          </cell>
          <cell r="N83">
            <v>6913</v>
          </cell>
          <cell r="O83">
            <v>9146</v>
          </cell>
          <cell r="P83">
            <v>14304</v>
          </cell>
          <cell r="Q83">
            <v>15883</v>
          </cell>
          <cell r="V83">
            <v>16919</v>
          </cell>
          <cell r="AA83">
            <v>17923</v>
          </cell>
          <cell r="AF83">
            <v>23524</v>
          </cell>
          <cell r="AK83">
            <v>17408</v>
          </cell>
          <cell r="AP83">
            <v>29174</v>
          </cell>
          <cell r="AU83">
            <v>38755</v>
          </cell>
          <cell r="AZ83">
            <v>57719</v>
          </cell>
          <cell r="BE83">
            <v>72952</v>
          </cell>
        </row>
        <row r="84">
          <cell r="B84" t="str">
            <v>Total shareholders' equity</v>
          </cell>
          <cell r="C84" t="str">
            <v>EQ</v>
          </cell>
          <cell r="D84" t="str">
            <v>JPY</v>
          </cell>
          <cell r="K84">
            <v>97396</v>
          </cell>
          <cell r="L84">
            <v>97060</v>
          </cell>
          <cell r="M84">
            <v>119040</v>
          </cell>
          <cell r="N84">
            <v>130621</v>
          </cell>
          <cell r="O84">
            <v>146842</v>
          </cell>
          <cell r="P84">
            <v>165487</v>
          </cell>
          <cell r="Q84">
            <v>177049</v>
          </cell>
          <cell r="V84">
            <v>183170</v>
          </cell>
          <cell r="AA84">
            <v>185591</v>
          </cell>
          <cell r="AF84">
            <v>207414</v>
          </cell>
          <cell r="AK84">
            <v>219632</v>
          </cell>
          <cell r="AP84">
            <v>243207</v>
          </cell>
          <cell r="AU84">
            <v>329201</v>
          </cell>
          <cell r="AZ84">
            <v>432152</v>
          </cell>
          <cell r="BE84">
            <v>492844</v>
          </cell>
        </row>
        <row r="85">
          <cell r="B85" t="str">
            <v>Total liabilities and equity</v>
          </cell>
          <cell r="C85" t="str">
            <v>TOT_LIAB_EQ</v>
          </cell>
          <cell r="D85" t="str">
            <v>JPY</v>
          </cell>
          <cell r="K85">
            <v>177396</v>
          </cell>
          <cell r="L85">
            <v>187060</v>
          </cell>
          <cell r="M85">
            <v>187987</v>
          </cell>
          <cell r="N85">
            <v>209002</v>
          </cell>
          <cell r="O85">
            <v>215365</v>
          </cell>
          <cell r="P85">
            <v>250355</v>
          </cell>
          <cell r="Q85">
            <v>268763</v>
          </cell>
          <cell r="V85">
            <v>275435</v>
          </cell>
          <cell r="AA85">
            <v>278313</v>
          </cell>
          <cell r="AF85">
            <v>307773</v>
          </cell>
          <cell r="AK85">
            <v>444015</v>
          </cell>
          <cell r="AP85">
            <v>472497</v>
          </cell>
          <cell r="AU85">
            <v>535055</v>
          </cell>
          <cell r="AZ85">
            <v>620419</v>
          </cell>
          <cell r="BE85">
            <v>699108</v>
          </cell>
        </row>
        <row r="86">
          <cell r="A86" t="str">
            <v>Additional Balance Sheet Items</v>
          </cell>
        </row>
        <row r="87">
          <cell r="B87" t="str">
            <v>Total US$ debt (in US$)</v>
          </cell>
          <cell r="C87" t="str">
            <v>TOT_USD_DEBT</v>
          </cell>
        </row>
        <row r="88">
          <cell r="B88" t="str">
            <v>% US$ debt hedged (principal)</v>
          </cell>
          <cell r="C88" t="str">
            <v>TOT_PCT_USD_DEBT_HEDGED</v>
          </cell>
        </row>
        <row r="89">
          <cell r="B89" t="str">
            <v>% Floating debt (local currency debt)</v>
          </cell>
          <cell r="C89" t="str">
            <v>FLOATING_PCT_LOCAL_DEBT</v>
          </cell>
        </row>
        <row r="90">
          <cell r="B90" t="str">
            <v>% floating debt hedged (rates)</v>
          </cell>
          <cell r="C90" t="str">
            <v>FLOATING_PCT_LOCAL_DEBT_HEDGED</v>
          </cell>
        </row>
        <row r="91">
          <cell r="B91" t="str">
            <v>Net debt</v>
          </cell>
          <cell r="C91" t="str">
            <v>NET_DEBT</v>
          </cell>
          <cell r="D91" t="str">
            <v>JPY</v>
          </cell>
          <cell r="K91">
            <v>-32546</v>
          </cell>
          <cell r="L91">
            <v>-43746</v>
          </cell>
          <cell r="M91">
            <v>-37897</v>
          </cell>
          <cell r="N91">
            <v>-42229</v>
          </cell>
          <cell r="O91">
            <v>-51025</v>
          </cell>
          <cell r="P91">
            <v>-71202</v>
          </cell>
          <cell r="Q91">
            <v>-69864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-88878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-74287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-94126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17097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37207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-2972</v>
          </cell>
          <cell r="AZ91">
            <v>-83205</v>
          </cell>
          <cell r="BE91">
            <v>-105382</v>
          </cell>
        </row>
        <row r="92">
          <cell r="B92" t="str">
            <v>Capitalized leases</v>
          </cell>
          <cell r="C92" t="str">
            <v>CAP_LEASES</v>
          </cell>
          <cell r="D92" t="str">
            <v>JPY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V92">
            <v>0</v>
          </cell>
          <cell r="AA92">
            <v>0</v>
          </cell>
          <cell r="AF92">
            <v>0</v>
          </cell>
          <cell r="AK92">
            <v>0</v>
          </cell>
          <cell r="AP92">
            <v>0</v>
          </cell>
          <cell r="AU92">
            <v>0</v>
          </cell>
          <cell r="AZ92">
            <v>0</v>
          </cell>
          <cell r="BE92">
            <v>0</v>
          </cell>
        </row>
        <row r="93">
          <cell r="B93" t="str">
            <v>Deferred income taxes</v>
          </cell>
          <cell r="C93" t="str">
            <v>DEF_INC_TAX</v>
          </cell>
          <cell r="D93" t="str">
            <v>JPY</v>
          </cell>
        </row>
        <row r="94">
          <cell r="B94" t="str">
            <v>Associates (mkt value) used in EV calculation</v>
          </cell>
          <cell r="C94" t="str">
            <v>MV_ASSOCIATES</v>
          </cell>
          <cell r="D94" t="str">
            <v>JPY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V94">
            <v>0</v>
          </cell>
          <cell r="AA94">
            <v>0</v>
          </cell>
          <cell r="AF94">
            <v>0</v>
          </cell>
          <cell r="AK94">
            <v>0</v>
          </cell>
          <cell r="AP94">
            <v>0</v>
          </cell>
          <cell r="AU94">
            <v>0</v>
          </cell>
          <cell r="AZ94">
            <v>0</v>
          </cell>
          <cell r="BE94">
            <v>0</v>
          </cell>
        </row>
        <row r="95">
          <cell r="B95" t="str">
            <v>Net debt adjustment</v>
          </cell>
          <cell r="C95" t="str">
            <v>NET_DEBT_ADJ</v>
          </cell>
          <cell r="D95" t="str">
            <v>JPY</v>
          </cell>
        </row>
        <row r="96">
          <cell r="B96" t="str">
            <v>Company borrowing margin</v>
          </cell>
          <cell r="C96" t="str">
            <v>CO_BOR_MARGIN</v>
          </cell>
          <cell r="K96">
            <v>6.1533556512000001E-2</v>
          </cell>
          <cell r="L96">
            <v>4.3461186019000002E-2</v>
          </cell>
          <cell r="M96">
            <v>5.4323223178E-2</v>
          </cell>
          <cell r="N96">
            <v>4.8473967684000002E-2</v>
          </cell>
          <cell r="O96">
            <v>4.3466261901000003E-2</v>
          </cell>
          <cell r="P96">
            <v>3.2502940233000002E-2</v>
          </cell>
          <cell r="Q96">
            <v>4.7253125357999998E-2</v>
          </cell>
          <cell r="V96">
            <v>9.3685936858999994E-2</v>
          </cell>
          <cell r="AA96">
            <v>5.2792915530999997E-2</v>
          </cell>
          <cell r="AF96">
            <v>2.1247240617999999E-2</v>
          </cell>
          <cell r="AK96">
            <v>2.273277259E-3</v>
          </cell>
          <cell r="AP96">
            <v>3.707554545E-3</v>
          </cell>
          <cell r="AU96">
            <v>3.439880815E-3</v>
          </cell>
          <cell r="AZ96">
            <v>1.2469957156E-2</v>
          </cell>
          <cell r="BE96">
            <v>8.5930716490000003E-3</v>
          </cell>
        </row>
        <row r="97">
          <cell r="B97" t="str">
            <v>Unfunded pensions &amp; other provisions</v>
          </cell>
          <cell r="C97" t="str">
            <v>UNF_PENS</v>
          </cell>
          <cell r="D97" t="str">
            <v>JPY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V97">
            <v>0</v>
          </cell>
          <cell r="AA97">
            <v>0</v>
          </cell>
          <cell r="AF97">
            <v>0</v>
          </cell>
          <cell r="AK97">
            <v>0</v>
          </cell>
          <cell r="AP97">
            <v>0</v>
          </cell>
          <cell r="AU97">
            <v>0</v>
          </cell>
          <cell r="AZ97">
            <v>0</v>
          </cell>
          <cell r="BE97">
            <v>0</v>
          </cell>
        </row>
        <row r="98">
          <cell r="B98" t="str">
            <v>Unfunded pension liabilities (off balance sheet)</v>
          </cell>
          <cell r="C98" t="str">
            <v>UNF_PENS_OFF</v>
          </cell>
          <cell r="D98" t="str">
            <v>JPY</v>
          </cell>
          <cell r="K98">
            <v>200</v>
          </cell>
          <cell r="L98">
            <v>100</v>
          </cell>
          <cell r="M98">
            <v>50</v>
          </cell>
          <cell r="N98">
            <v>0</v>
          </cell>
          <cell r="O98">
            <v>164</v>
          </cell>
          <cell r="P98">
            <v>194</v>
          </cell>
          <cell r="Q98">
            <v>190</v>
          </cell>
          <cell r="V98">
            <v>84</v>
          </cell>
          <cell r="AA98">
            <v>1842</v>
          </cell>
          <cell r="AF98">
            <v>373</v>
          </cell>
          <cell r="AK98">
            <v>373</v>
          </cell>
          <cell r="AP98">
            <v>373</v>
          </cell>
          <cell r="AU98">
            <v>373</v>
          </cell>
          <cell r="AZ98">
            <v>373</v>
          </cell>
          <cell r="BE98">
            <v>373</v>
          </cell>
        </row>
        <row r="99">
          <cell r="B99" t="str">
            <v>Unfunded pension liabilities &amp; other, used in EV</v>
          </cell>
          <cell r="C99" t="str">
            <v>UNF_PENS_LIAB_OTH</v>
          </cell>
          <cell r="D99" t="str">
            <v>JPY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V99">
            <v>0</v>
          </cell>
          <cell r="AA99">
            <v>0</v>
          </cell>
          <cell r="AF99">
            <v>0</v>
          </cell>
          <cell r="AK99">
            <v>0</v>
          </cell>
          <cell r="AP99">
            <v>0</v>
          </cell>
          <cell r="AU99">
            <v>0</v>
          </cell>
          <cell r="AZ99">
            <v>0</v>
          </cell>
          <cell r="BE99">
            <v>0</v>
          </cell>
        </row>
        <row r="100">
          <cell r="B100" t="str">
            <v>Adjustment for unfunded pensions &amp; goodwill</v>
          </cell>
          <cell r="C100" t="str">
            <v>ADJ_UNF_PENS_GOOD</v>
          </cell>
          <cell r="D100" t="str">
            <v>JPY</v>
          </cell>
          <cell r="V100">
            <v>-3661</v>
          </cell>
          <cell r="AA100">
            <v>-14386</v>
          </cell>
          <cell r="AF100">
            <v>-14239</v>
          </cell>
          <cell r="AK100">
            <v>-67116</v>
          </cell>
          <cell r="AP100">
            <v>-97336</v>
          </cell>
          <cell r="AU100">
            <v>-97021</v>
          </cell>
          <cell r="AZ100">
            <v>-95112</v>
          </cell>
          <cell r="BE100">
            <v>-95805</v>
          </cell>
        </row>
        <row r="101">
          <cell r="B101" t="str">
            <v>Other GCI adjustments</v>
          </cell>
          <cell r="C101" t="str">
            <v>OTH_GCI_ADJ</v>
          </cell>
          <cell r="D101" t="str">
            <v>JPY</v>
          </cell>
        </row>
        <row r="102">
          <cell r="B102" t="str">
            <v>GCI inflator</v>
          </cell>
          <cell r="C102" t="str">
            <v>GCI_INFL</v>
          </cell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V102">
            <v>1</v>
          </cell>
          <cell r="AA102">
            <v>1</v>
          </cell>
          <cell r="AF102">
            <v>1</v>
          </cell>
          <cell r="AK102">
            <v>1</v>
          </cell>
          <cell r="AP102">
            <v>1</v>
          </cell>
          <cell r="AU102">
            <v>1</v>
          </cell>
          <cell r="AZ102">
            <v>1</v>
          </cell>
          <cell r="BE102">
            <v>1</v>
          </cell>
        </row>
        <row r="103">
          <cell r="B103" t="str">
            <v>Minority interest</v>
          </cell>
          <cell r="C103" t="str">
            <v>BAL_MINO_INT</v>
          </cell>
          <cell r="D103" t="str">
            <v>JPY</v>
          </cell>
          <cell r="K103">
            <v>5085</v>
          </cell>
          <cell r="L103">
            <v>5363</v>
          </cell>
          <cell r="M103">
            <v>5903</v>
          </cell>
          <cell r="N103">
            <v>6913</v>
          </cell>
          <cell r="O103">
            <v>9146</v>
          </cell>
          <cell r="P103">
            <v>14304</v>
          </cell>
          <cell r="Q103">
            <v>15883</v>
          </cell>
          <cell r="V103">
            <v>16919</v>
          </cell>
          <cell r="AA103">
            <v>17923</v>
          </cell>
          <cell r="AF103">
            <v>23524</v>
          </cell>
          <cell r="AK103">
            <v>17408</v>
          </cell>
          <cell r="AP103">
            <v>29174</v>
          </cell>
          <cell r="AU103">
            <v>38755</v>
          </cell>
          <cell r="AZ103">
            <v>57719</v>
          </cell>
          <cell r="BE103">
            <v>72952</v>
          </cell>
        </row>
        <row r="104">
          <cell r="B104" t="str">
            <v>Cash &amp; cash equivalents</v>
          </cell>
          <cell r="C104" t="str">
            <v>CASH_EQ_JPN</v>
          </cell>
          <cell r="D104" t="str">
            <v>JPY</v>
          </cell>
          <cell r="K104">
            <v>38819</v>
          </cell>
          <cell r="L104">
            <v>51385</v>
          </cell>
          <cell r="M104">
            <v>44524</v>
          </cell>
          <cell r="N104">
            <v>48356</v>
          </cell>
          <cell r="O104">
            <v>58272</v>
          </cell>
          <cell r="P104">
            <v>80555</v>
          </cell>
          <cell r="Q104">
            <v>78583</v>
          </cell>
          <cell r="V104">
            <v>93756</v>
          </cell>
          <cell r="AA104">
            <v>80159</v>
          </cell>
          <cell r="AF104">
            <v>101374</v>
          </cell>
          <cell r="AK104">
            <v>119270</v>
          </cell>
          <cell r="AP104">
            <v>86864</v>
          </cell>
          <cell r="AU104">
            <v>85533</v>
          </cell>
          <cell r="AZ104">
            <v>111914</v>
          </cell>
          <cell r="BE104">
            <v>138781</v>
          </cell>
        </row>
        <row r="105">
          <cell r="B105" t="str">
            <v>Other current assets</v>
          </cell>
          <cell r="C105" t="str">
            <v>OTH_CUR_ASS_JPN</v>
          </cell>
          <cell r="D105" t="str">
            <v>JPY</v>
          </cell>
          <cell r="K105">
            <v>5395</v>
          </cell>
          <cell r="L105">
            <v>4455</v>
          </cell>
          <cell r="M105">
            <v>5428</v>
          </cell>
          <cell r="N105">
            <v>4955</v>
          </cell>
          <cell r="O105">
            <v>5364</v>
          </cell>
          <cell r="P105">
            <v>5160</v>
          </cell>
          <cell r="Q105">
            <v>5689</v>
          </cell>
          <cell r="V105">
            <v>6492</v>
          </cell>
          <cell r="AA105">
            <v>10596</v>
          </cell>
          <cell r="AF105">
            <v>9224</v>
          </cell>
          <cell r="AK105">
            <v>17052</v>
          </cell>
          <cell r="AP105">
            <v>19795</v>
          </cell>
          <cell r="AU105">
            <v>20147</v>
          </cell>
          <cell r="AZ105">
            <v>34053</v>
          </cell>
          <cell r="BE105">
            <v>32117</v>
          </cell>
        </row>
        <row r="106">
          <cell r="A106" t="str">
            <v>Cash Flow Statement</v>
          </cell>
        </row>
        <row r="107">
          <cell r="B107" t="str">
            <v>Minority interest add-back</v>
          </cell>
          <cell r="C107" t="str">
            <v>CF_INC_MINORITY</v>
          </cell>
          <cell r="D107" t="str">
            <v>JPY</v>
          </cell>
          <cell r="K107">
            <v>153</v>
          </cell>
          <cell r="L107">
            <v>250</v>
          </cell>
          <cell r="M107">
            <v>1046</v>
          </cell>
          <cell r="N107">
            <v>1363</v>
          </cell>
          <cell r="O107">
            <v>1567</v>
          </cell>
          <cell r="P107">
            <v>1813</v>
          </cell>
          <cell r="Q107">
            <v>2067</v>
          </cell>
          <cell r="V107">
            <v>2827</v>
          </cell>
          <cell r="AA107">
            <v>3521</v>
          </cell>
          <cell r="AF107">
            <v>5572</v>
          </cell>
          <cell r="AK107">
            <v>3473</v>
          </cell>
          <cell r="AP107">
            <v>3716</v>
          </cell>
          <cell r="AU107">
            <v>5790</v>
          </cell>
          <cell r="AZ107">
            <v>5780</v>
          </cell>
          <cell r="BE107">
            <v>8428</v>
          </cell>
        </row>
        <row r="108">
          <cell r="B108" t="str">
            <v>Depreciation &amp; amortization add-back</v>
          </cell>
          <cell r="C108" t="str">
            <v>DEPR_AMORT</v>
          </cell>
          <cell r="D108" t="str">
            <v>JPY</v>
          </cell>
          <cell r="K108">
            <v>10635</v>
          </cell>
          <cell r="L108">
            <v>10500</v>
          </cell>
          <cell r="M108">
            <v>11023</v>
          </cell>
          <cell r="N108">
            <v>11616</v>
          </cell>
          <cell r="O108">
            <v>12329</v>
          </cell>
          <cell r="P108">
            <v>13062</v>
          </cell>
          <cell r="Q108">
            <v>13184</v>
          </cell>
          <cell r="V108">
            <v>15040</v>
          </cell>
          <cell r="AA108">
            <v>17101</v>
          </cell>
          <cell r="AF108">
            <v>16393</v>
          </cell>
          <cell r="AK108">
            <v>17380</v>
          </cell>
          <cell r="AP108">
            <v>17156</v>
          </cell>
          <cell r="AU108">
            <v>21053</v>
          </cell>
          <cell r="AZ108">
            <v>31304</v>
          </cell>
          <cell r="BE108">
            <v>24162</v>
          </cell>
        </row>
        <row r="109">
          <cell r="B109" t="str">
            <v>(Increase)/decrease in working capital</v>
          </cell>
          <cell r="C109" t="str">
            <v>WORK_CAP</v>
          </cell>
          <cell r="D109" t="str">
            <v>JPY</v>
          </cell>
          <cell r="K109">
            <v>-4106</v>
          </cell>
          <cell r="L109">
            <v>-249</v>
          </cell>
          <cell r="M109">
            <v>-2768</v>
          </cell>
          <cell r="N109">
            <v>-4412</v>
          </cell>
          <cell r="O109">
            <v>-1846</v>
          </cell>
          <cell r="P109">
            <v>-767</v>
          </cell>
          <cell r="Q109">
            <v>-6231</v>
          </cell>
          <cell r="V109">
            <v>6540</v>
          </cell>
          <cell r="AA109">
            <v>-8673</v>
          </cell>
          <cell r="AF109">
            <v>1034</v>
          </cell>
          <cell r="AK109">
            <v>-3854</v>
          </cell>
          <cell r="AP109">
            <v>-3002</v>
          </cell>
          <cell r="AU109">
            <v>-6090</v>
          </cell>
          <cell r="AZ109">
            <v>15313</v>
          </cell>
          <cell r="BE109">
            <v>-10803</v>
          </cell>
        </row>
        <row r="110">
          <cell r="B110" t="str">
            <v>Other operating cash flow items</v>
          </cell>
          <cell r="C110" t="str">
            <v>OTH_OP_CF</v>
          </cell>
          <cell r="D110" t="str">
            <v>JPY</v>
          </cell>
          <cell r="K110">
            <v>2934</v>
          </cell>
          <cell r="L110">
            <v>5565</v>
          </cell>
          <cell r="M110">
            <v>4818</v>
          </cell>
          <cell r="N110">
            <v>11829</v>
          </cell>
          <cell r="O110">
            <v>-7861</v>
          </cell>
          <cell r="P110">
            <v>7992</v>
          </cell>
          <cell r="Q110">
            <v>4846</v>
          </cell>
          <cell r="V110">
            <v>3455</v>
          </cell>
          <cell r="AA110">
            <v>-8459</v>
          </cell>
          <cell r="AF110">
            <v>8081</v>
          </cell>
          <cell r="AK110">
            <v>-69265</v>
          </cell>
          <cell r="AP110">
            <v>13441</v>
          </cell>
          <cell r="AU110">
            <v>10368</v>
          </cell>
          <cell r="AZ110">
            <v>9399</v>
          </cell>
          <cell r="BE110">
            <v>23823</v>
          </cell>
        </row>
        <row r="111">
          <cell r="B111" t="str">
            <v>Cash flow from operating activities</v>
          </cell>
          <cell r="C111" t="str">
            <v>CF_OPS</v>
          </cell>
          <cell r="D111" t="str">
            <v>JPY</v>
          </cell>
          <cell r="K111">
            <v>19522</v>
          </cell>
          <cell r="L111">
            <v>24920</v>
          </cell>
          <cell r="M111">
            <v>26998</v>
          </cell>
          <cell r="N111">
            <v>36635</v>
          </cell>
          <cell r="O111">
            <v>20570</v>
          </cell>
          <cell r="P111">
            <v>37387</v>
          </cell>
          <cell r="Q111">
            <v>28924</v>
          </cell>
          <cell r="V111">
            <v>44545</v>
          </cell>
          <cell r="AA111">
            <v>20617</v>
          </cell>
          <cell r="AF111">
            <v>55543</v>
          </cell>
          <cell r="AK111">
            <v>-18706</v>
          </cell>
          <cell r="AP111">
            <v>58292</v>
          </cell>
          <cell r="AU111">
            <v>74242</v>
          </cell>
          <cell r="AZ111">
            <v>100012</v>
          </cell>
          <cell r="BE111">
            <v>78341</v>
          </cell>
        </row>
        <row r="112">
          <cell r="B112" t="str">
            <v>Capital expenditures, Capex</v>
          </cell>
          <cell r="C112" t="str">
            <v>CAPEX</v>
          </cell>
          <cell r="D112" t="str">
            <v>JPY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-13737</v>
          </cell>
          <cell r="P112">
            <v>-13609</v>
          </cell>
          <cell r="Q112">
            <v>-21306</v>
          </cell>
          <cell r="V112">
            <v>-17370</v>
          </cell>
          <cell r="AA112">
            <v>-14573</v>
          </cell>
          <cell r="AF112">
            <v>-24750</v>
          </cell>
          <cell r="AK112">
            <v>-25738</v>
          </cell>
          <cell r="AP112">
            <v>-25271</v>
          </cell>
          <cell r="AU112">
            <v>-47705</v>
          </cell>
          <cell r="AZ112">
            <v>-58694</v>
          </cell>
          <cell r="BE112">
            <v>-41424</v>
          </cell>
        </row>
        <row r="113">
          <cell r="B113" t="str">
            <v>Acquisitions</v>
          </cell>
          <cell r="C113" t="str">
            <v>ACQ</v>
          </cell>
          <cell r="D113" t="str">
            <v>JPY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-4214</v>
          </cell>
          <cell r="Q113">
            <v>-574</v>
          </cell>
          <cell r="V113">
            <v>-76</v>
          </cell>
          <cell r="AA113">
            <v>-422</v>
          </cell>
          <cell r="AF113">
            <v>-422</v>
          </cell>
          <cell r="AK113">
            <v>0</v>
          </cell>
          <cell r="AP113">
            <v>0</v>
          </cell>
          <cell r="AU113">
            <v>0</v>
          </cell>
          <cell r="AZ113">
            <v>0</v>
          </cell>
          <cell r="BE113">
            <v>0</v>
          </cell>
        </row>
        <row r="114">
          <cell r="B114" t="str">
            <v>Divestitures</v>
          </cell>
          <cell r="C114" t="str">
            <v>DIVEST</v>
          </cell>
          <cell r="D114" t="str">
            <v>JPY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455</v>
          </cell>
          <cell r="Q114">
            <v>0</v>
          </cell>
          <cell r="V114">
            <v>46</v>
          </cell>
          <cell r="AA114">
            <v>92</v>
          </cell>
          <cell r="AF114">
            <v>92</v>
          </cell>
          <cell r="AK114">
            <v>0</v>
          </cell>
          <cell r="AP114">
            <v>0</v>
          </cell>
          <cell r="AU114">
            <v>0</v>
          </cell>
          <cell r="AZ114">
            <v>0</v>
          </cell>
          <cell r="BE114">
            <v>0</v>
          </cell>
        </row>
        <row r="115">
          <cell r="B115" t="str">
            <v>Other investing cash flow items</v>
          </cell>
          <cell r="C115" t="str">
            <v>OTH_INV_CF</v>
          </cell>
          <cell r="D115" t="str">
            <v>JPY</v>
          </cell>
          <cell r="K115">
            <v>-9234</v>
          </cell>
          <cell r="L115">
            <v>-7261</v>
          </cell>
          <cell r="M115">
            <v>-26410</v>
          </cell>
          <cell r="N115">
            <v>-25836</v>
          </cell>
          <cell r="O115">
            <v>5300</v>
          </cell>
          <cell r="P115">
            <v>-2883</v>
          </cell>
          <cell r="Q115">
            <v>1552</v>
          </cell>
          <cell r="V115">
            <v>7309</v>
          </cell>
          <cell r="AA115">
            <v>-29413</v>
          </cell>
          <cell r="AF115">
            <v>2841</v>
          </cell>
          <cell r="AK115">
            <v>-43789</v>
          </cell>
          <cell r="AP115">
            <v>-33590</v>
          </cell>
          <cell r="AU115">
            <v>-5599</v>
          </cell>
          <cell r="AZ115">
            <v>474</v>
          </cell>
          <cell r="BE115">
            <v>4683</v>
          </cell>
        </row>
        <row r="116">
          <cell r="B116" t="str">
            <v>Cash flow from investing</v>
          </cell>
          <cell r="C116" t="str">
            <v>CF_INV</v>
          </cell>
          <cell r="D116" t="str">
            <v>JPY</v>
          </cell>
          <cell r="K116">
            <v>-9234</v>
          </cell>
          <cell r="L116">
            <v>-7261</v>
          </cell>
          <cell r="M116">
            <v>-26410</v>
          </cell>
          <cell r="N116">
            <v>-25836</v>
          </cell>
          <cell r="O116">
            <v>-8437</v>
          </cell>
          <cell r="P116">
            <v>-20251</v>
          </cell>
          <cell r="Q116">
            <v>-20328</v>
          </cell>
          <cell r="V116">
            <v>-10091</v>
          </cell>
          <cell r="AA116">
            <v>-44316</v>
          </cell>
          <cell r="AF116">
            <v>-22239</v>
          </cell>
          <cell r="AK116">
            <v>-69527</v>
          </cell>
          <cell r="AP116">
            <v>-58861</v>
          </cell>
          <cell r="AU116">
            <v>-53304</v>
          </cell>
          <cell r="AZ116">
            <v>-58220</v>
          </cell>
          <cell r="BE116">
            <v>-36741</v>
          </cell>
        </row>
        <row r="117">
          <cell r="B117" t="str">
            <v>Dividends paid</v>
          </cell>
          <cell r="C117" t="str">
            <v>DIV_PAID</v>
          </cell>
          <cell r="D117" t="str">
            <v>JPY</v>
          </cell>
          <cell r="K117">
            <v>-1692</v>
          </cell>
          <cell r="L117">
            <v>-2041</v>
          </cell>
          <cell r="M117">
            <v>-1794</v>
          </cell>
          <cell r="N117">
            <v>-2055</v>
          </cell>
          <cell r="O117">
            <v>-2250</v>
          </cell>
          <cell r="P117">
            <v>-2535</v>
          </cell>
          <cell r="Q117">
            <v>-2461</v>
          </cell>
          <cell r="V117">
            <v>-2903</v>
          </cell>
          <cell r="AA117">
            <v>-3199</v>
          </cell>
          <cell r="AF117">
            <v>-3941</v>
          </cell>
          <cell r="AK117">
            <v>-4844</v>
          </cell>
          <cell r="AP117">
            <v>-5584</v>
          </cell>
          <cell r="AU117">
            <v>-6078</v>
          </cell>
          <cell r="AZ117">
            <v>-6849</v>
          </cell>
          <cell r="BE117">
            <v>-7834</v>
          </cell>
        </row>
        <row r="118">
          <cell r="B118" t="str">
            <v>Common stock issuance/(repurchase)</v>
          </cell>
          <cell r="C118" t="str">
            <v>SH_REPUR</v>
          </cell>
          <cell r="D118" t="str">
            <v>JPY</v>
          </cell>
          <cell r="K118">
            <v>-4720</v>
          </cell>
          <cell r="L118">
            <v>-3278</v>
          </cell>
          <cell r="M118">
            <v>-6773</v>
          </cell>
          <cell r="N118">
            <v>-5562</v>
          </cell>
          <cell r="O118">
            <v>-1270</v>
          </cell>
          <cell r="P118">
            <v>-4980</v>
          </cell>
          <cell r="Q118">
            <v>-6014</v>
          </cell>
          <cell r="V118">
            <v>-5009</v>
          </cell>
          <cell r="AA118">
            <v>-1489</v>
          </cell>
          <cell r="AF118">
            <v>-6500</v>
          </cell>
          <cell r="AK118">
            <v>-7594</v>
          </cell>
          <cell r="AP118">
            <v>-9001</v>
          </cell>
          <cell r="AU118">
            <v>-11001</v>
          </cell>
          <cell r="AZ118">
            <v>-12002</v>
          </cell>
          <cell r="BE118">
            <v>-8008</v>
          </cell>
        </row>
        <row r="119">
          <cell r="B119" t="str">
            <v>Increase/(decrease) in total debt</v>
          </cell>
          <cell r="C119" t="str">
            <v>CHG_LT_DEBT</v>
          </cell>
          <cell r="D119" t="str">
            <v>JPY</v>
          </cell>
          <cell r="K119">
            <v>-348</v>
          </cell>
          <cell r="L119">
            <v>915</v>
          </cell>
          <cell r="M119">
            <v>-1236</v>
          </cell>
          <cell r="N119">
            <v>-695</v>
          </cell>
          <cell r="O119">
            <v>803</v>
          </cell>
          <cell r="P119">
            <v>-3369</v>
          </cell>
          <cell r="Q119">
            <v>-1387</v>
          </cell>
          <cell r="V119">
            <v>-3595</v>
          </cell>
          <cell r="AA119">
            <v>1846</v>
          </cell>
          <cell r="AF119">
            <v>1371</v>
          </cell>
          <cell r="AK119">
            <v>130412</v>
          </cell>
          <cell r="AP119">
            <v>-20652</v>
          </cell>
          <cell r="AU119">
            <v>-14903</v>
          </cell>
          <cell r="AZ119">
            <v>-1418</v>
          </cell>
          <cell r="BE119">
            <v>4682</v>
          </cell>
        </row>
        <row r="120">
          <cell r="B120" t="str">
            <v>Other financing cash flow items</v>
          </cell>
          <cell r="C120" t="str">
            <v>OTH_FIN_CF</v>
          </cell>
          <cell r="D120" t="str">
            <v>JPY</v>
          </cell>
          <cell r="K120">
            <v>415</v>
          </cell>
          <cell r="L120">
            <v>-2</v>
          </cell>
          <cell r="M120">
            <v>-2</v>
          </cell>
          <cell r="N120">
            <v>379</v>
          </cell>
          <cell r="O120">
            <v>2510</v>
          </cell>
          <cell r="P120">
            <v>5038</v>
          </cell>
          <cell r="Q120">
            <v>-933</v>
          </cell>
          <cell r="V120">
            <v>-1078</v>
          </cell>
          <cell r="AA120">
            <v>-355</v>
          </cell>
          <cell r="AF120">
            <v>-385</v>
          </cell>
          <cell r="AK120">
            <v>-1002</v>
          </cell>
          <cell r="AP120">
            <v>-1276</v>
          </cell>
          <cell r="AU120">
            <v>3329</v>
          </cell>
          <cell r="AZ120">
            <v>7764</v>
          </cell>
          <cell r="BE120">
            <v>-894</v>
          </cell>
        </row>
        <row r="121">
          <cell r="B121" t="str">
            <v>Cash flow from financing</v>
          </cell>
          <cell r="C121" t="str">
            <v>CF_FIN</v>
          </cell>
          <cell r="D121" t="str">
            <v>JPY</v>
          </cell>
          <cell r="K121">
            <v>-6345</v>
          </cell>
          <cell r="L121">
            <v>-4406</v>
          </cell>
          <cell r="M121">
            <v>-9805</v>
          </cell>
          <cell r="N121">
            <v>-7933</v>
          </cell>
          <cell r="O121">
            <v>-207</v>
          </cell>
          <cell r="P121">
            <v>-5846</v>
          </cell>
          <cell r="Q121">
            <v>-10795</v>
          </cell>
          <cell r="V121">
            <v>-12585</v>
          </cell>
          <cell r="AA121">
            <v>-3197</v>
          </cell>
          <cell r="AF121">
            <v>-9455</v>
          </cell>
          <cell r="AK121">
            <v>116972</v>
          </cell>
          <cell r="AP121">
            <v>-36513</v>
          </cell>
          <cell r="AU121">
            <v>-28653</v>
          </cell>
          <cell r="AZ121">
            <v>-12505</v>
          </cell>
          <cell r="BE121">
            <v>-12054</v>
          </cell>
        </row>
        <row r="122">
          <cell r="B122" t="str">
            <v>Total cash flow</v>
          </cell>
          <cell r="C122" t="str">
            <v>TOT_CF</v>
          </cell>
          <cell r="D122" t="str">
            <v>JPY</v>
          </cell>
          <cell r="K122">
            <v>3943</v>
          </cell>
          <cell r="L122">
            <v>13253</v>
          </cell>
          <cell r="M122">
            <v>-9217</v>
          </cell>
          <cell r="N122">
            <v>2866</v>
          </cell>
          <cell r="O122">
            <v>11926</v>
          </cell>
          <cell r="P122">
            <v>11290</v>
          </cell>
          <cell r="Q122">
            <v>-2199</v>
          </cell>
          <cell r="V122">
            <v>21869</v>
          </cell>
          <cell r="AA122">
            <v>-26896</v>
          </cell>
          <cell r="AF122">
            <v>23849</v>
          </cell>
          <cell r="AK122">
            <v>28739</v>
          </cell>
          <cell r="AP122">
            <v>-37082</v>
          </cell>
          <cell r="AU122">
            <v>-7715</v>
          </cell>
          <cell r="AZ122">
            <v>29287</v>
          </cell>
          <cell r="BE122">
            <v>29546</v>
          </cell>
        </row>
        <row r="123">
          <cell r="A123" t="str">
            <v>Additional Cash Flow Items</v>
          </cell>
        </row>
        <row r="124">
          <cell r="B124" t="str">
            <v>Associate and JV add-back</v>
          </cell>
          <cell r="C124" t="str">
            <v>ASSOC_JV_ADDBK</v>
          </cell>
          <cell r="D124" t="str">
            <v>JPY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JPY</v>
          </cell>
        </row>
        <row r="126">
          <cell r="B126" t="str">
            <v>Other non-cash adjustments</v>
          </cell>
          <cell r="C126" t="str">
            <v>OTH_NONCASH_ADJ</v>
          </cell>
          <cell r="D126" t="str">
            <v>JPY</v>
          </cell>
        </row>
        <row r="127">
          <cell r="B127" t="str">
            <v>Other DACF adjustments</v>
          </cell>
          <cell r="C127" t="str">
            <v>OTH_DACF_ADJ</v>
          </cell>
          <cell r="D127" t="str">
            <v>JPY</v>
          </cell>
        </row>
        <row r="128">
          <cell r="B128" t="str">
            <v>Cash interest expense</v>
          </cell>
          <cell r="C128" t="str">
            <v>CASH_INT_EXP</v>
          </cell>
          <cell r="D128" t="str">
            <v>JPY</v>
          </cell>
        </row>
        <row r="129">
          <cell r="B129" t="str">
            <v>Cash tax expense</v>
          </cell>
          <cell r="C129" t="str">
            <v>CASH_TAX_EXP</v>
          </cell>
          <cell r="D129" t="str">
            <v>JPY</v>
          </cell>
        </row>
        <row r="130">
          <cell r="B130" t="str">
            <v>Dividends received from associates/JVs</v>
          </cell>
          <cell r="C130" t="str">
            <v>DIVDS_ASSOC_JV</v>
          </cell>
          <cell r="D130" t="str">
            <v>JPY</v>
          </cell>
        </row>
        <row r="131">
          <cell r="B131" t="str">
            <v>Capex maintenance</v>
          </cell>
          <cell r="C131" t="str">
            <v>CAPEX_MAINTENANCE</v>
          </cell>
          <cell r="D131" t="str">
            <v>JPY</v>
          </cell>
        </row>
        <row r="132">
          <cell r="B132" t="str">
            <v>Capex expansion</v>
          </cell>
          <cell r="C132" t="str">
            <v>CAPEX_EXPANSION</v>
          </cell>
          <cell r="D132" t="str">
            <v>JPY</v>
          </cell>
        </row>
        <row r="133">
          <cell r="B133" t="str">
            <v>Non-PP&amp;E capex</v>
          </cell>
          <cell r="C133" t="str">
            <v>NONPPE_CAPEX</v>
          </cell>
          <cell r="D133" t="str">
            <v>JPY</v>
          </cell>
        </row>
        <row r="134">
          <cell r="B134" t="str">
            <v>Dividends paid to minorities</v>
          </cell>
          <cell r="C134" t="str">
            <v>DIVDS_PD_MINORITIES</v>
          </cell>
          <cell r="D134" t="str">
            <v>JPY</v>
          </cell>
        </row>
        <row r="135">
          <cell r="B135" t="str">
            <v>Capital expenditures (excl. leases)</v>
          </cell>
          <cell r="C135" t="str">
            <v>CAPEX_EX_LEASES</v>
          </cell>
          <cell r="D135" t="str">
            <v>JPY</v>
          </cell>
          <cell r="V135">
            <v>-17370</v>
          </cell>
          <cell r="AA135">
            <v>-14573</v>
          </cell>
          <cell r="AF135">
            <v>-24750</v>
          </cell>
          <cell r="AK135">
            <v>-25738</v>
          </cell>
          <cell r="AP135">
            <v>-25271</v>
          </cell>
          <cell r="AU135">
            <v>-47705</v>
          </cell>
          <cell r="AZ135">
            <v>-58694</v>
          </cell>
          <cell r="BE135">
            <v>-41424</v>
          </cell>
        </row>
        <row r="136">
          <cell r="A136" t="str">
            <v>Other Items</v>
          </cell>
        </row>
        <row r="137">
          <cell r="B137" t="str">
            <v>Number of employees</v>
          </cell>
          <cell r="C137" t="str">
            <v>EMPLOYEES</v>
          </cell>
          <cell r="AP137">
            <v>10</v>
          </cell>
          <cell r="AU137">
            <v>10.3</v>
          </cell>
          <cell r="AZ137">
            <v>10.855</v>
          </cell>
          <cell r="BE137">
            <v>11.423</v>
          </cell>
        </row>
        <row r="138">
          <cell r="B138" t="str">
            <v>Media/advertising expense</v>
          </cell>
          <cell r="C138" t="str">
            <v>MEDIA_ADVERTISING</v>
          </cell>
          <cell r="D138" t="str">
            <v>JPY</v>
          </cell>
          <cell r="AZ138">
            <v>15796</v>
          </cell>
          <cell r="BE138">
            <v>19138.585874662502</v>
          </cell>
        </row>
        <row r="139">
          <cell r="A139" t="str">
            <v>COGS Breakdown</v>
          </cell>
        </row>
        <row r="140">
          <cell r="B140" t="str">
            <v>% of COGS from Dairy</v>
          </cell>
          <cell r="C140" t="str">
            <v>COGS_DAIRY</v>
          </cell>
          <cell r="AZ140">
            <v>0</v>
          </cell>
          <cell r="BE140">
            <v>0</v>
          </cell>
        </row>
        <row r="141">
          <cell r="B141" t="str">
            <v>% of COGS from Nuts</v>
          </cell>
          <cell r="C141" t="str">
            <v>COGS_NUTS</v>
          </cell>
          <cell r="AZ141">
            <v>0</v>
          </cell>
          <cell r="BE141">
            <v>0</v>
          </cell>
        </row>
        <row r="142">
          <cell r="B142" t="str">
            <v>% of COGS from Palm oil</v>
          </cell>
          <cell r="C142" t="str">
            <v>COGS_PALM_OIL</v>
          </cell>
          <cell r="AZ142">
            <v>0</v>
          </cell>
          <cell r="BE142">
            <v>0</v>
          </cell>
        </row>
        <row r="143">
          <cell r="B143" t="str">
            <v>% of COGS from Other edible oil</v>
          </cell>
          <cell r="C143" t="str">
            <v>COGS_OTH_EDIBLE_OIL</v>
          </cell>
          <cell r="AZ143">
            <v>0</v>
          </cell>
          <cell r="BE143">
            <v>0</v>
          </cell>
        </row>
        <row r="144">
          <cell r="B144" t="str">
            <v>% of COGS from Soybean</v>
          </cell>
          <cell r="C144" t="str">
            <v>COGS_SOYBEAN</v>
          </cell>
          <cell r="AZ144">
            <v>0</v>
          </cell>
          <cell r="BE144">
            <v>0</v>
          </cell>
        </row>
        <row r="145">
          <cell r="B145" t="str">
            <v>% of COGS from Tobacco leaf</v>
          </cell>
          <cell r="C145" t="str">
            <v>COGS_TOBACCO</v>
          </cell>
          <cell r="AZ145">
            <v>0</v>
          </cell>
          <cell r="BE145">
            <v>0</v>
          </cell>
        </row>
        <row r="146">
          <cell r="B146" t="str">
            <v>% of COGS from Energy</v>
          </cell>
          <cell r="C146" t="str">
            <v>COGS_ENERGY</v>
          </cell>
          <cell r="AZ146">
            <v>0</v>
          </cell>
          <cell r="BE146">
            <v>0</v>
          </cell>
        </row>
        <row r="147">
          <cell r="B147" t="str">
            <v>% of COGS from Raws - Pulp</v>
          </cell>
          <cell r="C147" t="str">
            <v>COGS_RAW_PULP</v>
          </cell>
          <cell r="AZ147">
            <v>0.05</v>
          </cell>
          <cell r="BE147">
            <v>0.05</v>
          </cell>
        </row>
        <row r="148">
          <cell r="B148" t="str">
            <v>% of COGS from Raws - Oil derivatives</v>
          </cell>
          <cell r="C148" t="str">
            <v>COGS_RAW_OIL_DERIV</v>
          </cell>
          <cell r="AZ148">
            <v>0.05</v>
          </cell>
          <cell r="BE148">
            <v>0.05</v>
          </cell>
        </row>
        <row r="149">
          <cell r="B149" t="str">
            <v>% of COGS from Raws - Other</v>
          </cell>
          <cell r="C149" t="str">
            <v>COGS_RAW_OTH</v>
          </cell>
          <cell r="AZ149">
            <v>0</v>
          </cell>
          <cell r="BE149">
            <v>0</v>
          </cell>
        </row>
        <row r="150">
          <cell r="B150" t="str">
            <v>% of COGS from Pack - Paper/pulp</v>
          </cell>
          <cell r="C150" t="str">
            <v>COGS_PACK_PAPER</v>
          </cell>
          <cell r="AZ150">
            <v>0</v>
          </cell>
          <cell r="BE150">
            <v>0</v>
          </cell>
        </row>
        <row r="151">
          <cell r="B151" t="str">
            <v>% of COGS from Pack - Glass</v>
          </cell>
          <cell r="C151" t="str">
            <v>COGS_PACK_GLASS</v>
          </cell>
          <cell r="AZ151">
            <v>0</v>
          </cell>
          <cell r="BE151">
            <v>0</v>
          </cell>
        </row>
        <row r="152">
          <cell r="B152" t="str">
            <v>% of COGS from Pack - Oil derivatives/plastics</v>
          </cell>
          <cell r="C152" t="str">
            <v>COGS_PACK_OIL_DERIV</v>
          </cell>
          <cell r="AZ152">
            <v>0</v>
          </cell>
          <cell r="BE152">
            <v>0</v>
          </cell>
        </row>
        <row r="153">
          <cell r="B153" t="str">
            <v>% of COGS from Pack - Tin</v>
          </cell>
          <cell r="C153" t="str">
            <v>COGS_PACK_TIN</v>
          </cell>
          <cell r="AZ153">
            <v>0</v>
          </cell>
          <cell r="BE153">
            <v>0</v>
          </cell>
        </row>
        <row r="154">
          <cell r="B154" t="str">
            <v>% of COGS from Pack - Aluminium</v>
          </cell>
          <cell r="C154" t="str">
            <v>COGS_PACK_ALUM</v>
          </cell>
          <cell r="AZ154">
            <v>0</v>
          </cell>
          <cell r="BE154">
            <v>0</v>
          </cell>
        </row>
        <row r="155">
          <cell r="B155" t="str">
            <v>% of COGS from Overhead / wages</v>
          </cell>
          <cell r="C155" t="str">
            <v>COGS_OH_WAGES</v>
          </cell>
          <cell r="AZ155">
            <v>0.05</v>
          </cell>
          <cell r="BE155">
            <v>0.05</v>
          </cell>
        </row>
        <row r="156">
          <cell r="A156" t="str">
            <v>Regional Sales Growth</v>
          </cell>
        </row>
        <row r="157">
          <cell r="B157" t="str">
            <v>North America sales growth</v>
          </cell>
          <cell r="C157" t="str">
            <v>NAMERICA_SALES_GROWTH</v>
          </cell>
          <cell r="AZ157">
            <v>0</v>
          </cell>
          <cell r="BE157">
            <v>0.89655172413799999</v>
          </cell>
        </row>
        <row r="158">
          <cell r="B158" t="str">
            <v>LatAm sales growth</v>
          </cell>
          <cell r="C158" t="str">
            <v>LATAM_SALES_GROWTH</v>
          </cell>
          <cell r="AZ158">
            <v>0</v>
          </cell>
          <cell r="BE158">
            <v>0</v>
          </cell>
        </row>
        <row r="159">
          <cell r="B159" t="str">
            <v>Europe sales growth</v>
          </cell>
          <cell r="C159" t="str">
            <v>EUROPE_SALES_GROWTH</v>
          </cell>
          <cell r="AZ159">
            <v>-7.2072072072000004E-2</v>
          </cell>
          <cell r="BE159">
            <v>0.26213592232999999</v>
          </cell>
        </row>
        <row r="160">
          <cell r="B160" t="str">
            <v>EEMEA sales growth</v>
          </cell>
          <cell r="C160" t="str">
            <v>EEMEA_SALES_GROWTH</v>
          </cell>
          <cell r="AZ160">
            <v>0.30541871921199998</v>
          </cell>
          <cell r="BE160">
            <v>0.35471698113200001</v>
          </cell>
        </row>
        <row r="161">
          <cell r="B161" t="str">
            <v>Asia sales growth</v>
          </cell>
          <cell r="C161" t="str">
            <v>ASIA_SALES_GROWTH</v>
          </cell>
          <cell r="AZ161">
            <v>0.132628125559</v>
          </cell>
          <cell r="BE161">
            <v>0.17956807932800001</v>
          </cell>
        </row>
        <row r="162">
          <cell r="A162" t="str">
            <v>Geographical Breakdown</v>
          </cell>
        </row>
        <row r="163">
          <cell r="B163" t="str">
            <v>Sales - % Canada</v>
          </cell>
          <cell r="C163" t="str">
            <v>SALES_CANADA</v>
          </cell>
        </row>
        <row r="164">
          <cell r="B164" t="str">
            <v>Sales - % United States</v>
          </cell>
          <cell r="C164" t="str">
            <v>SALES_US</v>
          </cell>
          <cell r="Q164">
            <v>2.3397899433E-2</v>
          </cell>
          <cell r="V164">
            <v>2.3397899433E-2</v>
          </cell>
          <cell r="AA164">
            <v>2.3397899433E-2</v>
          </cell>
          <cell r="AF164">
            <v>2.3397899433E-2</v>
          </cell>
          <cell r="AK164">
            <v>2.3397899433E-2</v>
          </cell>
          <cell r="AP164">
            <v>2.3397899433E-2</v>
          </cell>
          <cell r="AU164">
            <v>2.3397899433E-2</v>
          </cell>
          <cell r="AZ164">
            <v>2.3397899433E-2</v>
          </cell>
          <cell r="BE164">
            <v>3.6700002502E-2</v>
          </cell>
        </row>
        <row r="165">
          <cell r="B165" t="str">
            <v>Sales - % Other North Americas</v>
          </cell>
          <cell r="C165" t="str">
            <v>SALES_OTH_NO_AMER</v>
          </cell>
        </row>
        <row r="166">
          <cell r="B166" t="str">
            <v>Sales - % Argentina</v>
          </cell>
          <cell r="C166" t="str">
            <v>SALES_ARGENTINA</v>
          </cell>
        </row>
        <row r="167">
          <cell r="B167" t="str">
            <v>Sales - % Brazil</v>
          </cell>
          <cell r="C167" t="str">
            <v>SALES_BRAZIL</v>
          </cell>
        </row>
        <row r="168">
          <cell r="B168" t="str">
            <v>Sales - % Chile</v>
          </cell>
          <cell r="C168" t="str">
            <v>SALES_CHILE</v>
          </cell>
        </row>
        <row r="169">
          <cell r="B169" t="str">
            <v>Sales - % Colombia</v>
          </cell>
          <cell r="C169" t="str">
            <v>SALES_COLOMBIA</v>
          </cell>
        </row>
        <row r="170">
          <cell r="B170" t="str">
            <v>Sales - % Mexico</v>
          </cell>
          <cell r="C170" t="str">
            <v>SALES_MEXICO</v>
          </cell>
        </row>
        <row r="171">
          <cell r="B171" t="str">
            <v>Sales - % Venezuela</v>
          </cell>
          <cell r="C171" t="str">
            <v>SALES_VENEZUELA</v>
          </cell>
        </row>
        <row r="172">
          <cell r="B172" t="str">
            <v>Sales - % Other Latin Americas</v>
          </cell>
          <cell r="C172" t="str">
            <v>SALES_OTH_LATAM</v>
          </cell>
        </row>
        <row r="173">
          <cell r="B173" t="str">
            <v>Sales - % Austria</v>
          </cell>
          <cell r="C173" t="str">
            <v>SALES_AUSTRIA</v>
          </cell>
        </row>
        <row r="174">
          <cell r="B174" t="str">
            <v>Sales - % Belgium</v>
          </cell>
          <cell r="C174" t="str">
            <v>SALES_BEL</v>
          </cell>
        </row>
        <row r="175">
          <cell r="B175" t="str">
            <v>Sales - % France</v>
          </cell>
          <cell r="C175" t="str">
            <v>SALES_FRA</v>
          </cell>
        </row>
        <row r="176">
          <cell r="B176" t="str">
            <v>Sales - % Germany</v>
          </cell>
          <cell r="C176" t="str">
            <v>SALES_GER</v>
          </cell>
        </row>
        <row r="177">
          <cell r="B177" t="str">
            <v>Sales - % Greece</v>
          </cell>
          <cell r="C177" t="str">
            <v>SALES_GRE</v>
          </cell>
        </row>
        <row r="178">
          <cell r="B178" t="str">
            <v>Sales - % Ireland</v>
          </cell>
          <cell r="C178" t="str">
            <v>SALES_IRE</v>
          </cell>
        </row>
        <row r="179">
          <cell r="B179" t="str">
            <v>Sales - % Italy</v>
          </cell>
          <cell r="C179" t="str">
            <v>SALES_ITA</v>
          </cell>
        </row>
        <row r="180">
          <cell r="B180" t="str">
            <v>Sales - % Netherlands</v>
          </cell>
          <cell r="C180" t="str">
            <v>SALES_NETH</v>
          </cell>
        </row>
        <row r="181">
          <cell r="B181" t="str">
            <v>Sales - % Norway</v>
          </cell>
          <cell r="C181" t="str">
            <v>SALES_NOR</v>
          </cell>
        </row>
        <row r="182">
          <cell r="B182" t="str">
            <v>Sales - % Portugal</v>
          </cell>
          <cell r="C182" t="str">
            <v>SALES_POR</v>
          </cell>
        </row>
        <row r="183">
          <cell r="B183" t="str">
            <v>Sales - % Spain</v>
          </cell>
          <cell r="C183" t="str">
            <v>SALES_SPA</v>
          </cell>
        </row>
        <row r="184">
          <cell r="B184" t="str">
            <v>Sales - % Sweden</v>
          </cell>
          <cell r="C184" t="str">
            <v>SALES_SWE</v>
          </cell>
        </row>
        <row r="185">
          <cell r="B185" t="str">
            <v>Sales - % Switzerland</v>
          </cell>
          <cell r="C185" t="str">
            <v>SALES_SWIT</v>
          </cell>
        </row>
        <row r="186">
          <cell r="B186" t="str">
            <v>Sales - % UK</v>
          </cell>
          <cell r="C186" t="str">
            <v>SALES_UK</v>
          </cell>
        </row>
        <row r="187">
          <cell r="B187" t="str">
            <v>Sales - % Other Western Europe</v>
          </cell>
          <cell r="C187" t="str">
            <v>SALES_OTH_WEST_EURO</v>
          </cell>
        </row>
        <row r="188">
          <cell r="B188" t="str">
            <v>Sales - % Poland</v>
          </cell>
          <cell r="C188" t="str">
            <v>SALES_POLAND</v>
          </cell>
        </row>
        <row r="189">
          <cell r="B189" t="str">
            <v>Sales - % Russia</v>
          </cell>
          <cell r="C189" t="str">
            <v>SALES_RUSSIA</v>
          </cell>
        </row>
        <row r="190">
          <cell r="B190" t="str">
            <v>Sales - % Turkey</v>
          </cell>
          <cell r="C190" t="str">
            <v>SALES_TURKEY</v>
          </cell>
        </row>
        <row r="191">
          <cell r="B191" t="str">
            <v>Sales - % Other CEE</v>
          </cell>
          <cell r="C191" t="str">
            <v>SALES_OTH_CEE</v>
          </cell>
        </row>
        <row r="192">
          <cell r="B192" t="str">
            <v>Sales - % Saudi Arabia</v>
          </cell>
          <cell r="C192" t="str">
            <v>SALES_SAUDI_ARABIA</v>
          </cell>
        </row>
        <row r="193">
          <cell r="B193" t="str">
            <v>Sales - % United Arab Emirates</v>
          </cell>
          <cell r="C193" t="str">
            <v>SALES_UAE</v>
          </cell>
        </row>
        <row r="194">
          <cell r="B194" t="str">
            <v>Sales - % Other Middle East</v>
          </cell>
          <cell r="C194" t="str">
            <v>SALES_OTH_ME</v>
          </cell>
        </row>
        <row r="195">
          <cell r="B195" t="str">
            <v>Sales - % Nigeria</v>
          </cell>
          <cell r="C195" t="str">
            <v>SALES_NIGERIA</v>
          </cell>
        </row>
        <row r="196">
          <cell r="B196" t="str">
            <v>Sales - % South Africa</v>
          </cell>
          <cell r="C196" t="str">
            <v>SALES_SO_AFRICA</v>
          </cell>
        </row>
        <row r="197">
          <cell r="B197" t="str">
            <v>Sales - % Other Africa</v>
          </cell>
          <cell r="C197" t="str">
            <v>SALES_OTH_AFRICA</v>
          </cell>
        </row>
        <row r="198">
          <cell r="B198" t="str">
            <v>Sales - % Hong Kong</v>
          </cell>
          <cell r="C198" t="str">
            <v>SALES_HONG_KONG</v>
          </cell>
        </row>
        <row r="199">
          <cell r="B199" t="str">
            <v>Sales - % Japan</v>
          </cell>
          <cell r="C199" t="str">
            <v>SALES_JAPAN</v>
          </cell>
          <cell r="Q199">
            <v>0.47802917072599999</v>
          </cell>
          <cell r="V199">
            <v>0.47802917072599999</v>
          </cell>
          <cell r="AA199">
            <v>0.47802917072599999</v>
          </cell>
          <cell r="AF199">
            <v>0.47802917072599999</v>
          </cell>
          <cell r="AK199">
            <v>0.47802917072599999</v>
          </cell>
          <cell r="AP199">
            <v>0.47802917072599999</v>
          </cell>
          <cell r="AU199">
            <v>0.47802917072599999</v>
          </cell>
          <cell r="AZ199">
            <v>0.47802917072599999</v>
          </cell>
          <cell r="BE199">
            <v>0.42440550166399998</v>
          </cell>
        </row>
        <row r="200">
          <cell r="B200" t="str">
            <v>Sales - % Singapore</v>
          </cell>
          <cell r="C200" t="str">
            <v>SALES_SINGAPORE</v>
          </cell>
        </row>
        <row r="201">
          <cell r="B201" t="str">
            <v>Sales - % South Korea</v>
          </cell>
          <cell r="C201" t="str">
            <v>SALES_SK</v>
          </cell>
        </row>
        <row r="202">
          <cell r="B202" t="str">
            <v>Sales - % Taiwan</v>
          </cell>
          <cell r="C202" t="str">
            <v>SALES_TAIWAN</v>
          </cell>
        </row>
        <row r="203">
          <cell r="B203" t="str">
            <v>Sales - % Other Developed Asia</v>
          </cell>
          <cell r="C203" t="str">
            <v>SALES_OTH_DEV_ASIA</v>
          </cell>
        </row>
        <row r="204">
          <cell r="B204" t="str">
            <v>Sales - % China</v>
          </cell>
          <cell r="C204" t="str">
            <v>SALES_CHINA</v>
          </cell>
          <cell r="Q204">
            <v>0.145805220555</v>
          </cell>
          <cell r="V204">
            <v>0.145805220555</v>
          </cell>
          <cell r="AA204">
            <v>0.145805220555</v>
          </cell>
          <cell r="AF204">
            <v>0.145805220555</v>
          </cell>
          <cell r="AK204">
            <v>0.145805220555</v>
          </cell>
          <cell r="AP204">
            <v>0.145805220555</v>
          </cell>
          <cell r="AU204">
            <v>0.145805220555</v>
          </cell>
          <cell r="AZ204">
            <v>0.145805220555</v>
          </cell>
          <cell r="BE204">
            <v>0.15493906965500001</v>
          </cell>
        </row>
        <row r="205">
          <cell r="B205" t="str">
            <v>Sales - % India</v>
          </cell>
          <cell r="C205" t="str">
            <v>SALES_INDIA</v>
          </cell>
        </row>
        <row r="206">
          <cell r="B206" t="str">
            <v>Sales - % Indonesia</v>
          </cell>
          <cell r="C206" t="str">
            <v>SALES_INDONESIA</v>
          </cell>
          <cell r="Q206">
            <v>8.5523356549999999E-2</v>
          </cell>
          <cell r="V206">
            <v>8.5523356549999999E-2</v>
          </cell>
          <cell r="AA206">
            <v>8.5523356549999999E-2</v>
          </cell>
          <cell r="AF206">
            <v>8.5523356549999999E-2</v>
          </cell>
          <cell r="AK206">
            <v>8.5523356549999999E-2</v>
          </cell>
          <cell r="AP206">
            <v>8.5523356549999999E-2</v>
          </cell>
          <cell r="AU206">
            <v>8.5523356549999999E-2</v>
          </cell>
          <cell r="AZ206">
            <v>8.5523356549999999E-2</v>
          </cell>
          <cell r="BE206">
            <v>9.9090006755999993E-2</v>
          </cell>
        </row>
        <row r="207">
          <cell r="B207" t="str">
            <v>Sales - % Thailand</v>
          </cell>
          <cell r="C207" t="str">
            <v>SALES_THAILAND</v>
          </cell>
          <cell r="Q207">
            <v>5.6881100347000002E-2</v>
          </cell>
          <cell r="V207">
            <v>5.6881100347000002E-2</v>
          </cell>
          <cell r="AA207">
            <v>5.6881100347000002E-2</v>
          </cell>
          <cell r="AF207">
            <v>5.6881100347000002E-2</v>
          </cell>
          <cell r="AK207">
            <v>5.6881100347000002E-2</v>
          </cell>
          <cell r="AP207">
            <v>5.6881100347000002E-2</v>
          </cell>
          <cell r="AU207">
            <v>5.6881100347000002E-2</v>
          </cell>
          <cell r="AZ207">
            <v>5.6881100347000002E-2</v>
          </cell>
          <cell r="BE207">
            <v>6.2890458832999999E-2</v>
          </cell>
        </row>
        <row r="208">
          <cell r="B208" t="str">
            <v>Sales - % Other Emerging Asia</v>
          </cell>
          <cell r="C208" t="str">
            <v>SALES_OTH_EMERG_ASIA</v>
          </cell>
        </row>
        <row r="209">
          <cell r="B209" t="str">
            <v>Sales - % Australia</v>
          </cell>
          <cell r="C209" t="str">
            <v>SALES_AUSTRA</v>
          </cell>
          <cell r="Q209">
            <v>1.8758660752999999E-2</v>
          </cell>
          <cell r="V209">
            <v>1.8758660752999999E-2</v>
          </cell>
          <cell r="AA209">
            <v>1.8758660752999999E-2</v>
          </cell>
          <cell r="AF209">
            <v>1.8758660752999999E-2</v>
          </cell>
          <cell r="AK209">
            <v>1.8758660752999999E-2</v>
          </cell>
          <cell r="AP209">
            <v>1.8758660752999999E-2</v>
          </cell>
          <cell r="AU209">
            <v>1.8758660752999999E-2</v>
          </cell>
          <cell r="AZ209">
            <v>1.8758660752999999E-2</v>
          </cell>
          <cell r="BE209">
            <v>2.0351819569E-2</v>
          </cell>
        </row>
        <row r="210">
          <cell r="B210" t="str">
            <v>Sales - % New Zealand</v>
          </cell>
          <cell r="C210" t="str">
            <v>SALES_NZ</v>
          </cell>
        </row>
        <row r="211">
          <cell r="B211" t="str">
            <v>Sales - % Others</v>
          </cell>
          <cell r="C211" t="str">
            <v>SALES_OTHER</v>
          </cell>
          <cell r="Q211">
            <v>0.19160459163599999</v>
          </cell>
          <cell r="V211">
            <v>0.19160459163599999</v>
          </cell>
          <cell r="AA211">
            <v>0.19160459163599999</v>
          </cell>
          <cell r="AF211">
            <v>0.19160459163599999</v>
          </cell>
          <cell r="AK211">
            <v>0.19160459163599999</v>
          </cell>
          <cell r="AP211">
            <v>0.19160459163599999</v>
          </cell>
          <cell r="AU211">
            <v>0.19160459163599999</v>
          </cell>
          <cell r="AZ211">
            <v>0.19160459163599999</v>
          </cell>
          <cell r="BE211">
            <v>0.20162314102000001</v>
          </cell>
        </row>
        <row r="212">
          <cell r="B212" t="str">
            <v>% of CoGS from U.S. (GS estimate)</v>
          </cell>
          <cell r="C212" t="str">
            <v>COGS_PCT_US</v>
          </cell>
        </row>
        <row r="213">
          <cell r="B213" t="str">
            <v>% of CoGS from non-U.S. (GS estimate)</v>
          </cell>
          <cell r="C213" t="str">
            <v>COGS_PCT_ROW</v>
          </cell>
        </row>
        <row r="214">
          <cell r="B214" t="str">
            <v>% of SG&amp;A from U.S. (GS estimate)</v>
          </cell>
          <cell r="C214" t="str">
            <v>SGA_PCT_US</v>
          </cell>
        </row>
        <row r="215">
          <cell r="B215" t="str">
            <v>% of SG&amp;A from non-U.S. (GS estimate)</v>
          </cell>
          <cell r="C215" t="str">
            <v>SGA_PCT_ROW</v>
          </cell>
        </row>
        <row r="216">
          <cell r="B216" t="str">
            <v>Sales -% Consumer (C)</v>
          </cell>
          <cell r="C216" t="str">
            <v>SALES_CONS</v>
          </cell>
          <cell r="K216">
            <v>0.99</v>
          </cell>
          <cell r="L216">
            <v>0.99</v>
          </cell>
          <cell r="M216">
            <v>0.99</v>
          </cell>
          <cell r="N216">
            <v>0.99</v>
          </cell>
          <cell r="O216">
            <v>0.99</v>
          </cell>
          <cell r="P216">
            <v>0.99</v>
          </cell>
          <cell r="Q216">
            <v>0.99</v>
          </cell>
          <cell r="R216">
            <v>0.99</v>
          </cell>
          <cell r="S216">
            <v>0.99</v>
          </cell>
          <cell r="T216">
            <v>0.99</v>
          </cell>
          <cell r="U216">
            <v>0.99</v>
          </cell>
          <cell r="V216">
            <v>0.99</v>
          </cell>
          <cell r="W216">
            <v>0.99</v>
          </cell>
          <cell r="X216">
            <v>0.99</v>
          </cell>
          <cell r="Y216">
            <v>0.99</v>
          </cell>
          <cell r="Z216">
            <v>0.99</v>
          </cell>
          <cell r="AA216">
            <v>0.99</v>
          </cell>
          <cell r="AB216">
            <v>0.99</v>
          </cell>
          <cell r="AC216">
            <v>0.99</v>
          </cell>
          <cell r="AD216">
            <v>0.99</v>
          </cell>
          <cell r="AE216">
            <v>0.99</v>
          </cell>
          <cell r="AF216">
            <v>0.99</v>
          </cell>
          <cell r="AG216">
            <v>0.99</v>
          </cell>
          <cell r="AH216">
            <v>0.99</v>
          </cell>
          <cell r="AI216">
            <v>0.99</v>
          </cell>
          <cell r="AJ216">
            <v>0.99</v>
          </cell>
          <cell r="AK216">
            <v>0.99</v>
          </cell>
          <cell r="AL216">
            <v>0.99</v>
          </cell>
          <cell r="AM216">
            <v>0.99</v>
          </cell>
          <cell r="AN216">
            <v>0.99</v>
          </cell>
          <cell r="AO216">
            <v>0.99</v>
          </cell>
          <cell r="AP216">
            <v>0.99</v>
          </cell>
          <cell r="AQ216">
            <v>0.99</v>
          </cell>
          <cell r="AR216">
            <v>0.99</v>
          </cell>
          <cell r="AS216">
            <v>0.99</v>
          </cell>
          <cell r="AT216">
            <v>0.99</v>
          </cell>
          <cell r="AU216">
            <v>0.99</v>
          </cell>
          <cell r="AV216">
            <v>0.99</v>
          </cell>
          <cell r="AW216">
            <v>0.99</v>
          </cell>
          <cell r="AX216">
            <v>0.99</v>
          </cell>
          <cell r="AY216">
            <v>0.99</v>
          </cell>
          <cell r="AZ216">
            <v>0.99</v>
          </cell>
          <cell r="BA216">
            <v>0.99</v>
          </cell>
          <cell r="BB216">
            <v>0.99</v>
          </cell>
          <cell r="BC216">
            <v>0.99</v>
          </cell>
          <cell r="BD216">
            <v>0.99</v>
          </cell>
          <cell r="BE216">
            <v>0.99</v>
          </cell>
          <cell r="BF216">
            <v>0.99</v>
          </cell>
          <cell r="BG216">
            <v>0.99</v>
          </cell>
          <cell r="BH216">
            <v>0.99</v>
          </cell>
          <cell r="BI216">
            <v>0.99</v>
          </cell>
        </row>
        <row r="217">
          <cell r="B217" t="str">
            <v>Sales -% Industry (I)</v>
          </cell>
          <cell r="C217" t="str">
            <v>SALES_IND</v>
          </cell>
          <cell r="K217">
            <v>0.01</v>
          </cell>
          <cell r="L217">
            <v>0.01</v>
          </cell>
          <cell r="M217">
            <v>0.01</v>
          </cell>
          <cell r="N217">
            <v>0.01</v>
          </cell>
          <cell r="O217">
            <v>0.01</v>
          </cell>
          <cell r="P217">
            <v>0.01</v>
          </cell>
          <cell r="Q217">
            <v>0.01</v>
          </cell>
          <cell r="R217">
            <v>0.01</v>
          </cell>
          <cell r="S217">
            <v>0.01</v>
          </cell>
          <cell r="T217">
            <v>0.01</v>
          </cell>
          <cell r="U217">
            <v>0.01</v>
          </cell>
          <cell r="V217">
            <v>0.01</v>
          </cell>
          <cell r="W217">
            <v>0.01</v>
          </cell>
          <cell r="X217">
            <v>0.01</v>
          </cell>
          <cell r="Y217">
            <v>0.01</v>
          </cell>
          <cell r="Z217">
            <v>0.01</v>
          </cell>
          <cell r="AA217">
            <v>0.01</v>
          </cell>
          <cell r="AB217">
            <v>0.01</v>
          </cell>
          <cell r="AC217">
            <v>0.01</v>
          </cell>
          <cell r="AD217">
            <v>0.01</v>
          </cell>
          <cell r="AE217">
            <v>0.01</v>
          </cell>
          <cell r="AF217">
            <v>0.01</v>
          </cell>
          <cell r="AG217">
            <v>0.01</v>
          </cell>
          <cell r="AH217">
            <v>0.01</v>
          </cell>
          <cell r="AI217">
            <v>0.01</v>
          </cell>
          <cell r="AJ217">
            <v>0.01</v>
          </cell>
          <cell r="AK217">
            <v>0.01</v>
          </cell>
          <cell r="AL217">
            <v>0.01</v>
          </cell>
          <cell r="AM217">
            <v>0.01</v>
          </cell>
          <cell r="AN217">
            <v>0.01</v>
          </cell>
          <cell r="AO217">
            <v>0.01</v>
          </cell>
          <cell r="AP217">
            <v>0.01</v>
          </cell>
          <cell r="AQ217">
            <v>0.01</v>
          </cell>
          <cell r="AR217">
            <v>0.01</v>
          </cell>
          <cell r="AS217">
            <v>0.01</v>
          </cell>
          <cell r="AT217">
            <v>0.01</v>
          </cell>
          <cell r="AU217">
            <v>0.01</v>
          </cell>
          <cell r="AV217">
            <v>0.01</v>
          </cell>
          <cell r="AW217">
            <v>0.01</v>
          </cell>
          <cell r="AX217">
            <v>0.01</v>
          </cell>
          <cell r="AY217">
            <v>0.01</v>
          </cell>
          <cell r="AZ217">
            <v>0.01</v>
          </cell>
          <cell r="BA217">
            <v>0.01</v>
          </cell>
          <cell r="BB217">
            <v>0.01</v>
          </cell>
          <cell r="BC217">
            <v>0.01</v>
          </cell>
          <cell r="BD217">
            <v>0.01</v>
          </cell>
          <cell r="BE217">
            <v>0.01</v>
          </cell>
          <cell r="BF217">
            <v>0.01</v>
          </cell>
          <cell r="BG217">
            <v>0.01</v>
          </cell>
          <cell r="BH217">
            <v>0.01</v>
          </cell>
          <cell r="BI217">
            <v>0.01</v>
          </cell>
        </row>
        <row r="218">
          <cell r="B218" t="str">
            <v>Sales -% Government (G)</v>
          </cell>
          <cell r="C218" t="str">
            <v>SALES_GOV</v>
          </cell>
          <cell r="AZ218">
            <v>0</v>
          </cell>
          <cell r="BE218">
            <v>0</v>
          </cell>
        </row>
        <row r="219">
          <cell r="B219" t="str">
            <v>Sales - % Industry Sub-Segment: Financial Services</v>
          </cell>
          <cell r="C219" t="str">
            <v>SALES_FINAN</v>
          </cell>
        </row>
        <row r="220">
          <cell r="B220" t="str">
            <v>Sales - % Industry Sub-Segment: Oil &amp; Gas</v>
          </cell>
          <cell r="C220" t="str">
            <v>SALES_OIL_GAS</v>
          </cell>
        </row>
        <row r="221">
          <cell r="B221" t="str">
            <v>Sales - % from Captive Financing Business</v>
          </cell>
          <cell r="C221" t="str">
            <v>REV_FIN_SEGMENT</v>
          </cell>
        </row>
        <row r="281">
          <cell r="A281" t="str">
            <v>Commodities Exposure - Expense</v>
          </cell>
        </row>
        <row r="282">
          <cell r="B282" t="str">
            <v>Expense - % Oil/Petrol/Fuel</v>
          </cell>
          <cell r="C282" t="str">
            <v>EXP_OIL_PETRO_FUEL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</row>
        <row r="283">
          <cell r="B283" t="str">
            <v>Expense - % Oil derivatives/NGLs/plastics</v>
          </cell>
          <cell r="C283" t="str">
            <v>EXP_OIL_DERIV_NGLS_PLASTICS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</row>
        <row r="284">
          <cell r="B284" t="str">
            <v>Expense - % Aluminium</v>
          </cell>
          <cell r="C284" t="str">
            <v>EXP_ALUMINIUM</v>
          </cell>
        </row>
        <row r="285">
          <cell r="B285" t="str">
            <v>Expense - % Steel</v>
          </cell>
          <cell r="C285" t="str">
            <v>EXP_STEEL</v>
          </cell>
        </row>
        <row r="286">
          <cell r="B286" t="str">
            <v>Expense - % Tin</v>
          </cell>
          <cell r="C286" t="str">
            <v>EXP_TIN</v>
          </cell>
        </row>
        <row r="287">
          <cell r="B287" t="str">
            <v>Expense - % Paper/pulp</v>
          </cell>
          <cell r="C287" t="str">
            <v>EXP_PAPER_PULP</v>
          </cell>
        </row>
        <row r="288">
          <cell r="B288" t="str">
            <v>Expense - % Glass</v>
          </cell>
          <cell r="C288" t="str">
            <v>EXP_GLASS</v>
          </cell>
        </row>
        <row r="289">
          <cell r="B289" t="str">
            <v>Expense - % Nuts</v>
          </cell>
          <cell r="C289" t="str">
            <v>EXP_NUTS</v>
          </cell>
        </row>
        <row r="290">
          <cell r="B290" t="str">
            <v>Expense - % Palm oil</v>
          </cell>
          <cell r="C290" t="str">
            <v>EXP_PALM_OIL</v>
          </cell>
        </row>
        <row r="291">
          <cell r="B291" t="str">
            <v>Expense - % Other edible oil</v>
          </cell>
          <cell r="C291" t="str">
            <v>EXP_OTH_EDIBLE_OIL</v>
          </cell>
        </row>
        <row r="292">
          <cell r="B292" t="str">
            <v>Expense - % Water</v>
          </cell>
          <cell r="C292" t="str">
            <v>EXP_WATER</v>
          </cell>
        </row>
        <row r="293">
          <cell r="B293" t="str">
            <v>Expense - % Other commodity</v>
          </cell>
          <cell r="C293" t="str">
            <v>EXP_OTH_COMMODITY</v>
          </cell>
        </row>
        <row r="294">
          <cell r="B294" t="str">
            <v>Expense - % Other (Non-Commodity) cost</v>
          </cell>
          <cell r="C294" t="str">
            <v>EXP_OTH_COST</v>
          </cell>
        </row>
        <row r="295">
          <cell r="A295" t="str">
            <v>FX Exposure - Sales</v>
          </cell>
        </row>
        <row r="296">
          <cell r="B296" t="str">
            <v>Sales - % FX: British Pounds/Pence</v>
          </cell>
          <cell r="C296" t="str">
            <v>SALES_FX_GPB</v>
          </cell>
          <cell r="AZ296">
            <v>0</v>
          </cell>
          <cell r="BE296">
            <v>0</v>
          </cell>
        </row>
        <row r="297">
          <cell r="B297" t="str">
            <v>Sales - % FX: Euro</v>
          </cell>
          <cell r="C297" t="str">
            <v>SALES_FX_EUR</v>
          </cell>
          <cell r="AZ297">
            <v>4.1551442096999999E-2</v>
          </cell>
          <cell r="BE297">
            <v>4.3372730230000003E-2</v>
          </cell>
        </row>
        <row r="298">
          <cell r="B298" t="str">
            <v>Sales - % FX: New Russian Ruble</v>
          </cell>
          <cell r="C298" t="str">
            <v>SALES_FX_RUB</v>
          </cell>
          <cell r="AZ298">
            <v>0</v>
          </cell>
          <cell r="BE298">
            <v>0</v>
          </cell>
        </row>
        <row r="299">
          <cell r="B299" t="str">
            <v>Sales - % FX: U.S. Dollar</v>
          </cell>
          <cell r="C299" t="str">
            <v>SALES_FX_USD</v>
          </cell>
          <cell r="AZ299">
            <v>2.3397899433E-2</v>
          </cell>
          <cell r="BE299">
            <v>3.6700002502E-2</v>
          </cell>
        </row>
        <row r="300">
          <cell r="B300" t="str">
            <v>Sales - % FX: Brazilian Real</v>
          </cell>
          <cell r="C300" t="str">
            <v>SALES_FX_BRL</v>
          </cell>
          <cell r="AZ300">
            <v>0</v>
          </cell>
          <cell r="BE300">
            <v>0</v>
          </cell>
        </row>
        <row r="301">
          <cell r="B301" t="str">
            <v>Sales - % FX: Japanese Yen</v>
          </cell>
          <cell r="C301" t="str">
            <v>SALES_FX_YEN</v>
          </cell>
          <cell r="AZ301">
            <v>0.47802917072599999</v>
          </cell>
          <cell r="BE301">
            <v>0.42440550166399998</v>
          </cell>
        </row>
        <row r="302">
          <cell r="B302" t="str">
            <v>Sales - % FX: Chinese Renminbi</v>
          </cell>
          <cell r="C302" t="str">
            <v>SALES_FX_CNY</v>
          </cell>
          <cell r="AZ302">
            <v>0.145805220555</v>
          </cell>
          <cell r="BE302">
            <v>0.15493906965500001</v>
          </cell>
        </row>
        <row r="303">
          <cell r="B303" t="str">
            <v>Sales - % FX: Indian Rupee</v>
          </cell>
          <cell r="C303" t="str">
            <v>SALES_FX_INR</v>
          </cell>
          <cell r="AZ303">
            <v>0</v>
          </cell>
          <cell r="BE303">
            <v>0</v>
          </cell>
        </row>
        <row r="304">
          <cell r="B304" t="str">
            <v>Sales - % FX: Indonesian Rupiah</v>
          </cell>
          <cell r="C304" t="str">
            <v>SALES_FX_IDR</v>
          </cell>
          <cell r="AZ304">
            <v>8.5523356549999999E-2</v>
          </cell>
          <cell r="BE304">
            <v>9.9090006755999993E-2</v>
          </cell>
        </row>
        <row r="305">
          <cell r="B305" t="str">
            <v>Sales - % FX: Thai Baht</v>
          </cell>
          <cell r="C305" t="str">
            <v>SALES_FX_THB</v>
          </cell>
          <cell r="AZ305">
            <v>5.6881100347000002E-2</v>
          </cell>
          <cell r="BE305">
            <v>6.2890458832999999E-2</v>
          </cell>
        </row>
        <row r="306">
          <cell r="B306" t="str">
            <v>Sales - % FX: Australian Dollar</v>
          </cell>
          <cell r="C306" t="str">
            <v>SALES_FX_AUD</v>
          </cell>
          <cell r="AZ306">
            <v>1.8758660752999999E-2</v>
          </cell>
          <cell r="BE306">
            <v>2.0351819569E-2</v>
          </cell>
        </row>
        <row r="307">
          <cell r="B307" t="str">
            <v>Sales - % FX: Other Currency</v>
          </cell>
          <cell r="C307" t="str">
            <v>SALES_FX_OTH</v>
          </cell>
          <cell r="AZ307">
            <v>0.15005314953900001</v>
          </cell>
          <cell r="BE307">
            <v>0.15825041078999999</v>
          </cell>
        </row>
        <row r="308">
          <cell r="A308" t="str">
            <v>Items to be removed</v>
          </cell>
        </row>
        <row r="309">
          <cell r="B309" t="str">
            <v>Sales - Total % Americas</v>
          </cell>
          <cell r="C309" t="str">
            <v>SALES_TOT_AM</v>
          </cell>
          <cell r="AZ309">
            <v>2.3397899433E-2</v>
          </cell>
          <cell r="BE309">
            <v>3.6700002502E-2</v>
          </cell>
        </row>
        <row r="310">
          <cell r="B310" t="str">
            <v>Sales - % Other Americas</v>
          </cell>
          <cell r="C310" t="str">
            <v>SALES_OTH_AM</v>
          </cell>
        </row>
        <row r="311">
          <cell r="B311" t="str">
            <v>Sales - Total % EMEA</v>
          </cell>
          <cell r="C311" t="str">
            <v>SALES_TOT_EMEA</v>
          </cell>
          <cell r="AZ311">
            <v>9.5003539940999998E-2</v>
          </cell>
          <cell r="BE311">
            <v>0.103260461586</v>
          </cell>
        </row>
        <row r="312">
          <cell r="B312" t="str">
            <v>Sales - % Western Europe-Ex UK</v>
          </cell>
          <cell r="C312" t="str">
            <v>SALES_EU_EX_UK</v>
          </cell>
        </row>
        <row r="313">
          <cell r="B313" t="str">
            <v>Sales - % Central &amp; Eastern Europe</v>
          </cell>
          <cell r="C313" t="str">
            <v>SALES_CEE</v>
          </cell>
        </row>
        <row r="314">
          <cell r="B314" t="str">
            <v>Sales - % Middle East</v>
          </cell>
          <cell r="C314" t="str">
            <v>SALES_ME</v>
          </cell>
          <cell r="AZ314">
            <v>5.3452097843999999E-2</v>
          </cell>
          <cell r="BE314">
            <v>5.9887731356E-2</v>
          </cell>
        </row>
        <row r="315">
          <cell r="B315" t="str">
            <v>Sales - % Total Africa</v>
          </cell>
          <cell r="C315" t="str">
            <v>SALES_TOT_AFRICA</v>
          </cell>
        </row>
        <row r="316">
          <cell r="B316" t="str">
            <v>Sales - % Other EMEA</v>
          </cell>
          <cell r="C316" t="str">
            <v>SALES_OTH_EMEA</v>
          </cell>
        </row>
        <row r="317">
          <cell r="B317" t="str">
            <v>Sales - Total % Asia (incl Australia &amp; New Zealand)</v>
          </cell>
          <cell r="C317" t="str">
            <v>SALES_TOT_ASIA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0.81147186312499997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0.83882026094999995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0.853643877582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0.89298873865100004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0.93799792090199996</v>
          </cell>
          <cell r="AU317">
            <v>0.96972867944300001</v>
          </cell>
          <cell r="AZ317">
            <v>0.88159856062599995</v>
          </cell>
          <cell r="BE317">
            <v>0.860039535912</v>
          </cell>
        </row>
        <row r="318">
          <cell r="B318" t="str">
            <v>Sales - % Other Asia</v>
          </cell>
          <cell r="C318" t="str">
            <v>SALES_OTH_AEJ</v>
          </cell>
          <cell r="V318">
            <v>0.187637471843</v>
          </cell>
          <cell r="AA318">
            <v>0.21498586966800001</v>
          </cell>
          <cell r="AF318">
            <v>0.2298094863</v>
          </cell>
          <cell r="AK318">
            <v>0.26915434736900001</v>
          </cell>
          <cell r="AP318">
            <v>0.31416352962100003</v>
          </cell>
          <cell r="AU318">
            <v>0.34589428816200002</v>
          </cell>
          <cell r="AZ318">
            <v>9.6601051694999995E-2</v>
          </cell>
          <cell r="BE318">
            <v>9.8362679433999997E-2</v>
          </cell>
        </row>
        <row r="319">
          <cell r="A319" t="str">
            <v>Analyst Defined Items</v>
          </cell>
        </row>
        <row r="320">
          <cell r="B320" t="str">
            <v>Currency contribution to % sales growth</v>
          </cell>
          <cell r="C320" t="str">
            <v>SALES_FX</v>
          </cell>
          <cell r="AZ320">
            <v>0</v>
          </cell>
          <cell r="BE320">
            <v>0</v>
          </cell>
        </row>
        <row r="321">
          <cell r="B321" t="str">
            <v>Inorganic sales contribution to % sales growth</v>
          </cell>
          <cell r="C321" t="str">
            <v>SALES_INORGANIC</v>
          </cell>
          <cell r="AZ321">
            <v>0.158875009274</v>
          </cell>
          <cell r="BE321">
            <v>0.14814549866400001</v>
          </cell>
        </row>
        <row r="322">
          <cell r="B322" t="str">
            <v>Pricing contribution to % sales growth</v>
          </cell>
          <cell r="C322" t="str">
            <v>SALES_PRICE</v>
          </cell>
          <cell r="AZ322">
            <v>0</v>
          </cell>
          <cell r="BE322">
            <v>0</v>
          </cell>
        </row>
        <row r="323">
          <cell r="B323" t="str">
            <v>Volume contribution to % sales growth</v>
          </cell>
          <cell r="C323" t="str">
            <v>SALES_VOLUME</v>
          </cell>
          <cell r="AZ323">
            <v>-1.5887917759999999E-3</v>
          </cell>
          <cell r="BE323">
            <v>6.0991381063999997E-2</v>
          </cell>
        </row>
        <row r="324">
          <cell r="A324" t="str">
            <v>Security: Unicharm</v>
          </cell>
          <cell r="B324" t="str">
            <v>44GY8</v>
          </cell>
        </row>
        <row r="325">
          <cell r="A325" t="str">
            <v>Reference Data</v>
          </cell>
        </row>
        <row r="326">
          <cell r="B326" t="str">
            <v>Ticker</v>
          </cell>
          <cell r="C326" t="str">
            <v>Ticker</v>
          </cell>
          <cell r="E326" t="str">
            <v>8113.T</v>
          </cell>
        </row>
        <row r="327">
          <cell r="B327" t="str">
            <v>Security Name</v>
          </cell>
          <cell r="C327" t="str">
            <v>Security Name</v>
          </cell>
          <cell r="E327" t="str">
            <v>Unicharm</v>
          </cell>
        </row>
        <row r="328">
          <cell r="B328" t="str">
            <v>Interim Type</v>
          </cell>
          <cell r="C328" t="str">
            <v>Interim Type</v>
          </cell>
          <cell r="E328" t="str">
            <v>Q</v>
          </cell>
        </row>
        <row r="329">
          <cell r="B329" t="str">
            <v>Publishing Currency</v>
          </cell>
          <cell r="C329" t="str">
            <v>PUB_CURRENCY_ISO</v>
          </cell>
          <cell r="E329" t="str">
            <v>JPY</v>
          </cell>
        </row>
        <row r="330">
          <cell r="B330" t="str">
            <v>Pricing Currency</v>
          </cell>
          <cell r="C330" t="str">
            <v>PRICE_CURRENCY_ISO</v>
          </cell>
          <cell r="E330" t="str">
            <v>JPY</v>
          </cell>
        </row>
        <row r="331">
          <cell r="B331" t="str">
            <v>Reporting Currency</v>
          </cell>
          <cell r="C331" t="str">
            <v>CURRENCY_ISO</v>
          </cell>
          <cell r="E331" t="str">
            <v>JPY</v>
          </cell>
        </row>
        <row r="332">
          <cell r="A332" t="str">
            <v>General Information</v>
          </cell>
        </row>
        <row r="333">
          <cell r="B333" t="str">
            <v>Japan Investment List</v>
          </cell>
          <cell r="C333" t="str">
            <v>JAPAN_LIST</v>
          </cell>
        </row>
        <row r="334">
          <cell r="B334" t="str">
            <v>Japan Conviction List</v>
          </cell>
          <cell r="C334" t="str">
            <v>JAPAN_CONVICTION</v>
          </cell>
        </row>
        <row r="335">
          <cell r="B335" t="str">
            <v>Legal rating</v>
          </cell>
          <cell r="C335" t="str">
            <v>LEGAL_RATING</v>
          </cell>
        </row>
        <row r="336">
          <cell r="B336" t="str">
            <v>Target price</v>
          </cell>
          <cell r="C336" t="str">
            <v>TARGET_PRICE</v>
          </cell>
          <cell r="D336" t="str">
            <v>JPY</v>
          </cell>
          <cell r="E336">
            <v>2800</v>
          </cell>
        </row>
        <row r="337">
          <cell r="B337" t="str">
            <v>Target price period</v>
          </cell>
          <cell r="C337" t="str">
            <v>TP_PERIOD</v>
          </cell>
          <cell r="E337" t="str">
            <v>12 months</v>
          </cell>
        </row>
        <row r="338">
          <cell r="B338" t="str">
            <v>Current shares outstanding (mn)</v>
          </cell>
          <cell r="C338" t="str">
            <v>NUM_SH</v>
          </cell>
          <cell r="D338" t="str">
            <v>JPY</v>
          </cell>
          <cell r="E338">
            <v>600.79738599999996</v>
          </cell>
        </row>
        <row r="339">
          <cell r="B339" t="str">
            <v>Free float</v>
          </cell>
          <cell r="C339" t="str">
            <v>FREE_FLOAT</v>
          </cell>
          <cell r="D339" t="str">
            <v>JPY</v>
          </cell>
        </row>
        <row r="340">
          <cell r="B340" t="str">
            <v>Catalyst 1 date</v>
          </cell>
          <cell r="C340" t="str">
            <v>CATALYST1_DATE</v>
          </cell>
          <cell r="E340">
            <v>600.79738599999996</v>
          </cell>
        </row>
        <row r="341">
          <cell r="B341" t="str">
            <v>Catalyst 1 description</v>
          </cell>
          <cell r="C341" t="str">
            <v>CATALYST1_EVENT</v>
          </cell>
        </row>
        <row r="342">
          <cell r="B342" t="str">
            <v>Catalyst 2 date</v>
          </cell>
          <cell r="C342" t="str">
            <v>CATALYST2_DATE</v>
          </cell>
        </row>
        <row r="343">
          <cell r="B343" t="str">
            <v>Catalyst 2 description</v>
          </cell>
          <cell r="C343" t="str">
            <v>CATALYST2_EVENT</v>
          </cell>
        </row>
        <row r="344">
          <cell r="B344" t="str">
            <v>Catalyst 3 date</v>
          </cell>
          <cell r="C344" t="str">
            <v>CATALYST3_DATE</v>
          </cell>
        </row>
        <row r="345">
          <cell r="B345" t="str">
            <v>Catalyst 3 description</v>
          </cell>
          <cell r="C345" t="str">
            <v>CATALYST3_EVENT</v>
          </cell>
        </row>
        <row r="346">
          <cell r="B346" t="str">
            <v>Catalyst 4 date</v>
          </cell>
          <cell r="C346" t="str">
            <v>CATALYST4_DATE</v>
          </cell>
        </row>
        <row r="347">
          <cell r="B347" t="str">
            <v>Catalyst 4 description</v>
          </cell>
          <cell r="C347" t="str">
            <v>CATALYST4_EVENT</v>
          </cell>
        </row>
        <row r="348">
          <cell r="B348" t="str">
            <v>Catalyst 5 date</v>
          </cell>
          <cell r="C348" t="str">
            <v>CATALYST5_DATE</v>
          </cell>
        </row>
        <row r="349">
          <cell r="B349" t="str">
            <v>Catalyst 5 description</v>
          </cell>
          <cell r="C349" t="str">
            <v>CATALYST5_EVENT</v>
          </cell>
        </row>
        <row r="350">
          <cell r="B350" t="str">
            <v>Target price multiple</v>
          </cell>
          <cell r="C350" t="str">
            <v>PRI_TARG_MULT</v>
          </cell>
        </row>
        <row r="351">
          <cell r="B351" t="str">
            <v>Target price methodology</v>
          </cell>
          <cell r="C351" t="str">
            <v>PRI_TARG_METH</v>
          </cell>
          <cell r="E351" t="str">
            <v>Director's cut</v>
          </cell>
        </row>
        <row r="352">
          <cell r="B352" t="str">
            <v>Dividend policy</v>
          </cell>
          <cell r="C352" t="str">
            <v>DIV_POLICY</v>
          </cell>
        </row>
        <row r="353">
          <cell r="A353" t="str">
            <v>Publishing Items</v>
          </cell>
          <cell r="B353" t="str">
            <v>Target price methodology</v>
          </cell>
          <cell r="C353" t="str">
            <v>PRI_TARG_METH</v>
          </cell>
          <cell r="E353" t="str">
            <v>Director's cut</v>
          </cell>
        </row>
        <row r="354">
          <cell r="B354" t="str">
            <v>Book value per share, BVPS (Pub)</v>
          </cell>
          <cell r="C354" t="str">
            <v>BVPS_PUB</v>
          </cell>
          <cell r="D354" t="str">
            <v>JPY</v>
          </cell>
          <cell r="K354">
            <v>144.82603502665799</v>
          </cell>
          <cell r="L354">
            <v>147.70080677464301</v>
          </cell>
          <cell r="M354">
            <v>179.06824034755499</v>
          </cell>
          <cell r="N354">
            <v>197.91918094365599</v>
          </cell>
          <cell r="O354">
            <v>221.785882465572</v>
          </cell>
          <cell r="P354">
            <v>243.515854992546</v>
          </cell>
          <cell r="Q354">
            <v>259.595829463158</v>
          </cell>
          <cell r="V354">
            <v>267.78642048620401</v>
          </cell>
          <cell r="AA354">
            <v>270.06883296991202</v>
          </cell>
          <cell r="AF354">
            <v>296.19818745877001</v>
          </cell>
          <cell r="AK354">
            <v>325.729415741271</v>
          </cell>
          <cell r="AP354">
            <v>344.75059359596997</v>
          </cell>
          <cell r="AU354">
            <v>467.83174046794301</v>
          </cell>
          <cell r="AZ354">
            <v>603.11259951465399</v>
          </cell>
          <cell r="BE354">
            <v>676.33503359855297</v>
          </cell>
        </row>
        <row r="355">
          <cell r="A355" t="str">
            <v>Publishing Items</v>
          </cell>
          <cell r="B355" t="str">
            <v>DPS, dividend per share (Pub)</v>
          </cell>
          <cell r="C355" t="str">
            <v>DPS_PUB</v>
          </cell>
          <cell r="D355" t="str">
            <v>JPY</v>
          </cell>
          <cell r="K355">
            <v>8</v>
          </cell>
          <cell r="L355">
            <v>6.666666666667</v>
          </cell>
          <cell r="M355">
            <v>8</v>
          </cell>
          <cell r="N355">
            <v>9.333333333333</v>
          </cell>
          <cell r="O355">
            <v>10</v>
          </cell>
          <cell r="P355">
            <v>10.666666666667</v>
          </cell>
          <cell r="Q355">
            <v>14.666666666667</v>
          </cell>
          <cell r="V355">
            <v>15.333333333333</v>
          </cell>
          <cell r="AA355">
            <v>18</v>
          </cell>
          <cell r="AF355">
            <v>23.333333333333002</v>
          </cell>
          <cell r="AK355">
            <v>28</v>
          </cell>
          <cell r="AP355">
            <v>32</v>
          </cell>
          <cell r="AU355">
            <v>34</v>
          </cell>
          <cell r="AZ355">
            <v>38</v>
          </cell>
          <cell r="BE355">
            <v>25.4</v>
          </cell>
        </row>
        <row r="356">
          <cell r="B356" t="str">
            <v>Special dividend per share</v>
          </cell>
          <cell r="C356" t="str">
            <v>DPS_SPECIAL_PUB</v>
          </cell>
          <cell r="D356" t="str">
            <v>JPY</v>
          </cell>
          <cell r="K356">
            <v>144.82603502665799</v>
          </cell>
          <cell r="L356">
            <v>147.70080677464301</v>
          </cell>
          <cell r="M356">
            <v>179.06824034755499</v>
          </cell>
          <cell r="N356">
            <v>197.91918094365599</v>
          </cell>
          <cell r="O356">
            <v>221.785882465572</v>
          </cell>
          <cell r="P356">
            <v>243.515854992546</v>
          </cell>
          <cell r="Q356">
            <v>259.595829463158</v>
          </cell>
          <cell r="V356">
            <v>267.78642048620401</v>
          </cell>
          <cell r="AA356">
            <v>270.06883296991202</v>
          </cell>
          <cell r="AF356">
            <v>296.19818745877001</v>
          </cell>
          <cell r="AK356">
            <v>325.729415741271</v>
          </cell>
          <cell r="AP356">
            <v>344.75059359596997</v>
          </cell>
          <cell r="AU356">
            <v>467.83174046794301</v>
          </cell>
          <cell r="AZ356">
            <v>603.11259951465399</v>
          </cell>
          <cell r="BE356">
            <v>676.33503359855297</v>
          </cell>
        </row>
        <row r="357">
          <cell r="B357" t="str">
            <v>EBITDA (Pub)</v>
          </cell>
          <cell r="C357" t="str">
            <v>EBITDA_PUB</v>
          </cell>
          <cell r="D357" t="str">
            <v>JPY</v>
          </cell>
          <cell r="K357">
            <v>31467</v>
          </cell>
          <cell r="L357">
            <v>29474</v>
          </cell>
          <cell r="M357">
            <v>36817</v>
          </cell>
          <cell r="N357">
            <v>42342</v>
          </cell>
          <cell r="O357">
            <v>39614</v>
          </cell>
          <cell r="P357">
            <v>41594</v>
          </cell>
          <cell r="Q357">
            <v>43115</v>
          </cell>
          <cell r="V357">
            <v>48772</v>
          </cell>
          <cell r="AA357">
            <v>51985</v>
          </cell>
          <cell r="AF357">
            <v>61459</v>
          </cell>
          <cell r="AK357">
            <v>63942</v>
          </cell>
          <cell r="AP357">
            <v>69057</v>
          </cell>
          <cell r="AU357">
            <v>80541</v>
          </cell>
          <cell r="AZ357">
            <v>98544</v>
          </cell>
          <cell r="BE357">
            <v>85510</v>
          </cell>
        </row>
        <row r="358">
          <cell r="B358" t="str">
            <v>Special dividend per share</v>
          </cell>
          <cell r="C358" t="str">
            <v>DPS_SPECIAL_PUB</v>
          </cell>
          <cell r="D358" t="str">
            <v>JPY</v>
          </cell>
        </row>
      </sheetData>
      <sheetData sheetId="24">
        <row r="1">
          <cell r="A1" t="str">
            <v>f01102b6-8b9c-4dfd-a315-ac8bb83d535e</v>
          </cell>
        </row>
        <row r="2">
          <cell r="A2" t="str">
            <v>M:\consumer\Yamaguchi\Quantum 業績モデル\For earning changes NEW\[8113 Model.xlsx]8113.T_Validation_Sheet</v>
          </cell>
        </row>
        <row r="3">
          <cell r="A3" t="str">
            <v>Enabled</v>
          </cell>
        </row>
        <row r="7">
          <cell r="A7" t="str">
            <v>Scalar|||208001023|||ISSR|||CURRENCY_ISO|||False|||</v>
          </cell>
          <cell r="C7" t="str">
            <v>V_KEYWORD_ISSR_208001023_CURRENCY_ISO</v>
          </cell>
        </row>
        <row r="9">
          <cell r="A9" t="str">
            <v>Scalar|||208001023|||ISSR|||ASS_YEN_PER_USD_FX|||False|||</v>
          </cell>
          <cell r="C9" t="str">
            <v>V_KEYWORD_ISSR_208001023_ASS_YEN_PER_USD_FX</v>
          </cell>
        </row>
        <row r="10">
          <cell r="A10" t="str">
            <v>Scalar|||208001023|||ISSR|||ASS_YEN_PER_EUR_FX|||False|||</v>
          </cell>
          <cell r="C10" t="str">
            <v>V_KEYWORD_ISSR_208001023_ASS_YEN_PER_EUR_FX</v>
          </cell>
        </row>
        <row r="11">
          <cell r="A11" t="str">
            <v>Scalar|||208001023|||ISSR|||MA_PROB|||False|||</v>
          </cell>
          <cell r="C11" t="str">
            <v>V_KEYWORD_ISSR_208001023_MA_PROB</v>
          </cell>
        </row>
        <row r="12">
          <cell r="A12" t="str">
            <v>Scalar|||208001023|||ISSR|||FX_USD_ASSUMPTION|||False|||</v>
          </cell>
          <cell r="C12" t="str">
            <v>V_KEYWORD_ISSR_208001023_FX_USD_ASSUMPTION</v>
          </cell>
        </row>
        <row r="13">
          <cell r="A13" t="str">
            <v>Scalar|||208001023|||ISSR|||FX_EUR_ASSUMPTION|||False|||</v>
          </cell>
          <cell r="C13" t="str">
            <v>V_KEYWORD_ISSR_208001023_FX_EUR_ASSUMPTION</v>
          </cell>
        </row>
        <row r="15">
          <cell r="A15" t="str">
            <v>Vector|||208001023|||ISSR|||COE_YEN_PER_US_AVG_FX_PUB|||False|||</v>
          </cell>
          <cell r="C15" t="str">
            <v>V_KEYWORD_ISSR_208001023_COE_YEN_PER_US_AVG_FX_PUB</v>
          </cell>
        </row>
        <row r="16">
          <cell r="A16" t="str">
            <v>Vector|||208001023|||ISSR|||COE_YEN_PER_EUR_AVG_FX_PUB|||False|||</v>
          </cell>
          <cell r="C16" t="str">
            <v>V_KEYWORD_ISSR_208001023_COE_YEN_PER_EUR_AVG_FX_PUB</v>
          </cell>
        </row>
        <row r="18">
          <cell r="A18" t="str">
            <v>Vector|||208001023|||ISSR|||SALES|||False|||</v>
          </cell>
          <cell r="C18" t="str">
            <v>V_KEYWORD_ISSR_208001023_SALES</v>
          </cell>
        </row>
        <row r="19">
          <cell r="A19" t="str">
            <v>Vector|||208001023|||ISSR|||COST_GD_SD|||False|||</v>
          </cell>
          <cell r="C19" t="str">
            <v>V_KEYWORD_ISSR_208001023_COST_GD_SD</v>
          </cell>
        </row>
        <row r="20">
          <cell r="A20" t="str">
            <v>Vector|||208001023|||ISSR|||SEL_GL_AD|||False|||</v>
          </cell>
          <cell r="C20" t="str">
            <v>V_KEYWORD_ISSR_208001023_SEL_GL_AD</v>
          </cell>
        </row>
        <row r="21">
          <cell r="A21" t="str">
            <v>Vector|||208001023|||ISSR|||OP_COST|||False|||</v>
          </cell>
          <cell r="C21" t="str">
            <v>V_KEYWORD_ISSR_208001023_OP_COST</v>
          </cell>
        </row>
        <row r="22">
          <cell r="A22" t="str">
            <v>Vector|||208001023|||ISSR|||RD_EXP|||False|||</v>
          </cell>
          <cell r="C22" t="str">
            <v>V_KEYWORD_ISSR_208001023_RD_EXP</v>
          </cell>
        </row>
        <row r="23">
          <cell r="A23" t="str">
            <v>Vector|||208001023|||ISSR|||OTH_OP_INC_EXP|||False|||</v>
          </cell>
          <cell r="C23" t="str">
            <v>V_KEYWORD_ISSR_208001023_OTH_OP_INC_EXP</v>
          </cell>
        </row>
        <row r="24">
          <cell r="A24" t="str">
            <v>Vector|||208001023|||ISSR|||TOT_OPS_EXP_DDA|||False|||</v>
          </cell>
          <cell r="C24" t="str">
            <v>V_KEYWORD_ISSR_208001023_TOT_OPS_EXP_DDA</v>
          </cell>
        </row>
        <row r="25">
          <cell r="A25" t="str">
            <v>Vector|||208001023|||ISSR|||TOT_OPS_EXP|||False|||</v>
          </cell>
          <cell r="C25" t="str">
            <v>V_KEYWORD_ISSR_208001023_TOT_OPS_EXP</v>
          </cell>
        </row>
        <row r="26">
          <cell r="A26" t="str">
            <v>Vector|||208001023|||ISSR|||EBITDA_CALC|||False|||</v>
          </cell>
          <cell r="C26" t="str">
            <v>V_KEYWORD_ISSR_208001023_EBITDA_CALC</v>
          </cell>
        </row>
        <row r="27">
          <cell r="A27" t="str">
            <v>Vector|||208001023|||ISSR|||DEPREC|||False|||</v>
          </cell>
          <cell r="C27" t="str">
            <v>V_KEYWORD_ISSR_208001023_DEPREC</v>
          </cell>
        </row>
        <row r="28">
          <cell r="A28" t="str">
            <v>Vector|||208001023|||ISSR|||GOODWILL_AMORT|||False|||</v>
          </cell>
          <cell r="C28" t="str">
            <v>V_KEYWORD_ISSR_208001023_GOODWILL_AMORT</v>
          </cell>
        </row>
        <row r="29">
          <cell r="A29" t="str">
            <v>Vector|||208001023|||ISSR|||EBIT|||False|||</v>
          </cell>
          <cell r="C29" t="str">
            <v>V_KEYWORD_ISSR_208001023_EBIT</v>
          </cell>
        </row>
        <row r="30">
          <cell r="A30" t="str">
            <v>Vector|||208001023|||ISSR|||INT_INC_IND|||False|||</v>
          </cell>
          <cell r="C30" t="str">
            <v>V_KEYWORD_ISSR_208001023_INT_INC_IND</v>
          </cell>
        </row>
        <row r="31">
          <cell r="A31" t="str">
            <v>Vector|||208001023|||ISSR|||INT_EXP_IND|||False|||</v>
          </cell>
          <cell r="C31" t="str">
            <v>V_KEYWORD_ISSR_208001023_INT_EXP_IND</v>
          </cell>
        </row>
        <row r="32">
          <cell r="A32" t="str">
            <v>Vector|||208001023|||ISSR|||NET_INT_EXP|||False|||</v>
          </cell>
          <cell r="C32" t="str">
            <v>V_KEYWORD_ISSR_208001023_NET_INT_EXP</v>
          </cell>
        </row>
        <row r="33">
          <cell r="A33" t="str">
            <v>Vector|||208001023|||ISSR|||ASSOCIATE|||False|||</v>
          </cell>
          <cell r="C33" t="str">
            <v>V_KEYWORD_ISSR_208001023_ASSOCIATE</v>
          </cell>
        </row>
        <row r="34">
          <cell r="A34" t="str">
            <v>Vector|||208001023|||ISSR|||PROFIT_ON_DISP|||False|||</v>
          </cell>
          <cell r="C34" t="str">
            <v>V_KEYWORD_ISSR_208001023_PROFIT_ON_DISP</v>
          </cell>
        </row>
        <row r="35">
          <cell r="A35" t="str">
            <v>Vector|||208001023|||ISSR|||OTH_COST_INC|||False|||</v>
          </cell>
          <cell r="C35" t="str">
            <v>V_KEYWORD_ISSR_208001023_OTH_COST_INC</v>
          </cell>
        </row>
        <row r="36">
          <cell r="A36" t="str">
            <v>Vector|||208001023|||ISSR|||PT_PROF|||False|||</v>
          </cell>
          <cell r="C36" t="str">
            <v>V_KEYWORD_ISSR_208001023_PT_PROF</v>
          </cell>
        </row>
        <row r="38">
          <cell r="A38" t="str">
            <v>Vector|||208001023|||ISSR|||CONTRIB_MARGIN_RATIO|||False|||</v>
          </cell>
          <cell r="C38" t="str">
            <v>V_KEYWORD_ISSR_208001023_CONTRIB_MARGIN_RATIO</v>
          </cell>
        </row>
        <row r="39">
          <cell r="A39" t="str">
            <v>Vector|||208001023|||ISSR|||ORG_REV_GRTH|||False|||</v>
          </cell>
          <cell r="C39" t="str">
            <v>V_KEYWORD_ISSR_208001023_ORG_REV_GRTH</v>
          </cell>
        </row>
        <row r="40">
          <cell r="A40" t="str">
            <v>Vector|||208001023|||ISSR|||LEASE_PAY|||False|||</v>
          </cell>
          <cell r="C40" t="str">
            <v>V_KEYWORD_ISSR_208001023_LEASE_PAY</v>
          </cell>
        </row>
        <row r="41">
          <cell r="A41" t="str">
            <v>Vector|||208001023|||ISSR|||LEASE_DEEM_INT|||False|||</v>
          </cell>
          <cell r="C41" t="str">
            <v>V_KEYWORD_ISSR_208001023_LEASE_DEEM_INT</v>
          </cell>
        </row>
        <row r="42">
          <cell r="A42" t="str">
            <v>Vector|||208001023|||ISSR|||LEASE_DEEM_DEPR|||False|||</v>
          </cell>
          <cell r="C42" t="str">
            <v>V_KEYWORD_ISSR_208001023_LEASE_DEEM_DEPR</v>
          </cell>
        </row>
        <row r="43">
          <cell r="A43" t="str">
            <v>Vector|||208001023|||ISSR|||NET_INT_CH|||False|||</v>
          </cell>
          <cell r="C43" t="str">
            <v>V_KEYWORD_ISSR_208001023_NET_INT_CH</v>
          </cell>
        </row>
        <row r="44">
          <cell r="A44" t="str">
            <v>Vector|||208001023|||ISSR|||ASSOCIATE_OP|||False|||</v>
          </cell>
          <cell r="C44" t="str">
            <v>V_KEYWORD_ISSR_208001023_ASSOCIATE_OP</v>
          </cell>
        </row>
        <row r="45">
          <cell r="A45" t="str">
            <v>Vector|||208001023|||ISSR|||SGA_JPN|||False|||</v>
          </cell>
          <cell r="C45" t="str">
            <v>V_KEYWORD_ISSR_208001023_SGA_JPN</v>
          </cell>
        </row>
        <row r="46">
          <cell r="A46" t="str">
            <v>Vector|||208001023|||ISSR|||GP_JPN|||False|||</v>
          </cell>
          <cell r="C46" t="str">
            <v>V_KEYWORD_ISSR_208001023_GP_JPN</v>
          </cell>
        </row>
        <row r="47">
          <cell r="A47" t="str">
            <v>Vector|||208001023|||ISSR|||EBITDA_ADJ|||False|||</v>
          </cell>
          <cell r="C47" t="str">
            <v>V_KEYWORD_ISSR_208001023_EBITDA_ADJ</v>
          </cell>
        </row>
        <row r="48">
          <cell r="A48" t="str">
            <v>Vector|||208001023|||ISSR|||EBITDA_JPN|||False|||</v>
          </cell>
          <cell r="C48" t="str">
            <v>V_KEYWORD_ISSR_208001023_EBITDA_JPN</v>
          </cell>
        </row>
        <row r="49">
          <cell r="A49" t="str">
            <v>Vector|||208001023|||ISSR|||ASSOCIATE_JPN|||False|||</v>
          </cell>
          <cell r="C49" t="str">
            <v>V_KEYWORD_ISSR_208001023_ASSOCIATE_JPN</v>
          </cell>
        </row>
        <row r="50">
          <cell r="A50" t="str">
            <v>Vector|||208001023|||ISSR|||ASSOCIATE_SEC_JPN|||False|||</v>
          </cell>
          <cell r="C50" t="str">
            <v>V_KEYWORD_ISSR_208001023_ASSOCIATE_SEC_JPN</v>
          </cell>
        </row>
        <row r="51">
          <cell r="A51" t="str">
            <v>Vector|||208001023|||ISSR|||OTH_NOP_INC_EXP_JPN|||False|||</v>
          </cell>
          <cell r="C51" t="str">
            <v>V_KEYWORD_ISSR_208001023_OTH_NOP_INC_EXP_JPN</v>
          </cell>
        </row>
        <row r="52">
          <cell r="A52" t="str">
            <v>Vector|||208001023|||ISSR|||EXTRA_INC_JPN|||False|||</v>
          </cell>
          <cell r="C52" t="str">
            <v>V_KEYWORD_ISSR_208001023_EXTRA_INC_JPN</v>
          </cell>
        </row>
        <row r="53">
          <cell r="A53" t="str">
            <v>Vector|||208001023|||ISSR|||EXTRA_EXP_JPN|||False|||</v>
          </cell>
          <cell r="C53" t="str">
            <v>V_KEYWORD_ISSR_208001023_EXTRA_EXP_JPN</v>
          </cell>
        </row>
        <row r="54">
          <cell r="A54" t="str">
            <v>Vector|||208001023|||ISSR|||PTP_JPN|||False|||</v>
          </cell>
          <cell r="C54" t="str">
            <v>V_KEYWORD_ISSR_208001023_PTP_JPN</v>
          </cell>
        </row>
        <row r="55">
          <cell r="A55" t="str">
            <v>Vector|||208001023|||ISSR|||FX_USD_NI_SENSITIVITY|||False|||</v>
          </cell>
          <cell r="C55" t="str">
            <v>V_KEYWORD_ISSR_208001023_FX_USD_NI_SENSITIVITY</v>
          </cell>
        </row>
        <row r="56">
          <cell r="A56" t="str">
            <v>Vector|||208001023|||ISSR|||FX_EUR_NI_SENSITIVITY|||False|||</v>
          </cell>
          <cell r="C56" t="str">
            <v>V_KEYWORD_ISSR_208001023_FX_EUR_NI_SENSITIVITY</v>
          </cell>
        </row>
        <row r="58">
          <cell r="A58" t="str">
            <v>Vector|||208001023|||ISSR|||CASH_EQ|||False|||</v>
          </cell>
          <cell r="C58" t="str">
            <v>V_KEYWORD_ISSR_208001023_CASH_EQ</v>
          </cell>
        </row>
        <row r="59">
          <cell r="A59" t="str">
            <v>Vector|||208001023|||ISSR|||DEBTORS|||False|||</v>
          </cell>
          <cell r="C59" t="str">
            <v>V_KEYWORD_ISSR_208001023_DEBTORS</v>
          </cell>
        </row>
        <row r="60">
          <cell r="A60" t="str">
            <v>Vector|||208001023|||ISSR|||STOCKS|||False|||</v>
          </cell>
          <cell r="C60" t="str">
            <v>V_KEYWORD_ISSR_208001023_STOCKS</v>
          </cell>
        </row>
        <row r="61">
          <cell r="A61" t="str">
            <v>Vector|||208001023|||ISSR|||OTH_CUR_ASS|||False|||</v>
          </cell>
          <cell r="C61" t="str">
            <v>V_KEYWORD_ISSR_208001023_OTH_CUR_ASS</v>
          </cell>
        </row>
        <row r="62">
          <cell r="A62" t="str">
            <v>Vector|||208001023|||ISSR|||CUR_ASS|||False|||</v>
          </cell>
          <cell r="C62" t="str">
            <v>V_KEYWORD_ISSR_208001023_CUR_ASS</v>
          </cell>
        </row>
        <row r="63">
          <cell r="A63" t="str">
            <v>Vector|||208001023|||ISSR|||GR_FIX_ASS|||False|||</v>
          </cell>
          <cell r="C63" t="str">
            <v>V_KEYWORD_ISSR_208001023_GR_FIX_ASS</v>
          </cell>
        </row>
        <row r="64">
          <cell r="A64" t="str">
            <v>Vector|||208001023|||ISSR|||ACC_DDA|||False|||</v>
          </cell>
          <cell r="C64" t="str">
            <v>V_KEYWORD_ISSR_208001023_ACC_DDA</v>
          </cell>
        </row>
        <row r="65">
          <cell r="A65" t="str">
            <v>Vector|||208001023|||ISSR|||NET_FIX_ASS|||False|||</v>
          </cell>
          <cell r="C65" t="str">
            <v>V_KEYWORD_ISSR_208001023_NET_FIX_ASS</v>
          </cell>
        </row>
        <row r="66">
          <cell r="A66" t="str">
            <v>Vector|||208001023|||ISSR|||GR_INTANG|||False|||</v>
          </cell>
          <cell r="C66" t="str">
            <v>V_KEYWORD_ISSR_208001023_GR_INTANG</v>
          </cell>
        </row>
        <row r="67">
          <cell r="A67" t="str">
            <v>Vector|||208001023|||ISSR|||ACC_AMORT|||False|||</v>
          </cell>
          <cell r="C67" t="str">
            <v>V_KEYWORD_ISSR_208001023_ACC_AMORT</v>
          </cell>
        </row>
        <row r="68">
          <cell r="A68" t="str">
            <v>Vector|||208001023|||ISSR|||NET_INTANG|||False|||</v>
          </cell>
          <cell r="C68" t="str">
            <v>V_KEYWORD_ISSR_208001023_NET_INTANG</v>
          </cell>
        </row>
        <row r="69">
          <cell r="A69" t="str">
            <v>Vector|||208001023|||ISSR|||FIX_ASS_INV|||False|||</v>
          </cell>
          <cell r="C69" t="str">
            <v>V_KEYWORD_ISSR_208001023_FIX_ASS_INV</v>
          </cell>
        </row>
        <row r="70">
          <cell r="A70" t="str">
            <v>Vector|||208001023|||ISSR|||INV_SECUR|||False|||</v>
          </cell>
          <cell r="C70" t="str">
            <v>V_KEYWORD_ISSR_208001023_INV_SECUR</v>
          </cell>
        </row>
        <row r="71">
          <cell r="A71" t="str">
            <v>Vector|||208001023|||ISSR|||OTH_LT_ASS|||False|||</v>
          </cell>
          <cell r="C71" t="str">
            <v>V_KEYWORD_ISSR_208001023_OTH_LT_ASS</v>
          </cell>
        </row>
        <row r="72">
          <cell r="A72" t="str">
            <v>Vector|||208001023|||ISSR|||TOT_ASSET|||False|||</v>
          </cell>
          <cell r="C72" t="str">
            <v>V_KEYWORD_ISSR_208001023_TOT_ASSET</v>
          </cell>
        </row>
        <row r="73">
          <cell r="A73" t="str">
            <v>Vector|||208001023|||ISSR|||ACC_PAY_GQ|||False|||</v>
          </cell>
          <cell r="C73" t="str">
            <v>V_KEYWORD_ISSR_208001023_ACC_PAY_GQ</v>
          </cell>
        </row>
        <row r="74">
          <cell r="A74" t="str">
            <v>Vector|||208001023|||ISSR|||SHORT_T_DEBT|||False|||</v>
          </cell>
          <cell r="C74" t="str">
            <v>V_KEYWORD_ISSR_208001023_SHORT_T_DEBT</v>
          </cell>
        </row>
        <row r="75">
          <cell r="A75" t="str">
            <v>Vector|||208001023|||ISSR|||OTH_CUR_LIABS|||False|||</v>
          </cell>
          <cell r="C75" t="str">
            <v>V_KEYWORD_ISSR_208001023_OTH_CUR_LIABS</v>
          </cell>
        </row>
        <row r="76">
          <cell r="A76" t="str">
            <v>Vector|||208001023|||ISSR|||SHORT_TERM_LIABS|||False|||</v>
          </cell>
          <cell r="C76" t="str">
            <v>V_KEYWORD_ISSR_208001023_SHORT_TERM_LIABS</v>
          </cell>
        </row>
        <row r="77">
          <cell r="A77" t="str">
            <v>Vector|||208001023|||ISSR|||LT_DEBT|||False|||</v>
          </cell>
          <cell r="C77" t="str">
            <v>V_KEYWORD_ISSR_208001023_LT_DEBT</v>
          </cell>
        </row>
        <row r="78">
          <cell r="A78" t="str">
            <v>Vector|||208001023|||ISSR|||OTH_LT_CRED_GQ|||False|||</v>
          </cell>
          <cell r="C78" t="str">
            <v>V_KEYWORD_ISSR_208001023_OTH_LT_CRED_GQ</v>
          </cell>
        </row>
        <row r="79">
          <cell r="A79" t="str">
            <v>Vector|||208001023|||ISSR|||TOT_LT_LIAB|||False|||</v>
          </cell>
          <cell r="C79" t="str">
            <v>V_KEYWORD_ISSR_208001023_TOT_LT_LIAB</v>
          </cell>
        </row>
        <row r="80">
          <cell r="A80" t="str">
            <v>Vector|||208001023|||ISSR|||TOT_LIAB|||False|||</v>
          </cell>
          <cell r="C80" t="str">
            <v>V_KEYWORD_ISSR_208001023_TOT_LIAB</v>
          </cell>
        </row>
        <row r="81">
          <cell r="A81" t="str">
            <v>Vector|||208001023|||ISSR|||PREF_SH|||False|||</v>
          </cell>
          <cell r="C81" t="str">
            <v>V_KEYWORD_ISSR_208001023_PREF_SH</v>
          </cell>
        </row>
        <row r="82">
          <cell r="A82" t="str">
            <v>Vector|||208001023|||ISSR|||ORD_SH_FUND|||False|||</v>
          </cell>
          <cell r="C82" t="str">
            <v>V_KEYWORD_ISSR_208001023_ORD_SH_FUND</v>
          </cell>
        </row>
        <row r="83">
          <cell r="A83" t="str">
            <v>Vector|||208001023|||ISSR|||MINORITIES|||False|||</v>
          </cell>
          <cell r="C83" t="str">
            <v>V_KEYWORD_ISSR_208001023_MINORITIES</v>
          </cell>
        </row>
        <row r="84">
          <cell r="A84" t="str">
            <v>Vector|||208001023|||ISSR|||EQ|||False|||</v>
          </cell>
          <cell r="C84" t="str">
            <v>V_KEYWORD_ISSR_208001023_EQ</v>
          </cell>
        </row>
        <row r="85">
          <cell r="A85" t="str">
            <v>Vector|||208001023|||ISSR|||TOT_LIAB_EQ|||False|||</v>
          </cell>
          <cell r="C85" t="str">
            <v>V_KEYWORD_ISSR_208001023_TOT_LIAB_EQ</v>
          </cell>
        </row>
        <row r="87">
          <cell r="A87" t="str">
            <v>Vector|||208001023|||ISSR|||TOT_USD_DEBT|||False|||</v>
          </cell>
          <cell r="C87" t="str">
            <v>V_KEYWORD_ISSR_208001023_TOT_USD_DEBT</v>
          </cell>
        </row>
        <row r="88">
          <cell r="A88" t="str">
            <v>Vector|||208001023|||ISSR|||TOT_PCT_USD_DEBT_HEDGED|||False|||</v>
          </cell>
          <cell r="C88" t="str">
            <v>V_KEYWORD_ISSR_208001023_TOT_PCT_USD_DEBT_HEDGED</v>
          </cell>
        </row>
        <row r="89">
          <cell r="A89" t="str">
            <v>Vector|||208001023|||ISSR|||FLOATING_PCT_LOCAL_DEBT|||False|||</v>
          </cell>
          <cell r="C89" t="str">
            <v>V_KEYWORD_ISSR_208001023_FLOATING_PCT_LOCAL_DEBT</v>
          </cell>
        </row>
        <row r="90">
          <cell r="A90" t="str">
            <v>Vector|||208001023|||ISSR|||FLOATING_PCT_LOCAL_DEBT_HEDGED|||False|||</v>
          </cell>
          <cell r="C90" t="str">
            <v>V_KEYWORD_ISSR_208001023_FLOATING_PCT_LOCAL_DEBT_HEDGED</v>
          </cell>
        </row>
        <row r="91">
          <cell r="A91" t="str">
            <v>Vector|||208001023|||ISSR|||NET_DEBT|||False|||</v>
          </cell>
          <cell r="C91" t="str">
            <v>V_KEYWORD_ISSR_208001023_NET_DEBT</v>
          </cell>
        </row>
        <row r="92">
          <cell r="A92" t="str">
            <v>Vector|||208001023|||ISSR|||CAP_LEASES|||False|||</v>
          </cell>
          <cell r="C92" t="str">
            <v>V_KEYWORD_ISSR_208001023_CAP_LEASES</v>
          </cell>
        </row>
        <row r="93">
          <cell r="A93" t="str">
            <v>Vector|||208001023|||ISSR|||DEF_INC_TAX|||False|||</v>
          </cell>
          <cell r="C93" t="str">
            <v>V_KEYWORD_ISSR_208001023_DEF_INC_TAX</v>
          </cell>
        </row>
        <row r="94">
          <cell r="A94" t="str">
            <v>Vector|||208001023|||ISSR|||MV_ASSOCIATES|||False|||</v>
          </cell>
          <cell r="C94" t="str">
            <v>V_KEYWORD_ISSR_208001023_MV_ASSOCIATES</v>
          </cell>
        </row>
        <row r="95">
          <cell r="A95" t="str">
            <v>Vector|||208001023|||ISSR|||NET_DEBT_ADJ|||False|||</v>
          </cell>
          <cell r="C95" t="str">
            <v>V_KEYWORD_ISSR_208001023_NET_DEBT_ADJ</v>
          </cell>
        </row>
        <row r="96">
          <cell r="A96" t="str">
            <v>Vector|||208001023|||ISSR|||CO_BOR_MARGIN|||False|||</v>
          </cell>
          <cell r="C96" t="str">
            <v>V_KEYWORD_ISSR_208001023_CO_BOR_MARGIN</v>
          </cell>
        </row>
        <row r="97">
          <cell r="A97" t="str">
            <v>Vector|||208001023|||ISSR|||UNF_PENS|||False|||</v>
          </cell>
          <cell r="C97" t="str">
            <v>V_KEYWORD_ISSR_208001023_UNF_PENS</v>
          </cell>
        </row>
        <row r="98">
          <cell r="A98" t="str">
            <v>Vector|||208001023|||ISSR|||UNF_PENS_OFF|||False|||</v>
          </cell>
          <cell r="C98" t="str">
            <v>V_KEYWORD_ISSR_208001023_UNF_PENS_OFF</v>
          </cell>
        </row>
        <row r="99">
          <cell r="A99" t="str">
            <v>Vector|||208001023|||ISSR|||UNF_PENS_LIAB_OTH|||False|||</v>
          </cell>
          <cell r="C99" t="str">
            <v>V_KEYWORD_ISSR_208001023_UNF_PENS_LIAB_OTH</v>
          </cell>
        </row>
        <row r="100">
          <cell r="A100" t="str">
            <v>Vector|||208001023|||ISSR|||ADJ_UNF_PENS_GOOD|||False|||</v>
          </cell>
          <cell r="C100" t="str">
            <v>V_KEYWORD_ISSR_208001023_ADJ_UNF_PENS_GOOD</v>
          </cell>
        </row>
        <row r="101">
          <cell r="A101" t="str">
            <v>Vector|||208001023|||ISSR|||OTH_GCI_ADJ|||False|||</v>
          </cell>
          <cell r="C101" t="str">
            <v>V_KEYWORD_ISSR_208001023_OTH_GCI_ADJ</v>
          </cell>
        </row>
        <row r="102">
          <cell r="A102" t="str">
            <v>Vector|||208001023|||ISSR|||GCI_INFL|||False|||</v>
          </cell>
          <cell r="C102" t="str">
            <v>V_KEYWORD_ISSR_208001023_GCI_INFL</v>
          </cell>
        </row>
        <row r="103">
          <cell r="A103" t="str">
            <v>Vector|||208001023|||ISSR|||BAL_MINO_INT|||False|||</v>
          </cell>
          <cell r="C103" t="str">
            <v>V_KEYWORD_ISSR_208001023_BAL_MINO_INT</v>
          </cell>
        </row>
        <row r="104">
          <cell r="A104" t="str">
            <v>Vector|||208001023|||ISSR|||CASH_EQ_JPN|||False|||</v>
          </cell>
          <cell r="C104" t="str">
            <v>V_KEYWORD_ISSR_208001023_CASH_EQ_JPN</v>
          </cell>
        </row>
        <row r="105">
          <cell r="A105" t="str">
            <v>Vector|||208001023|||ISSR|||OTH_CUR_ASS_JPN|||False|||</v>
          </cell>
          <cell r="C105" t="str">
            <v>V_KEYWORD_ISSR_208001023_OTH_CUR_ASS_JPN</v>
          </cell>
        </row>
        <row r="107">
          <cell r="A107" t="str">
            <v>Vector|||208001023|||ISSR|||CF_INC_MINORITY|||False|||</v>
          </cell>
          <cell r="C107" t="str">
            <v>V_KEYWORD_ISSR_208001023_CF_INC_MINORITY</v>
          </cell>
        </row>
        <row r="108">
          <cell r="A108" t="str">
            <v>Vector|||208001023|||ISSR|||DEPR_AMORT|||False|||</v>
          </cell>
          <cell r="C108" t="str">
            <v>V_KEYWORD_ISSR_208001023_DEPR_AMORT</v>
          </cell>
        </row>
        <row r="109">
          <cell r="A109" t="str">
            <v>Vector|||208001023|||ISSR|||WORK_CAP|||False|||</v>
          </cell>
          <cell r="C109" t="str">
            <v>V_KEYWORD_ISSR_208001023_WORK_CAP</v>
          </cell>
        </row>
        <row r="110">
          <cell r="A110" t="str">
            <v>Vector|||208001023|||ISSR|||OTH_OP_CF|||False|||</v>
          </cell>
          <cell r="C110" t="str">
            <v>V_KEYWORD_ISSR_208001023_OTH_OP_CF</v>
          </cell>
        </row>
        <row r="111">
          <cell r="A111" t="str">
            <v>Vector|||208001023|||ISSR|||CF_OPS|||False|||</v>
          </cell>
          <cell r="C111" t="str">
            <v>V_KEYWORD_ISSR_208001023_CF_OPS</v>
          </cell>
        </row>
        <row r="112">
          <cell r="A112" t="str">
            <v>Vector|||208001023|||ISSR|||CAPEX|||False|||</v>
          </cell>
          <cell r="C112" t="str">
            <v>V_KEYWORD_ISSR_208001023_CAPEX</v>
          </cell>
        </row>
        <row r="113">
          <cell r="A113" t="str">
            <v>Vector|||208001023|||ISSR|||ACQ|||False|||</v>
          </cell>
          <cell r="C113" t="str">
            <v>V_KEYWORD_ISSR_208001023_ACQ</v>
          </cell>
        </row>
        <row r="114">
          <cell r="A114" t="str">
            <v>Vector|||208001023|||ISSR|||DIVEST|||False|||</v>
          </cell>
          <cell r="C114" t="str">
            <v>V_KEYWORD_ISSR_208001023_DIVEST</v>
          </cell>
        </row>
        <row r="115">
          <cell r="A115" t="str">
            <v>Vector|||208001023|||ISSR|||OTH_INV_CF|||False|||</v>
          </cell>
          <cell r="C115" t="str">
            <v>V_KEYWORD_ISSR_208001023_OTH_INV_CF</v>
          </cell>
        </row>
        <row r="116">
          <cell r="A116" t="str">
            <v>Vector|||208001023|||ISSR|||CF_INV|||False|||</v>
          </cell>
          <cell r="C116" t="str">
            <v>V_KEYWORD_ISSR_208001023_CF_INV</v>
          </cell>
        </row>
        <row r="117">
          <cell r="A117" t="str">
            <v>Vector|||208001023|||ISSR|||DIV_PAID|||False|||</v>
          </cell>
          <cell r="C117" t="str">
            <v>V_KEYWORD_ISSR_208001023_DIV_PAID</v>
          </cell>
        </row>
        <row r="118">
          <cell r="A118" t="str">
            <v>Vector|||208001023|||ISSR|||SH_REPUR|||False|||</v>
          </cell>
          <cell r="C118" t="str">
            <v>V_KEYWORD_ISSR_208001023_SH_REPUR</v>
          </cell>
        </row>
        <row r="119">
          <cell r="A119" t="str">
            <v>Vector|||208001023|||ISSR|||CHG_LT_DEBT|||False|||</v>
          </cell>
          <cell r="C119" t="str">
            <v>V_KEYWORD_ISSR_208001023_CHG_LT_DEBT</v>
          </cell>
        </row>
        <row r="120">
          <cell r="A120" t="str">
            <v>Vector|||208001023|||ISSR|||OTH_FIN_CF|||False|||</v>
          </cell>
          <cell r="C120" t="str">
            <v>V_KEYWORD_ISSR_208001023_OTH_FIN_CF</v>
          </cell>
        </row>
        <row r="121">
          <cell r="A121" t="str">
            <v>Vector|||208001023|||ISSR|||CF_FIN|||False|||</v>
          </cell>
          <cell r="C121" t="str">
            <v>V_KEYWORD_ISSR_208001023_CF_FIN</v>
          </cell>
        </row>
        <row r="122">
          <cell r="A122" t="str">
            <v>Vector|||208001023|||ISSR|||TOT_CF|||False|||</v>
          </cell>
          <cell r="C122" t="str">
            <v>V_KEYWORD_ISSR_208001023_TOT_CF</v>
          </cell>
        </row>
        <row r="124">
          <cell r="A124" t="str">
            <v>Vector|||208001023|||ISSR|||ASSOC_JV_ADDBK|||False|||</v>
          </cell>
          <cell r="C124" t="str">
            <v>V_KEYWORD_ISSR_208001023_ASSOC_JV_ADDBK</v>
          </cell>
        </row>
        <row r="125">
          <cell r="A125" t="str">
            <v>Vector|||208001023|||ISSR|||PL_SALE_ASSETS|||False|||</v>
          </cell>
          <cell r="C125" t="str">
            <v>V_KEYWORD_ISSR_208001023_PL_SALE_ASSETS</v>
          </cell>
        </row>
        <row r="126">
          <cell r="A126" t="str">
            <v>Vector|||208001023|||ISSR|||OTH_NONCASH_ADJ|||False|||</v>
          </cell>
          <cell r="C126" t="str">
            <v>V_KEYWORD_ISSR_208001023_OTH_NONCASH_ADJ</v>
          </cell>
        </row>
        <row r="127">
          <cell r="A127" t="str">
            <v>Vector|||208001023|||ISSR|||OTH_DACF_ADJ|||False|||</v>
          </cell>
          <cell r="C127" t="str">
            <v>V_KEYWORD_ISSR_208001023_OTH_DACF_ADJ</v>
          </cell>
        </row>
        <row r="128">
          <cell r="A128" t="str">
            <v>Vector|||208001023|||ISSR|||CASH_INT_EXP|||False|||</v>
          </cell>
          <cell r="C128" t="str">
            <v>V_KEYWORD_ISSR_208001023_CASH_INT_EXP</v>
          </cell>
        </row>
        <row r="129">
          <cell r="A129" t="str">
            <v>Vector|||208001023|||ISSR|||CASH_TAX_EXP|||False|||</v>
          </cell>
          <cell r="C129" t="str">
            <v>V_KEYWORD_ISSR_208001023_CASH_TAX_EXP</v>
          </cell>
        </row>
        <row r="130">
          <cell r="A130" t="str">
            <v>Vector|||208001023|||ISSR|||DIVDS_ASSOC_JV|||False|||</v>
          </cell>
          <cell r="C130" t="str">
            <v>V_KEYWORD_ISSR_208001023_DIVDS_ASSOC_JV</v>
          </cell>
        </row>
        <row r="131">
          <cell r="A131" t="str">
            <v>Vector|||208001023|||ISSR|||CAPEX_MAINTENANCE|||False|||</v>
          </cell>
          <cell r="C131" t="str">
            <v>V_KEYWORD_ISSR_208001023_CAPEX_MAINTENANCE</v>
          </cell>
        </row>
        <row r="132">
          <cell r="A132" t="str">
            <v>Vector|||208001023|||ISSR|||CAPEX_EXPANSION|||False|||</v>
          </cell>
          <cell r="C132" t="str">
            <v>V_KEYWORD_ISSR_208001023_CAPEX_EXPANSION</v>
          </cell>
        </row>
        <row r="133">
          <cell r="A133" t="str">
            <v>Vector|||208001023|||ISSR|||NONPPE_CAPEX|||False|||</v>
          </cell>
          <cell r="C133" t="str">
            <v>V_KEYWORD_ISSR_208001023_NONPPE_CAPEX</v>
          </cell>
        </row>
        <row r="134">
          <cell r="A134" t="str">
            <v>Vector|||208001023|||ISSR|||DIVDS_PD_MINORITIES|||False|||</v>
          </cell>
          <cell r="C134" t="str">
            <v>V_KEYWORD_ISSR_208001023_DIVDS_PD_MINORITIES</v>
          </cell>
        </row>
        <row r="135">
          <cell r="A135" t="str">
            <v>Vector|||208001023|||ISSR|||CAPEX_EX_LEASES|||False|||</v>
          </cell>
          <cell r="C135" t="str">
            <v>V_KEYWORD_ISSR_208001023_CAPEX_EX_LEASES</v>
          </cell>
        </row>
        <row r="137">
          <cell r="A137" t="str">
            <v>Vector|||208001023|||ISSR|||EMPLOYEES|||False|||</v>
          </cell>
          <cell r="C137" t="str">
            <v>V_KEYWORD_ISSR_208001023_EMPLOYEES</v>
          </cell>
        </row>
        <row r="138">
          <cell r="A138" t="str">
            <v>Vector|||208001023|||ISSR|||MEDIA_ADVERTISING|||False|||</v>
          </cell>
          <cell r="C138" t="str">
            <v>V_KEYWORD_ISSR_208001023_MEDIA_ADVERTISING</v>
          </cell>
        </row>
        <row r="140">
          <cell r="A140" t="str">
            <v>Vector|||208001023|||ISSR|||COGS_DAIRY|||False|||</v>
          </cell>
          <cell r="C140" t="str">
            <v>V_KEYWORD_ISSR_208001023_COGS_DAIRY</v>
          </cell>
        </row>
        <row r="141">
          <cell r="A141" t="str">
            <v>Vector|||208001023|||ISSR|||COGS_NUTS|||False|||</v>
          </cell>
          <cell r="C141" t="str">
            <v>V_KEYWORD_ISSR_208001023_COGS_NUTS</v>
          </cell>
        </row>
        <row r="142">
          <cell r="A142" t="str">
            <v>Vector|||208001023|||ISSR|||COGS_PALM_OIL|||False|||</v>
          </cell>
          <cell r="C142" t="str">
            <v>V_KEYWORD_ISSR_208001023_COGS_PALM_OIL</v>
          </cell>
        </row>
        <row r="143">
          <cell r="A143" t="str">
            <v>Vector|||208001023|||ISSR|||COGS_OTH_EDIBLE_OIL|||False|||</v>
          </cell>
          <cell r="C143" t="str">
            <v>V_KEYWORD_ISSR_208001023_COGS_OTH_EDIBLE_OIL</v>
          </cell>
        </row>
        <row r="144">
          <cell r="A144" t="str">
            <v>Vector|||208001023|||ISSR|||COGS_SOYBEAN|||False|||</v>
          </cell>
          <cell r="C144" t="str">
            <v>V_KEYWORD_ISSR_208001023_COGS_SOYBEAN</v>
          </cell>
        </row>
        <row r="145">
          <cell r="A145" t="str">
            <v>Vector|||208001023|||ISSR|||COGS_TOBACCO|||False|||</v>
          </cell>
          <cell r="C145" t="str">
            <v>V_KEYWORD_ISSR_208001023_COGS_TOBACCO</v>
          </cell>
        </row>
        <row r="146">
          <cell r="A146" t="str">
            <v>Vector|||208001023|||ISSR|||COGS_ENERGY|||False|||</v>
          </cell>
          <cell r="C146" t="str">
            <v>V_KEYWORD_ISSR_208001023_COGS_ENERGY</v>
          </cell>
        </row>
        <row r="147">
          <cell r="A147" t="str">
            <v>Vector|||208001023|||ISSR|||COGS_RAW_PULP|||False|||</v>
          </cell>
          <cell r="C147" t="str">
            <v>V_KEYWORD_ISSR_208001023_COGS_RAW_PULP</v>
          </cell>
        </row>
        <row r="148">
          <cell r="A148" t="str">
            <v>Vector|||208001023|||ISSR|||COGS_RAW_OIL_DERIV|||False|||</v>
          </cell>
          <cell r="C148" t="str">
            <v>V_KEYWORD_ISSR_208001023_COGS_RAW_OIL_DERIV</v>
          </cell>
        </row>
        <row r="149">
          <cell r="A149" t="str">
            <v>Vector|||208001023|||ISSR|||COGS_RAW_OTH|||False|||</v>
          </cell>
          <cell r="C149" t="str">
            <v>V_KEYWORD_ISSR_208001023_COGS_RAW_OTH</v>
          </cell>
        </row>
        <row r="150">
          <cell r="A150" t="str">
            <v>Vector|||208001023|||ISSR|||COGS_PACK_PAPER|||False|||</v>
          </cell>
          <cell r="C150" t="str">
            <v>V_KEYWORD_ISSR_208001023_COGS_PACK_PAPER</v>
          </cell>
        </row>
        <row r="151">
          <cell r="A151" t="str">
            <v>Vector|||208001023|||ISSR|||COGS_PACK_GLASS|||False|||</v>
          </cell>
          <cell r="C151" t="str">
            <v>V_KEYWORD_ISSR_208001023_COGS_PACK_GLASS</v>
          </cell>
        </row>
        <row r="152">
          <cell r="A152" t="str">
            <v>Vector|||208001023|||ISSR|||COGS_PACK_OIL_DERIV|||False|||</v>
          </cell>
          <cell r="C152" t="str">
            <v>V_KEYWORD_ISSR_208001023_COGS_PACK_OIL_DERIV</v>
          </cell>
        </row>
        <row r="153">
          <cell r="A153" t="str">
            <v>Vector|||208001023|||ISSR|||COGS_PACK_TIN|||False|||</v>
          </cell>
          <cell r="C153" t="str">
            <v>V_KEYWORD_ISSR_208001023_COGS_PACK_TIN</v>
          </cell>
        </row>
        <row r="154">
          <cell r="A154" t="str">
            <v>Vector|||208001023|||ISSR|||COGS_PACK_ALUM|||False|||</v>
          </cell>
          <cell r="C154" t="str">
            <v>V_KEYWORD_ISSR_208001023_COGS_PACK_ALUM</v>
          </cell>
        </row>
        <row r="155">
          <cell r="A155" t="str">
            <v>Vector|||208001023|||ISSR|||COGS_OH_WAGES|||False|||</v>
          </cell>
          <cell r="C155" t="str">
            <v>V_KEYWORD_ISSR_208001023_COGS_OH_WAGES</v>
          </cell>
        </row>
        <row r="157">
          <cell r="A157" t="str">
            <v>Vector|||208001023|||ISSR|||NAMERICA_SALES_GROWTH|||False|||</v>
          </cell>
          <cell r="C157" t="str">
            <v>V_KEYWORD_ISSR_208001023_NAMERICA_SALES_GROWTH</v>
          </cell>
        </row>
        <row r="158">
          <cell r="A158" t="str">
            <v>Vector|||208001023|||ISSR|||LATAM_SALES_GROWTH|||False|||</v>
          </cell>
          <cell r="C158" t="str">
            <v>V_KEYWORD_ISSR_208001023_LATAM_SALES_GROWTH</v>
          </cell>
        </row>
        <row r="159">
          <cell r="A159" t="str">
            <v>Vector|||208001023|||ISSR|||EUROPE_SALES_GROWTH|||False|||</v>
          </cell>
          <cell r="C159" t="str">
            <v>V_KEYWORD_ISSR_208001023_EUROPE_SALES_GROWTH</v>
          </cell>
        </row>
        <row r="160">
          <cell r="A160" t="str">
            <v>Vector|||208001023|||ISSR|||EEMEA_SALES_GROWTH|||False|||</v>
          </cell>
          <cell r="C160" t="str">
            <v>V_KEYWORD_ISSR_208001023_EEMEA_SALES_GROWTH</v>
          </cell>
        </row>
        <row r="161">
          <cell r="A161" t="str">
            <v>Vector|||208001023|||ISSR|||ASIA_SALES_GROWTH|||False|||</v>
          </cell>
          <cell r="C161" t="str">
            <v>V_KEYWORD_ISSR_208001023_ASIA_SALES_GROWTH</v>
          </cell>
        </row>
        <row r="163">
          <cell r="A163" t="str">
            <v>Vector|||208001023|||ISSR|||SALES_CANADA|||False|||</v>
          </cell>
          <cell r="C163" t="str">
            <v>V_KEYWORD_ISSR_208001023_SALES_CANADA</v>
          </cell>
        </row>
        <row r="164">
          <cell r="A164" t="str">
            <v>Vector|||208001023|||ISSR|||SALES_US|||False|||</v>
          </cell>
          <cell r="C164" t="str">
            <v>V_KEYWORD_ISSR_208001023_SALES_US</v>
          </cell>
        </row>
        <row r="165">
          <cell r="A165" t="str">
            <v>Vector|||208001023|||ISSR|||SALES_OTH_NO_AMER|||False|||</v>
          </cell>
          <cell r="C165" t="str">
            <v>V_KEYWORD_ISSR_208001023_SALES_OTH_NO_AMER</v>
          </cell>
        </row>
        <row r="166">
          <cell r="A166" t="str">
            <v>Vector|||208001023|||ISSR|||SALES_ARGENTINA|||False|||</v>
          </cell>
          <cell r="C166" t="str">
            <v>V_KEYWORD_ISSR_208001023_SALES_ARGENTINA</v>
          </cell>
        </row>
        <row r="167">
          <cell r="A167" t="str">
            <v>Vector|||208001023|||ISSR|||SALES_BRAZIL|||False|||</v>
          </cell>
          <cell r="C167" t="str">
            <v>V_KEYWORD_ISSR_208001023_SALES_BRAZIL</v>
          </cell>
        </row>
        <row r="168">
          <cell r="A168" t="str">
            <v>Vector|||208001023|||ISSR|||SALES_CHILE|||False|||</v>
          </cell>
          <cell r="C168" t="str">
            <v>V_KEYWORD_ISSR_208001023_SALES_CHILE</v>
          </cell>
        </row>
        <row r="169">
          <cell r="A169" t="str">
            <v>Vector|||208001023|||ISSR|||SALES_COLOMBIA|||False|||</v>
          </cell>
          <cell r="C169" t="str">
            <v>V_KEYWORD_ISSR_208001023_SALES_COLOMBIA</v>
          </cell>
        </row>
        <row r="170">
          <cell r="A170" t="str">
            <v>Vector|||208001023|||ISSR|||SALES_MEXICO|||False|||</v>
          </cell>
          <cell r="C170" t="str">
            <v>V_KEYWORD_ISSR_208001023_SALES_MEXICO</v>
          </cell>
        </row>
        <row r="171">
          <cell r="A171" t="str">
            <v>Vector|||208001023|||ISSR|||SALES_VENEZUELA|||False|||</v>
          </cell>
          <cell r="C171" t="str">
            <v>V_KEYWORD_ISSR_208001023_SALES_VENEZUELA</v>
          </cell>
        </row>
        <row r="172">
          <cell r="A172" t="str">
            <v>Vector|||208001023|||ISSR|||SALES_OTH_LATAM|||False|||</v>
          </cell>
          <cell r="C172" t="str">
            <v>V_KEYWORD_ISSR_208001023_SALES_OTH_LATAM</v>
          </cell>
        </row>
        <row r="173">
          <cell r="A173" t="str">
            <v>Vector|||208001023|||ISSR|||SALES_AUSTRIA|||False|||</v>
          </cell>
          <cell r="C173" t="str">
            <v>V_KEYWORD_ISSR_208001023_SALES_AUSTRIA</v>
          </cell>
        </row>
        <row r="174">
          <cell r="A174" t="str">
            <v>Vector|||208001023|||ISSR|||SALES_BEL|||False|||</v>
          </cell>
          <cell r="C174" t="str">
            <v>V_KEYWORD_ISSR_208001023_SALES_BEL</v>
          </cell>
        </row>
        <row r="175">
          <cell r="A175" t="str">
            <v>Vector|||208001023|||ISSR|||SALES_FRA|||False|||</v>
          </cell>
          <cell r="C175" t="str">
            <v>V_KEYWORD_ISSR_208001023_SALES_FRA</v>
          </cell>
        </row>
        <row r="176">
          <cell r="A176" t="str">
            <v>Vector|||208001023|||ISSR|||SALES_GER|||False|||</v>
          </cell>
          <cell r="C176" t="str">
            <v>V_KEYWORD_ISSR_208001023_SALES_GER</v>
          </cell>
        </row>
        <row r="177">
          <cell r="A177" t="str">
            <v>Vector|||208001023|||ISSR|||SALES_GRE|||False|||</v>
          </cell>
          <cell r="C177" t="str">
            <v>V_KEYWORD_ISSR_208001023_SALES_GRE</v>
          </cell>
        </row>
        <row r="178">
          <cell r="A178" t="str">
            <v>Vector|||208001023|||ISSR|||SALES_IRE|||False|||</v>
          </cell>
          <cell r="C178" t="str">
            <v>V_KEYWORD_ISSR_208001023_SALES_IRE</v>
          </cell>
        </row>
        <row r="179">
          <cell r="A179" t="str">
            <v>Vector|||208001023|||ISSR|||SALES_ITA|||False|||</v>
          </cell>
          <cell r="C179" t="str">
            <v>V_KEYWORD_ISSR_208001023_SALES_ITA</v>
          </cell>
        </row>
        <row r="180">
          <cell r="A180" t="str">
            <v>Vector|||208001023|||ISSR|||SALES_NETH|||False|||</v>
          </cell>
          <cell r="C180" t="str">
            <v>V_KEYWORD_ISSR_208001023_SALES_NETH</v>
          </cell>
        </row>
        <row r="181">
          <cell r="A181" t="str">
            <v>Vector|||208001023|||ISSR|||SALES_NOR|||False|||</v>
          </cell>
          <cell r="C181" t="str">
            <v>V_KEYWORD_ISSR_208001023_SALES_NOR</v>
          </cell>
        </row>
        <row r="182">
          <cell r="A182" t="str">
            <v>Vector|||208001023|||ISSR|||SALES_POR|||False|||</v>
          </cell>
          <cell r="C182" t="str">
            <v>V_KEYWORD_ISSR_208001023_SALES_POR</v>
          </cell>
        </row>
        <row r="183">
          <cell r="A183" t="str">
            <v>Vector|||208001023|||ISSR|||SALES_SPA|||False|||</v>
          </cell>
          <cell r="C183" t="str">
            <v>V_KEYWORD_ISSR_208001023_SALES_SPA</v>
          </cell>
        </row>
        <row r="184">
          <cell r="A184" t="str">
            <v>Vector|||208001023|||ISSR|||SALES_SWE|||False|||</v>
          </cell>
          <cell r="C184" t="str">
            <v>V_KEYWORD_ISSR_208001023_SALES_SWE</v>
          </cell>
        </row>
        <row r="185">
          <cell r="A185" t="str">
            <v>Vector|||208001023|||ISSR|||SALES_SWIT|||False|||</v>
          </cell>
          <cell r="C185" t="str">
            <v>V_KEYWORD_ISSR_208001023_SALES_SWIT</v>
          </cell>
        </row>
        <row r="186">
          <cell r="A186" t="str">
            <v>Vector|||208001023|||ISSR|||SALES_UK|||False|||</v>
          </cell>
          <cell r="C186" t="str">
            <v>V_KEYWORD_ISSR_208001023_SALES_UK</v>
          </cell>
        </row>
        <row r="187">
          <cell r="A187" t="str">
            <v>Vector|||208001023|||ISSR|||SALES_OTH_WEST_EURO|||False|||</v>
          </cell>
          <cell r="C187" t="str">
            <v>V_KEYWORD_ISSR_208001023_SALES_OTH_WEST_EURO</v>
          </cell>
        </row>
        <row r="188">
          <cell r="A188" t="str">
            <v>Vector|||208001023|||ISSR|||SALES_POLAND|||False|||</v>
          </cell>
          <cell r="C188" t="str">
            <v>V_KEYWORD_ISSR_208001023_SALES_POLAND</v>
          </cell>
        </row>
        <row r="189">
          <cell r="A189" t="str">
            <v>Vector|||208001023|||ISSR|||SALES_RUSSIA|||False|||</v>
          </cell>
          <cell r="C189" t="str">
            <v>V_KEYWORD_ISSR_208001023_SALES_RUSSIA</v>
          </cell>
        </row>
        <row r="190">
          <cell r="A190" t="str">
            <v>Vector|||208001023|||ISSR|||SALES_TURKEY|||False|||</v>
          </cell>
          <cell r="C190" t="str">
            <v>V_KEYWORD_ISSR_208001023_SALES_TURKEY</v>
          </cell>
        </row>
        <row r="191">
          <cell r="A191" t="str">
            <v>Vector|||208001023|||ISSR|||SALES_OTH_CEE|||False|||</v>
          </cell>
          <cell r="C191" t="str">
            <v>V_KEYWORD_ISSR_208001023_SALES_OTH_CEE</v>
          </cell>
        </row>
        <row r="192">
          <cell r="A192" t="str">
            <v>Vector|||208001023|||ISSR|||SALES_SAUDI_ARABIA|||False|||</v>
          </cell>
          <cell r="C192" t="str">
            <v>V_KEYWORD_ISSR_208001023_SALES_SAUDI_ARABIA</v>
          </cell>
        </row>
        <row r="193">
          <cell r="A193" t="str">
            <v>Vector|||208001023|||ISSR|||SALES_UAE|||False|||</v>
          </cell>
          <cell r="C193" t="str">
            <v>V_KEYWORD_ISSR_208001023_SALES_UAE</v>
          </cell>
        </row>
        <row r="194">
          <cell r="A194" t="str">
            <v>Vector|||208001023|||ISSR|||SALES_OTH_ME|||False|||</v>
          </cell>
          <cell r="C194" t="str">
            <v>V_KEYWORD_ISSR_208001023_SALES_OTH_ME</v>
          </cell>
        </row>
        <row r="195">
          <cell r="A195" t="str">
            <v>Vector|||208001023|||ISSR|||SALES_NIGERIA|||False|||</v>
          </cell>
          <cell r="C195" t="str">
            <v>V_KEYWORD_ISSR_208001023_SALES_NIGERIA</v>
          </cell>
        </row>
        <row r="196">
          <cell r="A196" t="str">
            <v>Vector|||208001023|||ISSR|||SALES_SO_AFRICA|||False|||</v>
          </cell>
          <cell r="C196" t="str">
            <v>V_KEYWORD_ISSR_208001023_SALES_SO_AFRICA</v>
          </cell>
        </row>
        <row r="197">
          <cell r="A197" t="str">
            <v>Vector|||208001023|||ISSR|||SALES_OTH_AFRICA|||False|||</v>
          </cell>
          <cell r="C197" t="str">
            <v>V_KEYWORD_ISSR_208001023_SALES_OTH_AFRICA</v>
          </cell>
        </row>
        <row r="198">
          <cell r="A198" t="str">
            <v>Vector|||208001023|||ISSR|||SALES_HONG_KONG|||False|||</v>
          </cell>
          <cell r="C198" t="str">
            <v>V_KEYWORD_ISSR_208001023_SALES_HONG_KONG</v>
          </cell>
        </row>
        <row r="199">
          <cell r="A199" t="str">
            <v>Vector|||208001023|||ISSR|||SALES_JAPAN|||False|||</v>
          </cell>
          <cell r="C199" t="str">
            <v>V_KEYWORD_ISSR_208001023_SALES_JAPAN</v>
          </cell>
        </row>
        <row r="200">
          <cell r="A200" t="str">
            <v>Vector|||208001023|||ISSR|||SALES_SINGAPORE|||False|||</v>
          </cell>
          <cell r="C200" t="str">
            <v>V_KEYWORD_ISSR_208001023_SALES_SINGAPORE</v>
          </cell>
        </row>
        <row r="201">
          <cell r="A201" t="str">
            <v>Vector|||208001023|||ISSR|||SALES_SK|||False|||</v>
          </cell>
          <cell r="C201" t="str">
            <v>V_KEYWORD_ISSR_208001023_SALES_SK</v>
          </cell>
        </row>
        <row r="202">
          <cell r="A202" t="str">
            <v>Vector|||208001023|||ISSR|||SALES_TAIWAN|||False|||</v>
          </cell>
          <cell r="C202" t="str">
            <v>V_KEYWORD_ISSR_208001023_SALES_TAIWAN</v>
          </cell>
        </row>
        <row r="203">
          <cell r="A203" t="str">
            <v>Vector|||208001023|||ISSR|||SALES_OTH_DEV_ASIA|||False|||</v>
          </cell>
          <cell r="C203" t="str">
            <v>V_KEYWORD_ISSR_208001023_SALES_OTH_DEV_ASIA</v>
          </cell>
        </row>
        <row r="204">
          <cell r="A204" t="str">
            <v>Vector|||208001023|||ISSR|||SALES_CHINA|||False|||</v>
          </cell>
          <cell r="C204" t="str">
            <v>V_KEYWORD_ISSR_208001023_SALES_CHINA</v>
          </cell>
        </row>
        <row r="205">
          <cell r="A205" t="str">
            <v>Vector|||208001023|||ISSR|||SALES_INDIA|||False|||</v>
          </cell>
          <cell r="C205" t="str">
            <v>V_KEYWORD_ISSR_208001023_SALES_INDIA</v>
          </cell>
        </row>
        <row r="206">
          <cell r="A206" t="str">
            <v>Vector|||208001023|||ISSR|||SALES_INDONESIA|||False|||</v>
          </cell>
          <cell r="C206" t="str">
            <v>V_KEYWORD_ISSR_208001023_SALES_INDONESIA</v>
          </cell>
        </row>
        <row r="207">
          <cell r="A207" t="str">
            <v>Vector|||208001023|||ISSR|||SALES_THAILAND|||False|||</v>
          </cell>
          <cell r="C207" t="str">
            <v>V_KEYWORD_ISSR_208001023_SALES_THAILAND</v>
          </cell>
        </row>
        <row r="208">
          <cell r="A208" t="str">
            <v>Vector|||208001023|||ISSR|||SALES_OTH_EMERG_ASIA|||False|||</v>
          </cell>
          <cell r="C208" t="str">
            <v>V_KEYWORD_ISSR_208001023_SALES_OTH_EMERG_ASIA</v>
          </cell>
        </row>
        <row r="209">
          <cell r="A209" t="str">
            <v>Vector|||208001023|||ISSR|||SALES_AUSTRA|||False|||</v>
          </cell>
          <cell r="C209" t="str">
            <v>V_KEYWORD_ISSR_208001023_SALES_AUSTRA</v>
          </cell>
        </row>
        <row r="210">
          <cell r="A210" t="str">
            <v>Vector|||208001023|||ISSR|||SALES_NZ|||False|||</v>
          </cell>
          <cell r="C210" t="str">
            <v>V_KEYWORD_ISSR_208001023_SALES_NZ</v>
          </cell>
        </row>
        <row r="211">
          <cell r="A211" t="str">
            <v>Vector|||208001023|||ISSR|||SALES_OTHER|||False|||</v>
          </cell>
          <cell r="C211" t="str">
            <v>V_KEYWORD_ISSR_208001023_SALES_OTHER</v>
          </cell>
        </row>
        <row r="212">
          <cell r="A212" t="str">
            <v>Vector|||208001023|||ISSR|||COGS_PCT_US|||False|||</v>
          </cell>
          <cell r="C212" t="str">
            <v>V_KEYWORD_ISSR_208001023_COGS_PCT_US</v>
          </cell>
        </row>
        <row r="213">
          <cell r="A213" t="str">
            <v>Vector|||208001023|||ISSR|||COGS_PCT_ROW|||False|||</v>
          </cell>
          <cell r="C213" t="str">
            <v>V_KEYWORD_ISSR_208001023_COGS_PCT_ROW</v>
          </cell>
        </row>
        <row r="214">
          <cell r="A214" t="str">
            <v>Vector|||208001023|||ISSR|||SGA_PCT_US|||False|||</v>
          </cell>
          <cell r="C214" t="str">
            <v>V_KEYWORD_ISSR_208001023_SGA_PCT_US</v>
          </cell>
        </row>
        <row r="215">
          <cell r="A215" t="str">
            <v>Vector|||208001023|||ISSR|||SGA_PCT_ROW|||False|||</v>
          </cell>
          <cell r="C215" t="str">
            <v>V_KEYWORD_ISSR_208001023_SGA_PCT_ROW</v>
          </cell>
        </row>
        <row r="216">
          <cell r="A216" t="str">
            <v>Vector|||208001023|||ISSR|||SALES_CONS|||False|||</v>
          </cell>
          <cell r="C216" t="str">
            <v>V_KEYWORD_ISSR_208001023_SALES_CONS</v>
          </cell>
        </row>
        <row r="217">
          <cell r="A217" t="str">
            <v>Vector|||208001023|||ISSR|||SALES_IND|||False|||</v>
          </cell>
          <cell r="C217" t="str">
            <v>V_KEYWORD_ISSR_208001023_SALES_IND</v>
          </cell>
        </row>
        <row r="218">
          <cell r="A218" t="str">
            <v>Vector|||208001023|||ISSR|||SALES_GOV|||False|||</v>
          </cell>
          <cell r="C218" t="str">
            <v>V_KEYWORD_ISSR_208001023_SALES_GOV</v>
          </cell>
        </row>
        <row r="219">
          <cell r="A219" t="str">
            <v>Vector|||208001023|||ISSR|||SALES_FINAN|||False|||</v>
          </cell>
          <cell r="C219" t="str">
            <v>V_KEYWORD_ISSR_208001023_SALES_FINAN</v>
          </cell>
        </row>
        <row r="220">
          <cell r="A220" t="str">
            <v>Vector|||208001023|||ISSR|||SALES_OIL_GAS|||False|||</v>
          </cell>
          <cell r="C220" t="str">
            <v>V_KEYWORD_ISSR_208001023_SALES_OIL_GAS</v>
          </cell>
        </row>
        <row r="221">
          <cell r="A221" t="str">
            <v>Vector|||208001023|||ISSR|||REV_FIN_SEGMENT|||False|||</v>
          </cell>
          <cell r="C221" t="str">
            <v>V_KEYWORD_ISSR_208001023_REV_FIN_SEGMENT</v>
          </cell>
        </row>
        <row r="282">
          <cell r="A282" t="str">
            <v>Vector|||208001023|||ISSR|||EXP_OIL_PETRO_FUEL|||False|||</v>
          </cell>
          <cell r="C282" t="str">
            <v>V_KEYWORD_ISSR_208001023_EXP_OIL_PETRO_FUEL</v>
          </cell>
        </row>
        <row r="283">
          <cell r="A283" t="str">
            <v>Vector|||208001023|||ISSR|||EXP_OIL_DERIV_NGLS_PLASTICS|||False|||</v>
          </cell>
          <cell r="C283" t="str">
            <v>V_KEYWORD_ISSR_208001023_EXP_OIL_DERIV_NGLS_PLASTICS</v>
          </cell>
        </row>
        <row r="284">
          <cell r="A284" t="str">
            <v>Vector|||208001023|||ISSR|||EXP_ALUMINIUM|||False|||</v>
          </cell>
          <cell r="C284" t="str">
            <v>V_KEYWORD_ISSR_208001023_EXP_ALUMINIUM</v>
          </cell>
        </row>
        <row r="285">
          <cell r="A285" t="str">
            <v>Vector|||208001023|||ISSR|||EXP_STEEL|||False|||</v>
          </cell>
          <cell r="C285" t="str">
            <v>V_KEYWORD_ISSR_208001023_EXP_STEEL</v>
          </cell>
        </row>
        <row r="286">
          <cell r="A286" t="str">
            <v>Vector|||208001023|||ISSR|||EXP_TIN|||False|||</v>
          </cell>
          <cell r="C286" t="str">
            <v>V_KEYWORD_ISSR_208001023_EXP_TIN</v>
          </cell>
        </row>
        <row r="287">
          <cell r="A287" t="str">
            <v>Vector|||208001023|||ISSR|||EXP_PAPER_PULP|||False|||</v>
          </cell>
          <cell r="C287" t="str">
            <v>V_KEYWORD_ISSR_208001023_EXP_PAPER_PULP</v>
          </cell>
        </row>
        <row r="288">
          <cell r="A288" t="str">
            <v>Vector|||208001023|||ISSR|||EXP_GLASS|||False|||</v>
          </cell>
          <cell r="C288" t="str">
            <v>V_KEYWORD_ISSR_208001023_EXP_GLASS</v>
          </cell>
        </row>
        <row r="289">
          <cell r="A289" t="str">
            <v>Vector|||208001023|||ISSR|||EXP_NUTS|||False|||</v>
          </cell>
          <cell r="C289" t="str">
            <v>V_KEYWORD_ISSR_208001023_EXP_NUTS</v>
          </cell>
        </row>
        <row r="290">
          <cell r="A290" t="str">
            <v>Vector|||208001023|||ISSR|||EXP_PALM_OIL|||False|||</v>
          </cell>
          <cell r="C290" t="str">
            <v>V_KEYWORD_ISSR_208001023_EXP_PALM_OIL</v>
          </cell>
        </row>
        <row r="291">
          <cell r="A291" t="str">
            <v>Vector|||208001023|||ISSR|||EXP_OTH_EDIBLE_OIL|||False|||</v>
          </cell>
          <cell r="C291" t="str">
            <v>V_KEYWORD_ISSR_208001023_EXP_OTH_EDIBLE_OIL</v>
          </cell>
        </row>
        <row r="292">
          <cell r="A292" t="str">
            <v>Vector|||208001023|||ISSR|||EXP_WATER|||False|||</v>
          </cell>
          <cell r="C292" t="str">
            <v>V_KEYWORD_ISSR_208001023_EXP_WATER</v>
          </cell>
        </row>
        <row r="293">
          <cell r="A293" t="str">
            <v>Vector|||208001023|||ISSR|||EXP_OTH_COMMODITY|||False|||</v>
          </cell>
          <cell r="C293" t="str">
            <v>V_KEYWORD_ISSR_208001023_EXP_OTH_COMMODITY</v>
          </cell>
        </row>
        <row r="294">
          <cell r="A294" t="str">
            <v>Vector|||208001023|||ISSR|||EXP_OTH_COST|||False|||</v>
          </cell>
          <cell r="C294" t="str">
            <v>V_KEYWORD_ISSR_208001023_EXP_OTH_COST</v>
          </cell>
        </row>
        <row r="296">
          <cell r="A296" t="str">
            <v>Vector|||208001023|||ISSR|||SALES_FX_GPB|||False|||</v>
          </cell>
          <cell r="C296" t="str">
            <v>V_KEYWORD_ISSR_208001023_SALES_FX_GPB</v>
          </cell>
        </row>
        <row r="297">
          <cell r="A297" t="str">
            <v>Vector|||208001023|||ISSR|||SALES_FX_EUR|||False|||</v>
          </cell>
          <cell r="C297" t="str">
            <v>V_KEYWORD_ISSR_208001023_SALES_FX_EUR</v>
          </cell>
        </row>
        <row r="298">
          <cell r="A298" t="str">
            <v>Vector|||208001023|||ISSR|||SALES_FX_RUB|||False|||</v>
          </cell>
          <cell r="C298" t="str">
            <v>V_KEYWORD_ISSR_208001023_SALES_FX_RUB</v>
          </cell>
        </row>
        <row r="299">
          <cell r="A299" t="str">
            <v>Vector|||208001023|||ISSR|||SALES_FX_USD|||False|||</v>
          </cell>
          <cell r="C299" t="str">
            <v>V_KEYWORD_ISSR_208001023_SALES_FX_USD</v>
          </cell>
        </row>
        <row r="300">
          <cell r="A300" t="str">
            <v>Vector|||208001023|||ISSR|||SALES_FX_BRL|||False|||</v>
          </cell>
          <cell r="C300" t="str">
            <v>V_KEYWORD_ISSR_208001023_SALES_FX_BRL</v>
          </cell>
        </row>
        <row r="301">
          <cell r="A301" t="str">
            <v>Vector|||208001023|||ISSR|||SALES_FX_YEN|||False|||</v>
          </cell>
          <cell r="C301" t="str">
            <v>V_KEYWORD_ISSR_208001023_SALES_FX_YEN</v>
          </cell>
        </row>
        <row r="302">
          <cell r="A302" t="str">
            <v>Vector|||208001023|||ISSR|||SALES_FX_CNY|||False|||</v>
          </cell>
          <cell r="C302" t="str">
            <v>V_KEYWORD_ISSR_208001023_SALES_FX_CNY</v>
          </cell>
        </row>
        <row r="303">
          <cell r="A303" t="str">
            <v>Vector|||208001023|||ISSR|||SALES_FX_INR|||False|||</v>
          </cell>
          <cell r="C303" t="str">
            <v>V_KEYWORD_ISSR_208001023_SALES_FX_INR</v>
          </cell>
        </row>
        <row r="304">
          <cell r="A304" t="str">
            <v>Vector|||208001023|||ISSR|||SALES_FX_IDR|||False|||</v>
          </cell>
          <cell r="C304" t="str">
            <v>V_KEYWORD_ISSR_208001023_SALES_FX_IDR</v>
          </cell>
        </row>
        <row r="305">
          <cell r="A305" t="str">
            <v>Vector|||208001023|||ISSR|||SALES_FX_THB|||False|||</v>
          </cell>
          <cell r="C305" t="str">
            <v>V_KEYWORD_ISSR_208001023_SALES_FX_THB</v>
          </cell>
        </row>
        <row r="306">
          <cell r="A306" t="str">
            <v>Vector|||208001023|||ISSR|||SALES_FX_AUD|||False|||</v>
          </cell>
          <cell r="C306" t="str">
            <v>V_KEYWORD_ISSR_208001023_SALES_FX_AUD</v>
          </cell>
        </row>
        <row r="307">
          <cell r="A307" t="str">
            <v>Vector|||208001023|||ISSR|||SALES_FX_OTH|||False|||</v>
          </cell>
          <cell r="C307" t="str">
            <v>V_KEYWORD_ISSR_208001023_SALES_FX_OTH</v>
          </cell>
        </row>
        <row r="309">
          <cell r="A309" t="str">
            <v>Vector|||208001023|||ISSR|||SALES_TOT_AM|||False|||</v>
          </cell>
          <cell r="C309" t="str">
            <v>V_KEYWORD_ISSR_208001023_SALES_TOT_AM</v>
          </cell>
        </row>
        <row r="310">
          <cell r="A310" t="str">
            <v>Vector|||208001023|||ISSR|||SALES_OTH_AM|||False|||</v>
          </cell>
          <cell r="C310" t="str">
            <v>V_KEYWORD_ISSR_208001023_SALES_OTH_AM</v>
          </cell>
        </row>
        <row r="311">
          <cell r="A311" t="str">
            <v>Vector|||208001023|||ISSR|||SALES_TOT_EMEA|||False|||</v>
          </cell>
          <cell r="C311" t="str">
            <v>V_KEYWORD_ISSR_208001023_SALES_TOT_EMEA</v>
          </cell>
        </row>
        <row r="312">
          <cell r="A312" t="str">
            <v>Vector|||208001023|||ISSR|||SALES_EU_EX_UK|||False|||</v>
          </cell>
          <cell r="C312" t="str">
            <v>V_KEYWORD_ISSR_208001023_SALES_EU_EX_UK</v>
          </cell>
        </row>
        <row r="313">
          <cell r="A313" t="str">
            <v>Vector|||208001023|||ISSR|||SALES_CEE|||False|||</v>
          </cell>
          <cell r="C313" t="str">
            <v>V_KEYWORD_ISSR_208001023_SALES_CEE</v>
          </cell>
        </row>
        <row r="314">
          <cell r="A314" t="str">
            <v>Vector|||208001023|||ISSR|||SALES_ME|||False|||</v>
          </cell>
          <cell r="C314" t="str">
            <v>V_KEYWORD_ISSR_208001023_SALES_ME</v>
          </cell>
        </row>
        <row r="315">
          <cell r="A315" t="str">
            <v>Vector|||208001023|||ISSR|||SALES_TOT_AFRICA|||False|||</v>
          </cell>
          <cell r="C315" t="str">
            <v>V_KEYWORD_ISSR_208001023_SALES_TOT_AFRICA</v>
          </cell>
        </row>
        <row r="316">
          <cell r="A316" t="str">
            <v>Vector|||208001023|||ISSR|||SALES_OTH_EMEA|||False|||</v>
          </cell>
          <cell r="C316" t="str">
            <v>V_KEYWORD_ISSR_208001023_SALES_OTH_EMEA</v>
          </cell>
        </row>
        <row r="317">
          <cell r="A317" t="str">
            <v>Vector|||208001023|||ISSR|||SALES_TOT_ASIA|||False|||</v>
          </cell>
          <cell r="C317" t="str">
            <v>V_KEYWORD_ISSR_208001023_SALES_TOT_ASIA</v>
          </cell>
        </row>
        <row r="318">
          <cell r="A318" t="str">
            <v>Vector|||208001023|||ISSR|||SALES_OTH_AEJ|||False|||</v>
          </cell>
          <cell r="C318" t="str">
            <v>V_KEYWORD_ISSR_208001023_SALES_OTH_AEJ</v>
          </cell>
        </row>
        <row r="320">
          <cell r="A320" t="str">
            <v>Vector|||208001023|||ISSR|||SALES_FX|||False|||</v>
          </cell>
          <cell r="C320" t="str">
            <v>V_KEYWORD_ISSR_208001023_SALES_FX</v>
          </cell>
        </row>
        <row r="321">
          <cell r="A321" t="str">
            <v>Vector|||208001023|||ISSR|||SALES_INORGANIC|||False|||</v>
          </cell>
          <cell r="C321" t="str">
            <v>V_KEYWORD_ISSR_208001023_SALES_INORGANIC</v>
          </cell>
        </row>
        <row r="322">
          <cell r="A322" t="str">
            <v>Vector|||208001023|||ISSR|||SALES_PRICE|||False|||</v>
          </cell>
          <cell r="C322" t="str">
            <v>V_KEYWORD_ISSR_208001023_SALES_PRICE</v>
          </cell>
        </row>
        <row r="323">
          <cell r="A323" t="str">
            <v>Vector|||208001023|||ISSR|||SALES_VOLUME|||False|||</v>
          </cell>
          <cell r="C323" t="str">
            <v>V_KEYWORD_ISSR_208001023_SALES_VOLUME</v>
          </cell>
        </row>
        <row r="329">
          <cell r="A329" t="str">
            <v>Scalar|||200002950|||EQTY|||PUB_CURRENCY_ISO|||False|||</v>
          </cell>
          <cell r="C329" t="str">
            <v>V_KEYWORD_EQTY_200002950_PUB_CURRENCY_ISO</v>
          </cell>
        </row>
        <row r="330">
          <cell r="A330" t="str">
            <v>Scalar|||200002950|||EQTY|||PRICE_CURRENCY_ISO|||False|||</v>
          </cell>
          <cell r="C330" t="str">
            <v>V_KEYWORD_EQTY_200002950_PRICE_CURRENCY_ISO</v>
          </cell>
        </row>
        <row r="331">
          <cell r="A331" t="str">
            <v>Scalar|||200002950|||EQTY|||CURRENCY_ISO|||False|||</v>
          </cell>
          <cell r="C331" t="str">
            <v>V_KEYWORD_EQTY_200002950_CURRENCY_ISO</v>
          </cell>
        </row>
        <row r="333">
          <cell r="A333" t="str">
            <v>Scalar|||200002950|||EQTY|||JAPAN_LIST|||False|||</v>
          </cell>
          <cell r="C333" t="str">
            <v>V_KEYWORD_EQTY_200002950_JAPAN_LIST</v>
          </cell>
        </row>
        <row r="334">
          <cell r="A334" t="str">
            <v>Scalar|||200002950|||EQTY|||JAPAN_CONVICTION|||False|||</v>
          </cell>
          <cell r="C334" t="str">
            <v>V_KEYWORD_EQTY_200002950_JAPAN_CONVICTION</v>
          </cell>
        </row>
        <row r="335">
          <cell r="A335" t="str">
            <v>Scalar|||200002950|||EQTY|||LEGAL_RATING|||False|||</v>
          </cell>
          <cell r="C335" t="str">
            <v>V_KEYWORD_EQTY_200002950_LEGAL_RATING</v>
          </cell>
        </row>
        <row r="336">
          <cell r="A336" t="str">
            <v>Scalar|||200002950|||EQTY|||TARGET_PRICE|||False|||</v>
          </cell>
          <cell r="C336" t="str">
            <v>V_KEYWORD_EQTY_200002950_TARGET_PRICE</v>
          </cell>
        </row>
        <row r="337">
          <cell r="A337" t="str">
            <v>Scalar|||200002950|||EQTY|||TP_PERIOD|||False|||</v>
          </cell>
          <cell r="C337" t="str">
            <v>V_KEYWORD_EQTY_200002950_TP_PERIOD</v>
          </cell>
        </row>
        <row r="338">
          <cell r="A338" t="str">
            <v>Scalar|||200002950|||EQTY|||NUM_SH|||False|||</v>
          </cell>
          <cell r="C338" t="str">
            <v>V_KEYWORD_EQTY_200002950_NUM_SH</v>
          </cell>
        </row>
        <row r="339">
          <cell r="A339" t="str">
            <v>Scalar|||200002950|||EQTY|||FREE_FLOAT|||False|||</v>
          </cell>
          <cell r="C339" t="str">
            <v>V_KEYWORD_EQTY_200002950_FREE_FLOAT</v>
          </cell>
        </row>
        <row r="340">
          <cell r="A340" t="str">
            <v>Scalar|||200002950|||EQTY|||CATALYST1_DATE|||True|||</v>
          </cell>
          <cell r="C340" t="str">
            <v>V_KEYWORD_EQTY_200002950_CATALYST1_DATE</v>
          </cell>
        </row>
        <row r="341">
          <cell r="A341" t="str">
            <v>Scalar|||200002950|||EQTY|||CATALYST1_EVENT|||False|||</v>
          </cell>
          <cell r="C341" t="str">
            <v>V_KEYWORD_EQTY_200002950_CATALYST1_EVENT</v>
          </cell>
        </row>
        <row r="342">
          <cell r="A342" t="str">
            <v>Scalar|||200002950|||EQTY|||CATALYST2_DATE|||True|||</v>
          </cell>
          <cell r="C342" t="str">
            <v>V_KEYWORD_EQTY_200002950_CATALYST2_DATE</v>
          </cell>
        </row>
        <row r="343">
          <cell r="A343" t="str">
            <v>Scalar|||200002950|||EQTY|||CATALYST2_EVENT|||False|||</v>
          </cell>
          <cell r="C343" t="str">
            <v>V_KEYWORD_EQTY_200002950_CATALYST2_EVENT</v>
          </cell>
        </row>
        <row r="344">
          <cell r="A344" t="str">
            <v>Scalar|||200002950|||EQTY|||CATALYST3_DATE|||True|||</v>
          </cell>
          <cell r="C344" t="str">
            <v>V_KEYWORD_EQTY_200002950_CATALYST3_DATE</v>
          </cell>
        </row>
        <row r="345">
          <cell r="A345" t="str">
            <v>Scalar|||200002950|||EQTY|||CATALYST3_EVENT|||False|||</v>
          </cell>
          <cell r="C345" t="str">
            <v>V_KEYWORD_EQTY_200002950_CATALYST3_EVENT</v>
          </cell>
        </row>
        <row r="346">
          <cell r="A346" t="str">
            <v>Scalar|||200002950|||EQTY|||CATALYST4_DATE|||True|||</v>
          </cell>
          <cell r="C346" t="str">
            <v>V_KEYWORD_EQTY_200002950_CATALYST4_DATE</v>
          </cell>
        </row>
        <row r="347">
          <cell r="A347" t="str">
            <v>Scalar|||200002950|||EQTY|||CATALYST4_EVENT|||False|||</v>
          </cell>
          <cell r="C347" t="str">
            <v>V_KEYWORD_EQTY_200002950_CATALYST4_EVENT</v>
          </cell>
        </row>
        <row r="348">
          <cell r="A348" t="str">
            <v>Scalar|||200002950|||EQTY|||CATALYST5_DATE|||True|||</v>
          </cell>
          <cell r="C348" t="str">
            <v>V_KEYWORD_EQTY_200002950_CATALYST5_DATE</v>
          </cell>
        </row>
        <row r="349">
          <cell r="A349" t="str">
            <v>Scalar|||200002950|||EQTY|||CATALYST5_EVENT|||False|||</v>
          </cell>
          <cell r="C349" t="str">
            <v>V_KEYWORD_EQTY_200002950_CATALYST5_EVENT</v>
          </cell>
        </row>
        <row r="350">
          <cell r="A350" t="str">
            <v>Scalar|||200002950|||EQTY|||PRI_TARG_MULT|||False|||</v>
          </cell>
          <cell r="C350" t="str">
            <v>V_KEYWORD_EQTY_200002950_PRI_TARG_MULT</v>
          </cell>
        </row>
        <row r="351">
          <cell r="A351" t="str">
            <v>Scalar|||200002950|||EQTY|||PRI_TARG_METH|||False|||</v>
          </cell>
          <cell r="C351" t="str">
            <v>V_KEYWORD_EQTY_200002950_PRI_TARG_METH</v>
          </cell>
        </row>
        <row r="352">
          <cell r="A352" t="str">
            <v>Scalar|||200002950|||EQTY|||DIV_POLICY|||False|||</v>
          </cell>
          <cell r="C352" t="str">
            <v>V_KEYWORD_EQTY_200002950_DIV_POLICY</v>
          </cell>
        </row>
        <row r="353">
          <cell r="A353" t="str">
            <v>Scalar|||200002950|||EQTY|||PRI_TARG_METH|||False|||</v>
          </cell>
          <cell r="C353" t="str">
            <v>V_KEYWORD_EQTY_200002950_PRI_TARG_METH</v>
          </cell>
        </row>
        <row r="354">
          <cell r="A354" t="str">
            <v>Vector|||200002950|||EQTY|||BVPS_PUB|||False|||</v>
          </cell>
          <cell r="C354" t="str">
            <v>V_KEYWORD_EQTY_200002950_BVPS_PUB</v>
          </cell>
        </row>
        <row r="355">
          <cell r="A355" t="str">
            <v>Vector|||200002950|||EQTY|||DPS_PUB|||False|||</v>
          </cell>
          <cell r="C355" t="str">
            <v>V_KEYWORD_EQTY_200002950_DPS_PUB</v>
          </cell>
        </row>
        <row r="356">
          <cell r="A356" t="str">
            <v>Vector|||200002950|||EQTY|||DPS_SPECIAL_PUB|||False|||</v>
          </cell>
          <cell r="C356" t="str">
            <v>V_KEYWORD_EQTY_200002950_DPS_SPECIAL_PUB</v>
          </cell>
        </row>
        <row r="357">
          <cell r="A357" t="str">
            <v>Vector|||200002950|||EQTY|||EBITDA_PUB|||False|||</v>
          </cell>
          <cell r="C357" t="str">
            <v>V_KEYWORD_EQTY_200002950_EBITDA_PUB</v>
          </cell>
        </row>
        <row r="358">
          <cell r="A358" t="str">
            <v>Vector|||200002950|||EQTY|||DPS_SPECIAL_PUB|||False|||</v>
          </cell>
          <cell r="C358" t="str">
            <v>V_KEYWORD_EQTY_200002950_DPS_SPECIAL_PUB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"/>
      <sheetName val="Longterm"/>
      <sheetName val="EPS"/>
      <sheetName val="Quarterly"/>
      <sheetName val="CashFlow"/>
      <sheetName val="Inventory"/>
      <sheetName val="ForPub"/>
      <sheetName val="Segment"/>
      <sheetName val="regional trends"/>
      <sheetName val="Dividend"/>
      <sheetName val="Return On Equity"/>
      <sheetName val="ROIC-Annual"/>
      <sheetName val="ROIC-Quarterly"/>
      <sheetName val="ROA"/>
      <sheetName val="Sales Details"/>
      <sheetName val="Balance Sheet"/>
      <sheetName val="Option Expense"/>
      <sheetName val="Key Financial Metrics"/>
      <sheetName val="REG AC"/>
      <sheetName val="Disclaimer"/>
      <sheetName val="Financials &amp; Ratios"/>
      <sheetName val="CashFlow Qrtly"/>
      <sheetName val="FUNC EX COSTS"/>
      <sheetName val="marketshares"/>
      <sheetName val="New Other Section"/>
      <sheetName val="Other"/>
      <sheetName val="region"/>
      <sheetName val="NoteExpress"/>
      <sheetName val="Old Other Section"/>
      <sheetName val="Regional"/>
      <sheetName val="MACH3"/>
      <sheetName val="CountryExposure"/>
      <sheetName val="DuracellShares"/>
      <sheetName val="Pre-Duracell Quarterly"/>
      <sheetName val="Battery Volume"/>
      <sheetName val="Global Database Contribution"/>
      <sheetName val="GQ"/>
      <sheetName val="Start of New Model"/>
      <sheetName val="P&amp;L"/>
      <sheetName val="BS"/>
      <sheetName val="CF"/>
      <sheetName val="End of New Model"/>
      <sheetName val="G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FAME Persistence"/>
      <sheetName val="Sheet18"/>
      <sheetName val="Sheet1"/>
      <sheetName val="Other2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 refreshError="1">
        <row r="22">
          <cell r="U22">
            <v>767</v>
          </cell>
          <cell r="V22">
            <v>805</v>
          </cell>
          <cell r="W22">
            <v>920</v>
          </cell>
          <cell r="X22">
            <v>0.187</v>
          </cell>
          <cell r="Y22" t="str">
            <v>2) Return on Equity (average)</v>
          </cell>
          <cell r="Z22">
            <v>0.187</v>
          </cell>
          <cell r="AA22">
            <v>0.19732215309710577</v>
          </cell>
          <cell r="AB22">
            <v>0.20578736597338848</v>
          </cell>
          <cell r="AC22">
            <v>0.18933159670830621</v>
          </cell>
          <cell r="AD22">
            <v>0.26605842101390631</v>
          </cell>
          <cell r="AE22">
            <v>0.43369175627240142</v>
          </cell>
          <cell r="AF22">
            <v>1.0431235431235433</v>
          </cell>
          <cell r="AG22" t="str">
            <v>NM</v>
          </cell>
          <cell r="AH22" t="str">
            <v>NM</v>
          </cell>
          <cell r="AI22">
            <v>0.60091388400702983</v>
          </cell>
          <cell r="AJ22">
            <v>0.3869606180516299</v>
          </cell>
          <cell r="AK22">
            <v>0.19378907037709217</v>
          </cell>
          <cell r="AL22">
            <v>0.39945084803935582</v>
          </cell>
          <cell r="AM22" t="str">
            <v>NA</v>
          </cell>
          <cell r="AN22">
            <v>0.22665535818809507</v>
          </cell>
          <cell r="AO22">
            <v>0.30648625429553267</v>
          </cell>
        </row>
      </sheetData>
      <sheetData sheetId="21"/>
      <sheetData sheetId="22"/>
      <sheetData sheetId="23" refreshError="1"/>
      <sheetData sheetId="24"/>
      <sheetData sheetId="25"/>
      <sheetData sheetId="26"/>
      <sheetData sheetId="27"/>
      <sheetData sheetId="28" refreshError="1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theme/theme1.xml><?xml version="1.0" encoding="utf-8"?>
<a:theme xmlns:a="http://schemas.openxmlformats.org/drawingml/2006/main" name="GIR Product">
  <a:themeElements>
    <a:clrScheme name="Equity">
      <a:dk1>
        <a:sysClr val="windowText" lastClr="000000"/>
      </a:dk1>
      <a:lt1>
        <a:sysClr val="window" lastClr="FFFFFF"/>
      </a:lt1>
      <a:dk2>
        <a:srgbClr val="AEBAD5"/>
      </a:dk2>
      <a:lt2>
        <a:srgbClr val="DFE4EE"/>
      </a:lt2>
      <a:accent1>
        <a:srgbClr val="5E76AA"/>
      </a:accent1>
      <a:accent2>
        <a:srgbClr val="CFD6E6"/>
      </a:accent2>
      <a:accent3>
        <a:srgbClr val="9EADCC"/>
      </a:accent3>
      <a:accent4>
        <a:srgbClr val="EFF1F6"/>
      </a:accent4>
      <a:accent5>
        <a:srgbClr val="BFC8DD"/>
      </a:accent5>
      <a:accent6>
        <a:srgbClr val="8E9FC4"/>
      </a:accent6>
      <a:hlink>
        <a:srgbClr val="0000FF"/>
      </a:hlink>
      <a:folHlink>
        <a:srgbClr val="800080"/>
      </a:folHlink>
    </a:clrScheme>
    <a:fontScheme name="GIR Product">
      <a:majorFont>
        <a:latin typeface="Univers LT Std 65 Bold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Jpan" typeface="MS Gothic"/>
      </a:majorFont>
      <a:minorFont>
        <a:latin typeface="Univers LT Std 55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GIR Product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customProperty" Target="../customProperty1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7"/>
  <sheetViews>
    <sheetView showGridLines="0" tabSelected="1" zoomScaleNormal="100" workbookViewId="0"/>
  </sheetViews>
  <sheetFormatPr defaultColWidth="0" defaultRowHeight="0" customHeight="1" zeroHeight="1"/>
  <cols>
    <col min="1" max="1" width="2.25" style="9" customWidth="1"/>
    <col min="2" max="2" width="53.5" style="9" bestFit="1" customWidth="1"/>
    <col min="3" max="3" width="16.08203125" style="9" customWidth="1"/>
    <col min="4" max="9" width="8" style="9" customWidth="1"/>
    <col min="10" max="10" width="2.25" style="9" customWidth="1"/>
    <col min="11" max="21" width="8" style="9" hidden="1" customWidth="1"/>
    <col min="22" max="16384" width="8" style="9" hidden="1"/>
  </cols>
  <sheetData>
    <row r="1" spans="2:9" ht="5.15" customHeight="1"/>
    <row r="2" spans="2:9" ht="18" customHeight="1"/>
    <row r="3" spans="2:9" ht="18" customHeight="1"/>
    <row r="4" spans="2:9" ht="18" customHeight="1">
      <c r="B4" s="16" t="s">
        <v>1551</v>
      </c>
    </row>
    <row r="5" spans="2:9" ht="5.15" customHeight="1"/>
    <row r="6" spans="2:9" ht="18" customHeight="1">
      <c r="B6" s="2362" t="s">
        <v>985</v>
      </c>
      <c r="C6" s="2362"/>
      <c r="D6" s="2362"/>
      <c r="E6" s="2362"/>
      <c r="F6" s="2362"/>
      <c r="G6" s="2362"/>
      <c r="H6" s="2362"/>
      <c r="I6" s="2362"/>
    </row>
    <row r="7" spans="2:9" ht="18" customHeight="1">
      <c r="B7" s="14" t="s">
        <v>688</v>
      </c>
      <c r="C7" s="15"/>
      <c r="D7" s="14"/>
      <c r="E7" s="14"/>
      <c r="F7" s="14"/>
      <c r="G7" s="14"/>
      <c r="H7" s="14"/>
      <c r="I7" s="14"/>
    </row>
    <row r="8" spans="2:9" ht="18" customHeight="1">
      <c r="B8" s="13" t="s">
        <v>2</v>
      </c>
      <c r="C8" s="2316" t="s">
        <v>1505</v>
      </c>
    </row>
    <row r="9" spans="2:9" ht="18" customHeight="1">
      <c r="B9" s="13" t="s">
        <v>1342</v>
      </c>
      <c r="C9" s="2316" t="s">
        <v>1565</v>
      </c>
    </row>
    <row r="10" spans="2:9" ht="18" customHeight="1">
      <c r="B10" s="13" t="s">
        <v>1253</v>
      </c>
      <c r="C10" s="2317">
        <v>3</v>
      </c>
    </row>
    <row r="11" spans="2:9" ht="18" customHeight="1">
      <c r="B11" s="13" t="s">
        <v>1341</v>
      </c>
      <c r="C11" s="2315">
        <f>+C13*C12</f>
        <v>786994.80012200004</v>
      </c>
    </row>
    <row r="12" spans="2:9" ht="18" customHeight="1">
      <c r="B12" s="13" t="s">
        <v>1340</v>
      </c>
      <c r="C12" s="2318">
        <v>102.127537</v>
      </c>
    </row>
    <row r="13" spans="2:9" ht="18" customHeight="1">
      <c r="B13" s="13" t="s">
        <v>1564</v>
      </c>
      <c r="C13" s="2315">
        <v>7706</v>
      </c>
    </row>
    <row r="14" spans="2:9" ht="18" customHeight="1">
      <c r="B14" s="13" t="s">
        <v>1339</v>
      </c>
      <c r="C14" s="2316" t="s">
        <v>1566</v>
      </c>
    </row>
    <row r="15" spans="2:9" ht="18" customHeight="1">
      <c r="B15" s="13" t="s">
        <v>1338</v>
      </c>
      <c r="C15" s="2316">
        <v>45322</v>
      </c>
    </row>
    <row r="16" spans="2:9" ht="18" customHeight="1">
      <c r="B16" s="13"/>
      <c r="C16" s="12"/>
    </row>
    <row r="17" spans="2:9" ht="5.15" customHeight="1"/>
    <row r="18" spans="2:9" ht="18" customHeight="1">
      <c r="B18" s="2313"/>
      <c r="C18" s="2313"/>
      <c r="D18" s="2313"/>
      <c r="E18" s="2313"/>
      <c r="F18" s="2313"/>
      <c r="G18" s="2313"/>
      <c r="H18" s="2313"/>
      <c r="I18" s="2313"/>
    </row>
    <row r="19" spans="2:9" ht="18" customHeight="1">
      <c r="B19" s="2313"/>
    </row>
    <row r="20" spans="2:9" ht="18" customHeight="1">
      <c r="B20" s="2314"/>
      <c r="C20" s="11"/>
    </row>
    <row r="21" spans="2:9" ht="18" customHeight="1">
      <c r="B21" s="2313"/>
    </row>
    <row r="22" spans="2:9" ht="18" customHeight="1">
      <c r="B22" s="2314"/>
    </row>
    <row r="23" spans="2:9" ht="18" customHeight="1">
      <c r="B23" s="10"/>
    </row>
    <row r="24" spans="2:9" ht="18" customHeight="1"/>
    <row r="25" spans="2:9" ht="18" customHeight="1"/>
    <row r="26" spans="2:9" ht="18" customHeight="1"/>
    <row r="27" spans="2:9" ht="18" customHeight="1"/>
    <row r="28" spans="2:9" ht="18" hidden="1" customHeight="1"/>
    <row r="29" spans="2:9" ht="18" hidden="1" customHeight="1"/>
    <row r="30" spans="2:9" ht="18" hidden="1" customHeight="1"/>
    <row r="31" spans="2:9" ht="18" hidden="1" customHeight="1"/>
    <row r="32" spans="2:9" ht="18" hidden="1" customHeight="1"/>
    <row r="33" ht="18" hidden="1" customHeight="1"/>
    <row r="34" ht="18" hidden="1" customHeight="1"/>
    <row r="35" ht="18" hidden="1" customHeight="1"/>
    <row r="36" ht="18" hidden="1" customHeight="1"/>
    <row r="37" ht="18" hidden="1" customHeight="1"/>
    <row r="38" ht="18" hidden="1" customHeight="1"/>
    <row r="39" ht="18" hidden="1" customHeight="1"/>
    <row r="40" ht="18" hidden="1" customHeight="1"/>
    <row r="41" ht="18" hidden="1" customHeight="1"/>
    <row r="42" ht="18" hidden="1" customHeight="1"/>
    <row r="43" ht="18" hidden="1" customHeight="1"/>
    <row r="44" ht="18" hidden="1" customHeight="1"/>
    <row r="45" ht="18" hidden="1" customHeight="1"/>
    <row r="46" ht="18" hidden="1" customHeight="1"/>
    <row r="47" ht="18" hidden="1" customHeight="1"/>
    <row r="48" ht="18" hidden="1" customHeight="1"/>
    <row r="49" ht="18" hidden="1" customHeight="1"/>
    <row r="50" ht="18" hidden="1" customHeight="1"/>
    <row r="51" ht="18" hidden="1" customHeight="1"/>
    <row r="52" ht="18" hidden="1" customHeight="1"/>
    <row r="53" ht="18" hidden="1" customHeight="1"/>
    <row r="54" ht="18" hidden="1" customHeight="1"/>
    <row r="55" ht="18" hidden="1" customHeight="1"/>
    <row r="56" ht="18" hidden="1" customHeight="1"/>
    <row r="57" ht="18" hidden="1" customHeight="1"/>
  </sheetData>
  <protectedRanges>
    <protectedRange password="EFD2" sqref="C20" name="Cover_1"/>
  </protectedRanges>
  <mergeCells count="1">
    <mergeCell ref="B6:I6"/>
  </mergeCells>
  <dataValidations disablePrompts="1" count="2">
    <dataValidation type="list" allowBlank="1" showInputMessage="1" showErrorMessage="1" sqref="C10" xr:uid="{D5559264-EF7B-476B-ADBC-661FDFD04B4A}">
      <formula1>"1, 2, 3"</formula1>
    </dataValidation>
    <dataValidation type="list" allowBlank="1" showInputMessage="1" showErrorMessage="1" sqref="C8" xr:uid="{EF0039FF-69E1-4AD4-A0C9-E2BFA48FB69B}">
      <formula1>"Buy, Sell, Neutral, Not Rated, Rating Suspended"</formula1>
    </dataValidation>
  </dataValidations>
  <pageMargins left="0.7" right="0.7" top="0.75" bottom="0.75" header="0.3" footer="0.3"/>
  <pageSetup paperSize="9" orientation="portrait" horizontalDpi="300" verticalDpi="300" r:id="rId1"/>
  <customProperties>
    <customPr name="Qube.Worksheet.ID" r:id="rId2"/>
    <customPr name="Qube.Worksheet.Visibility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pageSetUpPr fitToPage="1"/>
  </sheetPr>
  <dimension ref="A1:CF73"/>
  <sheetViews>
    <sheetView showGridLines="0" zoomScaleNormal="100" workbookViewId="0">
      <pane xSplit="14" ySplit="10" topLeftCell="S12" activePane="bottomRight" state="frozen"/>
      <selection pane="topRight" activeCell="O1" sqref="O1"/>
      <selection pane="bottomLeft" activeCell="A11" sqref="A11"/>
      <selection pane="bottomRight"/>
    </sheetView>
  </sheetViews>
  <sheetFormatPr defaultColWidth="9" defaultRowHeight="11.5" outlineLevelRow="1" outlineLevelCol="1"/>
  <cols>
    <col min="1" max="1" width="2.75" style="36" customWidth="1"/>
    <col min="2" max="2" width="14" style="36" customWidth="1"/>
    <col min="3" max="4" width="11.08203125" style="37" hidden="1" customWidth="1" outlineLevel="1"/>
    <col min="5" max="7" width="11.08203125" style="37" hidden="1" customWidth="1" outlineLevel="1" collapsed="1"/>
    <col min="8" max="8" width="0.75" style="37" hidden="1" customWidth="1" outlineLevel="1"/>
    <col min="9" max="9" width="11.08203125" style="37" hidden="1" customWidth="1" outlineLevel="1"/>
    <col min="10" max="10" width="0.75" style="37" hidden="1" customWidth="1" collapsed="1"/>
    <col min="11" max="11" width="11.08203125" style="37" hidden="1" customWidth="1" outlineLevel="1"/>
    <col min="12" max="12" width="11.08203125" style="37" hidden="1" customWidth="1" collapsed="1"/>
    <col min="13" max="14" width="11.08203125" style="37" hidden="1" customWidth="1"/>
    <col min="15" max="15" width="9" style="37" hidden="1" customWidth="1" outlineLevel="1"/>
    <col min="16" max="16" width="11.08203125" style="37" hidden="1" customWidth="1" outlineLevel="1"/>
    <col min="17" max="18" width="9.83203125" style="37" hidden="1" customWidth="1" outlineLevel="1"/>
    <col min="19" max="19" width="8.33203125" style="37" hidden="1" customWidth="1" collapsed="1"/>
    <col min="20" max="20" width="8.33203125" style="37" customWidth="1"/>
    <col min="21" max="24" width="8.08203125" style="37" customWidth="1" outlineLevel="1"/>
    <col min="25" max="25" width="9" style="37" customWidth="1"/>
    <col min="26" max="27" width="9.08203125" style="37" hidden="1" customWidth="1"/>
    <col min="28" max="29" width="9.08203125" style="37" hidden="1" customWidth="1" outlineLevel="1"/>
    <col min="30" max="30" width="1.08203125" style="37" customWidth="1" collapsed="1"/>
    <col min="31" max="31" width="8.58203125" style="37" customWidth="1"/>
    <col min="32" max="32" width="9.5" style="37" hidden="1" customWidth="1" outlineLevel="1"/>
    <col min="33" max="33" width="10.5" style="37" customWidth="1" collapsed="1"/>
    <col min="34" max="34" width="1.08203125" style="37" customWidth="1"/>
    <col min="35" max="35" width="10" style="37" customWidth="1"/>
    <col min="36" max="37" width="9.25" style="36" customWidth="1"/>
    <col min="38" max="38" width="23.83203125" style="36" customWidth="1"/>
    <col min="39" max="40" width="11.08203125" style="37" hidden="1" customWidth="1" outlineLevel="1"/>
    <col min="41" max="41" width="11.08203125" style="37" hidden="1" customWidth="1" outlineLevel="1" collapsed="1"/>
    <col min="42" max="42" width="11.08203125" style="37" hidden="1" customWidth="1" collapsed="1"/>
    <col min="43" max="48" width="11.08203125" style="37" hidden="1" customWidth="1"/>
    <col min="49" max="52" width="9.08203125" style="37" hidden="1" customWidth="1"/>
    <col min="53" max="53" width="8.5" style="37" hidden="1" customWidth="1"/>
    <col min="54" max="54" width="8.33203125" style="37" customWidth="1"/>
    <col min="55" max="58" width="8.25" style="37" customWidth="1" outlineLevel="1"/>
    <col min="59" max="59" width="8.25" style="37" customWidth="1"/>
    <col min="60" max="61" width="9.08203125" style="37" hidden="1" customWidth="1"/>
    <col min="62" max="63" width="9.08203125" style="37" hidden="1" customWidth="1" outlineLevel="1"/>
    <col min="64" max="64" width="1.25" style="37" customWidth="1" collapsed="1"/>
    <col min="65" max="65" width="8" style="37" customWidth="1"/>
    <col min="66" max="66" width="8.5" style="37" hidden="1" customWidth="1" outlineLevel="1"/>
    <col min="67" max="67" width="9.83203125" style="37" customWidth="1" collapsed="1"/>
    <col min="68" max="68" width="1.33203125" style="37" customWidth="1"/>
    <col min="69" max="69" width="10.25" style="37" customWidth="1"/>
    <col min="70" max="70" width="9" style="36"/>
    <col min="71" max="71" width="13" style="36" customWidth="1"/>
    <col min="72" max="72" width="2.5" style="36" customWidth="1"/>
    <col min="73" max="73" width="11.5" style="36" customWidth="1"/>
    <col min="74" max="75" width="9" style="36"/>
    <col min="76" max="79" width="9.83203125" style="2324" customWidth="1" outlineLevel="1"/>
    <col min="80" max="80" width="10.08203125" style="2324" customWidth="1"/>
    <col min="81" max="81" width="10" style="2324" customWidth="1"/>
    <col min="82" max="82" width="9.5" style="2324" customWidth="1"/>
    <col min="83" max="84" width="9.83203125" style="2324" customWidth="1" outlineLevel="1"/>
    <col min="85" max="16384" width="9" style="36"/>
  </cols>
  <sheetData>
    <row r="1" spans="1:84" s="23" customFormat="1">
      <c r="A1" s="21"/>
      <c r="B1" s="22"/>
      <c r="T1" s="24"/>
      <c r="U1" s="24"/>
      <c r="V1" s="24"/>
      <c r="W1" s="24"/>
      <c r="X1" s="24"/>
      <c r="Y1" s="24"/>
      <c r="Z1" s="24">
        <f t="shared" ref="Z1:AB1" si="0">(Z14-Z2)/Z2</f>
        <v>0.16575591985428051</v>
      </c>
      <c r="AA1" s="24">
        <f t="shared" si="0"/>
        <v>0.12991452991452992</v>
      </c>
      <c r="AB1" s="24">
        <f t="shared" si="0"/>
        <v>9.5008051529790666E-2</v>
      </c>
      <c r="AC1" s="24">
        <f t="shared" ref="AC1" si="1">(AC14-AC2)/AC2</f>
        <v>0.13043478260869565</v>
      </c>
      <c r="AL1" s="22"/>
      <c r="BX1" s="2319"/>
      <c r="BY1" s="2319"/>
      <c r="BZ1" s="2319"/>
      <c r="CA1" s="2319"/>
      <c r="CB1" s="2319"/>
      <c r="CC1" s="2319"/>
      <c r="CD1" s="2319"/>
      <c r="CE1" s="2319"/>
      <c r="CF1" s="2319"/>
    </row>
    <row r="2" spans="1:84" s="23" customFormat="1" ht="15.5">
      <c r="A2" s="5" t="s">
        <v>9</v>
      </c>
      <c r="B2" s="2" t="s">
        <v>8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7"/>
      <c r="O2" s="27"/>
      <c r="P2" s="27"/>
      <c r="Q2" s="26"/>
      <c r="R2" s="26"/>
      <c r="S2" s="26"/>
      <c r="T2" s="28"/>
      <c r="U2" s="28"/>
      <c r="V2" s="28"/>
      <c r="W2" s="28"/>
      <c r="X2" s="28"/>
      <c r="Y2" s="28"/>
      <c r="Z2" s="28">
        <v>54900</v>
      </c>
      <c r="AA2" s="28">
        <v>58500</v>
      </c>
      <c r="AB2" s="28">
        <v>62100</v>
      </c>
      <c r="AC2" s="28">
        <v>62100</v>
      </c>
      <c r="AD2" s="29"/>
      <c r="AE2" s="26"/>
      <c r="AF2" s="26"/>
      <c r="AG2" s="26"/>
      <c r="AH2" s="29"/>
      <c r="AI2" s="26"/>
      <c r="AJ2" s="29"/>
      <c r="AK2" s="29"/>
      <c r="AL2" s="5" t="s">
        <v>9</v>
      </c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9"/>
      <c r="BM2" s="26"/>
      <c r="BN2" s="26"/>
      <c r="BO2" s="26"/>
      <c r="BP2" s="29"/>
      <c r="BQ2" s="26"/>
      <c r="BX2" s="2320"/>
      <c r="BY2" s="2320"/>
      <c r="BZ2" s="2320"/>
      <c r="CA2" s="2320"/>
      <c r="CB2" s="2320"/>
      <c r="CC2" s="2320"/>
      <c r="CD2" s="2320"/>
      <c r="CE2" s="2320"/>
      <c r="CF2" s="2320"/>
    </row>
    <row r="3" spans="1:84" s="23" customFormat="1" ht="15.5">
      <c r="A3" s="5" t="s">
        <v>7</v>
      </c>
      <c r="B3" s="2" t="s">
        <v>6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29"/>
      <c r="AE3" s="26"/>
      <c r="AF3" s="26"/>
      <c r="AG3" s="26"/>
      <c r="AH3" s="29"/>
      <c r="AI3" s="26"/>
      <c r="AJ3" s="29"/>
      <c r="AK3" s="29"/>
      <c r="AL3" s="5" t="s">
        <v>7</v>
      </c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9"/>
      <c r="BM3" s="26"/>
      <c r="BN3" s="26"/>
      <c r="BO3" s="26"/>
      <c r="BP3" s="29"/>
      <c r="BQ3" s="26"/>
      <c r="BX3" s="2321"/>
      <c r="BY3" s="2321"/>
      <c r="BZ3" s="2321"/>
      <c r="CA3" s="2321"/>
      <c r="CB3" s="2321"/>
      <c r="CC3" s="2321"/>
      <c r="CD3" s="2321"/>
      <c r="CE3" s="2321"/>
      <c r="CF3" s="2321"/>
    </row>
    <row r="4" spans="1:84" s="1" customFormat="1">
      <c r="T4" s="31"/>
      <c r="U4" s="31"/>
      <c r="V4" s="31"/>
      <c r="W4" s="31"/>
      <c r="X4" s="31"/>
      <c r="Y4" s="31"/>
      <c r="Z4" s="31"/>
      <c r="AA4" s="31"/>
      <c r="AB4" s="31"/>
      <c r="AC4" s="31"/>
      <c r="BX4" s="2322"/>
      <c r="BY4" s="2322"/>
      <c r="BZ4" s="2322"/>
      <c r="CA4" s="2322"/>
      <c r="CB4" s="2322"/>
      <c r="CC4" s="2322"/>
      <c r="CD4" s="2322"/>
      <c r="CE4" s="2322"/>
      <c r="CF4" s="2322"/>
    </row>
    <row r="5" spans="1:84" s="1" customFormat="1">
      <c r="A5" s="32"/>
      <c r="B5" s="32"/>
      <c r="C5" s="33"/>
      <c r="D5" s="33"/>
      <c r="E5" s="27">
        <f>(E22-D22)/D22</f>
        <v>4.8685471653389122E-2</v>
      </c>
      <c r="F5" s="27">
        <f>(F22-E22)/E22</f>
        <v>4.7987813866640458E-2</v>
      </c>
      <c r="G5" s="27">
        <f>(G22-F22)/F22</f>
        <v>9.6926048875635329E-2</v>
      </c>
      <c r="H5" s="33"/>
      <c r="I5" s="27">
        <f>(I22-G22)/G22</f>
        <v>6.6732778224220773E-2</v>
      </c>
      <c r="J5" s="33"/>
      <c r="K5" s="27">
        <f>(K22-I22)/I22</f>
        <v>-5.9168135919217824E-2</v>
      </c>
      <c r="L5" s="27"/>
      <c r="M5" s="27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5"/>
      <c r="AE5" s="33"/>
      <c r="AF5" s="33"/>
      <c r="AG5" s="33"/>
      <c r="AH5" s="35"/>
      <c r="AI5" s="33" t="s">
        <v>1377</v>
      </c>
      <c r="AJ5" s="35"/>
      <c r="AK5" s="35"/>
      <c r="AL5" s="32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5"/>
      <c r="BM5" s="33"/>
      <c r="BN5" s="33"/>
      <c r="BO5" s="33"/>
      <c r="BP5" s="35"/>
      <c r="BQ5" s="33"/>
      <c r="BX5" s="2323"/>
      <c r="BY5" s="2323"/>
      <c r="BZ5" s="2323"/>
      <c r="CA5" s="2323"/>
      <c r="CB5" s="2323"/>
      <c r="CC5" s="2323"/>
      <c r="CD5" s="2323"/>
      <c r="CE5" s="2323"/>
      <c r="CF5" s="2323"/>
    </row>
    <row r="6" spans="1:84">
      <c r="B6" s="36" t="s">
        <v>692</v>
      </c>
      <c r="AL6" s="38" t="s">
        <v>691</v>
      </c>
    </row>
    <row r="7" spans="1:84"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G7" s="39" t="s">
        <v>690</v>
      </c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M7" s="40"/>
      <c r="BN7" s="40"/>
      <c r="BO7" s="40" t="s">
        <v>1303</v>
      </c>
      <c r="BQ7" s="40"/>
      <c r="BX7" s="2325"/>
      <c r="BY7" s="2325"/>
      <c r="BZ7" s="2325"/>
      <c r="CA7" s="2325"/>
      <c r="CB7" s="2325"/>
      <c r="CC7" s="2325"/>
      <c r="CD7" s="2325"/>
      <c r="CE7" s="2325"/>
      <c r="CF7" s="2325"/>
    </row>
    <row r="8" spans="1:84" ht="15" customHeight="1">
      <c r="B8" s="2293" t="s">
        <v>1508</v>
      </c>
      <c r="C8" s="2292"/>
      <c r="D8" s="2292"/>
      <c r="E8" s="2292"/>
      <c r="F8" s="2292"/>
      <c r="G8" s="2292"/>
      <c r="H8" s="41"/>
      <c r="I8" s="2292"/>
      <c r="J8" s="41"/>
      <c r="K8" s="2292"/>
      <c r="L8" s="2292"/>
      <c r="M8" s="2292"/>
      <c r="N8" s="2292"/>
      <c r="O8" s="2292"/>
      <c r="P8" s="2292"/>
      <c r="Q8" s="2292"/>
      <c r="R8" s="2292" t="s">
        <v>1357</v>
      </c>
      <c r="S8" s="2292"/>
      <c r="T8" s="2292"/>
      <c r="U8" s="2292"/>
      <c r="V8" s="2292"/>
      <c r="W8" s="2292"/>
      <c r="X8" s="2292" t="s">
        <v>687</v>
      </c>
      <c r="Y8" s="2292" t="s">
        <v>687</v>
      </c>
      <c r="Z8" s="2292" t="s">
        <v>687</v>
      </c>
      <c r="AA8" s="2292" t="s">
        <v>687</v>
      </c>
      <c r="AB8" s="2292" t="s">
        <v>687</v>
      </c>
      <c r="AC8" s="2292" t="s">
        <v>687</v>
      </c>
      <c r="AD8" s="41"/>
      <c r="AE8" s="2292" t="s">
        <v>686</v>
      </c>
      <c r="AF8" s="2292" t="s">
        <v>686</v>
      </c>
      <c r="AG8" s="2292" t="s">
        <v>1543</v>
      </c>
      <c r="AH8" s="41"/>
      <c r="AI8" s="2292" t="s">
        <v>689</v>
      </c>
      <c r="AL8" s="2293" t="s">
        <v>1508</v>
      </c>
      <c r="AM8" s="2292"/>
      <c r="AN8" s="2292"/>
      <c r="AO8" s="2292"/>
      <c r="AP8" s="2292"/>
      <c r="AQ8" s="2292"/>
      <c r="AR8" s="2292"/>
      <c r="AS8" s="2292"/>
      <c r="AT8" s="2292"/>
      <c r="AU8" s="2292"/>
      <c r="AV8" s="2292"/>
      <c r="AW8" s="2292"/>
      <c r="AX8" s="2292"/>
      <c r="AY8" s="2292"/>
      <c r="AZ8" s="2292" t="s">
        <v>1358</v>
      </c>
      <c r="BA8" s="2292"/>
      <c r="BB8" s="2292"/>
      <c r="BC8" s="2292"/>
      <c r="BD8" s="2292"/>
      <c r="BE8" s="2292"/>
      <c r="BF8" s="2292" t="s">
        <v>687</v>
      </c>
      <c r="BG8" s="2292" t="s">
        <v>687</v>
      </c>
      <c r="BH8" s="2292" t="s">
        <v>687</v>
      </c>
      <c r="BI8" s="2292" t="s">
        <v>687</v>
      </c>
      <c r="BJ8" s="2292" t="s">
        <v>687</v>
      </c>
      <c r="BK8" s="2292" t="s">
        <v>687</v>
      </c>
      <c r="BL8" s="41"/>
      <c r="BM8" s="2292" t="s">
        <v>686</v>
      </c>
      <c r="BN8" s="2292" t="s">
        <v>686</v>
      </c>
      <c r="BO8" s="2292" t="s">
        <v>1543</v>
      </c>
      <c r="BP8" s="41"/>
      <c r="BQ8" s="2292" t="s">
        <v>686</v>
      </c>
      <c r="BX8" s="2326"/>
      <c r="BY8" s="2326"/>
      <c r="BZ8" s="2326" t="s">
        <v>687</v>
      </c>
      <c r="CA8" s="2326" t="s">
        <v>687</v>
      </c>
      <c r="CB8" s="2326" t="s">
        <v>687</v>
      </c>
      <c r="CC8" s="2326" t="s">
        <v>687</v>
      </c>
      <c r="CD8" s="2326" t="s">
        <v>687</v>
      </c>
      <c r="CE8" s="2326" t="s">
        <v>687</v>
      </c>
      <c r="CF8" s="2326" t="s">
        <v>687</v>
      </c>
    </row>
    <row r="9" spans="1:84">
      <c r="B9" s="2294"/>
      <c r="C9" s="42" t="s">
        <v>685</v>
      </c>
      <c r="D9" s="42" t="s">
        <v>684</v>
      </c>
      <c r="E9" s="42" t="s">
        <v>683</v>
      </c>
      <c r="F9" s="42" t="s">
        <v>682</v>
      </c>
      <c r="G9" s="42" t="s">
        <v>681</v>
      </c>
      <c r="H9" s="42"/>
      <c r="I9" s="42" t="s">
        <v>678</v>
      </c>
      <c r="J9" s="42"/>
      <c r="K9" s="42" t="s">
        <v>680</v>
      </c>
      <c r="L9" s="42" t="s">
        <v>679</v>
      </c>
      <c r="M9" s="42" t="s">
        <v>1092</v>
      </c>
      <c r="N9" s="42" t="s">
        <v>1119</v>
      </c>
      <c r="O9" s="2295" t="s">
        <v>1222</v>
      </c>
      <c r="P9" s="2295" t="s">
        <v>1235</v>
      </c>
      <c r="Q9" s="2295" t="s">
        <v>1236</v>
      </c>
      <c r="R9" s="2295" t="s">
        <v>1236</v>
      </c>
      <c r="S9" s="2295" t="s">
        <v>1237</v>
      </c>
      <c r="T9" s="2295" t="s">
        <v>1268</v>
      </c>
      <c r="U9" s="2295"/>
      <c r="V9" s="2295"/>
      <c r="W9" s="2295"/>
      <c r="X9" s="2295"/>
      <c r="Y9" s="2295" t="s">
        <v>1348</v>
      </c>
      <c r="Z9" s="2295" t="s">
        <v>1349</v>
      </c>
      <c r="AA9" s="2295" t="s">
        <v>1350</v>
      </c>
      <c r="AB9" s="2295" t="s">
        <v>1427</v>
      </c>
      <c r="AC9" s="2295" t="s">
        <v>1449</v>
      </c>
      <c r="AD9" s="39"/>
      <c r="AE9" s="2295" t="s">
        <v>1348</v>
      </c>
      <c r="AF9" s="2295" t="s">
        <v>1348</v>
      </c>
      <c r="AG9" s="2295" t="s">
        <v>1349</v>
      </c>
      <c r="AH9" s="39"/>
      <c r="AI9" s="2295" t="s">
        <v>1347</v>
      </c>
      <c r="AJ9" s="43"/>
      <c r="AK9" s="43"/>
      <c r="AL9" s="2294"/>
      <c r="AM9" s="42" t="s">
        <v>677</v>
      </c>
      <c r="AN9" s="42" t="s">
        <v>676</v>
      </c>
      <c r="AO9" s="42" t="s">
        <v>675</v>
      </c>
      <c r="AP9" s="42" t="s">
        <v>674</v>
      </c>
      <c r="AQ9" s="42" t="s">
        <v>673</v>
      </c>
      <c r="AR9" s="42" t="s">
        <v>670</v>
      </c>
      <c r="AS9" s="42" t="s">
        <v>672</v>
      </c>
      <c r="AT9" s="42" t="s">
        <v>671</v>
      </c>
      <c r="AU9" s="42" t="s">
        <v>1093</v>
      </c>
      <c r="AV9" s="42" t="s">
        <v>1223</v>
      </c>
      <c r="AW9" s="42" t="s">
        <v>1224</v>
      </c>
      <c r="AX9" s="42" t="s">
        <v>1238</v>
      </c>
      <c r="AY9" s="42" t="s">
        <v>1239</v>
      </c>
      <c r="AZ9" s="2295" t="s">
        <v>1239</v>
      </c>
      <c r="BA9" s="2295" t="s">
        <v>1240</v>
      </c>
      <c r="BB9" s="2295" t="s">
        <v>1270</v>
      </c>
      <c r="BC9" s="2295"/>
      <c r="BD9" s="2295"/>
      <c r="BE9" s="2295"/>
      <c r="BF9" s="2295"/>
      <c r="BG9" s="2295" t="s">
        <v>1292</v>
      </c>
      <c r="BH9" s="2295" t="s">
        <v>1312</v>
      </c>
      <c r="BI9" s="2295" t="s">
        <v>1334</v>
      </c>
      <c r="BJ9" s="2295" t="s">
        <v>1376</v>
      </c>
      <c r="BK9" s="2295" t="s">
        <v>1450</v>
      </c>
      <c r="BL9" s="39"/>
      <c r="BM9" s="2295" t="s">
        <v>1451</v>
      </c>
      <c r="BN9" s="2295" t="s">
        <v>1451</v>
      </c>
      <c r="BO9" s="2295" t="s">
        <v>1312</v>
      </c>
      <c r="BP9" s="39"/>
      <c r="BQ9" s="2295" t="s">
        <v>1386</v>
      </c>
      <c r="BS9" s="44" t="s">
        <v>1430</v>
      </c>
      <c r="BT9" s="45"/>
      <c r="BU9" s="44" t="s">
        <v>1431</v>
      </c>
      <c r="BX9" s="2325"/>
      <c r="BY9" s="2325"/>
      <c r="BZ9" s="2325"/>
      <c r="CA9" s="2325"/>
      <c r="CB9" s="2325" t="s">
        <v>1451</v>
      </c>
      <c r="CC9" s="2325" t="s">
        <v>1312</v>
      </c>
      <c r="CD9" s="2325" t="s">
        <v>1334</v>
      </c>
      <c r="CE9" s="2325" t="s">
        <v>1376</v>
      </c>
      <c r="CF9" s="2325" t="s">
        <v>1450</v>
      </c>
    </row>
    <row r="10" spans="1:84">
      <c r="B10" s="2294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2295" t="s">
        <v>973</v>
      </c>
      <c r="P10" s="2295" t="s">
        <v>973</v>
      </c>
      <c r="Q10" s="2295" t="s">
        <v>973</v>
      </c>
      <c r="R10" s="2295" t="s">
        <v>973</v>
      </c>
      <c r="S10" s="2295" t="s">
        <v>973</v>
      </c>
      <c r="T10" s="2295" t="s">
        <v>973</v>
      </c>
      <c r="U10" s="2295" t="s">
        <v>1522</v>
      </c>
      <c r="V10" s="2295" t="s">
        <v>1523</v>
      </c>
      <c r="W10" s="2295" t="s">
        <v>1524</v>
      </c>
      <c r="X10" s="2295" t="s">
        <v>1525</v>
      </c>
      <c r="Y10" s="2295" t="s">
        <v>973</v>
      </c>
      <c r="Z10" s="2295" t="s">
        <v>973</v>
      </c>
      <c r="AA10" s="2295" t="s">
        <v>973</v>
      </c>
      <c r="AB10" s="2295" t="s">
        <v>973</v>
      </c>
      <c r="AC10" s="2295" t="s">
        <v>973</v>
      </c>
      <c r="AD10" s="41"/>
      <c r="AE10" s="2295" t="s">
        <v>973</v>
      </c>
      <c r="AF10" s="2295" t="s">
        <v>973</v>
      </c>
      <c r="AG10" s="2295" t="s">
        <v>973</v>
      </c>
      <c r="AH10" s="41"/>
      <c r="AI10" s="2295" t="s">
        <v>973</v>
      </c>
      <c r="AJ10" s="43"/>
      <c r="AK10" s="43"/>
      <c r="AL10" s="2294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2295" t="s">
        <v>973</v>
      </c>
      <c r="BA10" s="2295" t="s">
        <v>973</v>
      </c>
      <c r="BB10" s="2295" t="s">
        <v>973</v>
      </c>
      <c r="BC10" s="2295" t="s">
        <v>1522</v>
      </c>
      <c r="BD10" s="2295" t="s">
        <v>1523</v>
      </c>
      <c r="BE10" s="2295" t="s">
        <v>1524</v>
      </c>
      <c r="BF10" s="2295" t="s">
        <v>1525</v>
      </c>
      <c r="BG10" s="2295" t="s">
        <v>973</v>
      </c>
      <c r="BH10" s="2295" t="s">
        <v>973</v>
      </c>
      <c r="BI10" s="2295" t="s">
        <v>973</v>
      </c>
      <c r="BJ10" s="2295" t="s">
        <v>973</v>
      </c>
      <c r="BK10" s="2295" t="s">
        <v>973</v>
      </c>
      <c r="BL10" s="41"/>
      <c r="BM10" s="2295" t="s">
        <v>973</v>
      </c>
      <c r="BN10" s="2295" t="s">
        <v>973</v>
      </c>
      <c r="BO10" s="2295" t="s">
        <v>973</v>
      </c>
      <c r="BP10" s="41"/>
      <c r="BQ10" s="2295" t="s">
        <v>973</v>
      </c>
      <c r="BS10" s="44"/>
      <c r="BT10" s="45"/>
      <c r="BU10" s="44"/>
      <c r="BX10" s="2325" t="s">
        <v>1522</v>
      </c>
      <c r="BY10" s="2325" t="s">
        <v>1523</v>
      </c>
      <c r="BZ10" s="2325" t="s">
        <v>1524</v>
      </c>
      <c r="CA10" s="2325" t="s">
        <v>1525</v>
      </c>
      <c r="CB10" s="2325" t="s">
        <v>973</v>
      </c>
      <c r="CC10" s="2325" t="s">
        <v>973</v>
      </c>
      <c r="CD10" s="2325" t="s">
        <v>973</v>
      </c>
      <c r="CE10" s="2325" t="s">
        <v>973</v>
      </c>
      <c r="CF10" s="2325" t="s">
        <v>973</v>
      </c>
    </row>
    <row r="11" spans="1:84" hidden="1" outlineLevel="1">
      <c r="B11" s="2294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2295"/>
      <c r="P11" s="2295"/>
      <c r="Q11" s="2295"/>
      <c r="R11" s="2295"/>
      <c r="S11" s="2295"/>
      <c r="T11" s="2295"/>
      <c r="U11" s="2295"/>
      <c r="V11" s="2295"/>
      <c r="W11" s="2295"/>
      <c r="X11" s="2295"/>
      <c r="Y11" s="2295"/>
      <c r="Z11" s="2295"/>
      <c r="AA11" s="2295"/>
      <c r="AB11" s="2295"/>
      <c r="AC11" s="2295"/>
      <c r="AD11" s="41"/>
      <c r="AE11" s="2295" t="s">
        <v>1102</v>
      </c>
      <c r="AF11" s="2295" t="s">
        <v>1101</v>
      </c>
      <c r="AG11" s="2295"/>
      <c r="AH11" s="41"/>
      <c r="AI11" s="2295"/>
      <c r="AJ11" s="43"/>
      <c r="AK11" s="43"/>
      <c r="AL11" s="2294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2295"/>
      <c r="BA11" s="2295"/>
      <c r="BB11" s="2295"/>
      <c r="BC11" s="2295"/>
      <c r="BD11" s="2295"/>
      <c r="BE11" s="2295"/>
      <c r="BF11" s="2295"/>
      <c r="BG11" s="2295"/>
      <c r="BH11" s="2295"/>
      <c r="BI11" s="2295"/>
      <c r="BJ11" s="2295"/>
      <c r="BK11" s="2295"/>
      <c r="BL11" s="41"/>
      <c r="BM11" s="2295" t="s">
        <v>1102</v>
      </c>
      <c r="BN11" s="2295" t="s">
        <v>1101</v>
      </c>
      <c r="BO11" s="2295"/>
      <c r="BP11" s="41"/>
      <c r="BQ11" s="2295"/>
      <c r="BS11" s="44"/>
      <c r="BT11" s="45"/>
      <c r="BU11" s="44"/>
      <c r="BX11" s="2325"/>
      <c r="BY11" s="2325"/>
      <c r="BZ11" s="2325"/>
      <c r="CA11" s="2325"/>
      <c r="CB11" s="2325"/>
      <c r="CC11" s="2325"/>
      <c r="CD11" s="2325"/>
      <c r="CE11" s="2325"/>
      <c r="CF11" s="2325"/>
    </row>
    <row r="12" spans="1:84" collapsed="1">
      <c r="B12" s="46" t="s">
        <v>282</v>
      </c>
      <c r="C12" s="47">
        <f>+Model!Q14</f>
        <v>322063</v>
      </c>
      <c r="D12" s="47">
        <f>+Model!R14</f>
        <v>315337</v>
      </c>
      <c r="E12" s="47">
        <f>+Model!S14</f>
        <v>305911</v>
      </c>
      <c r="F12" s="47">
        <f>+Model!T14</f>
        <v>320988</v>
      </c>
      <c r="G12" s="47">
        <v>344527</v>
      </c>
      <c r="H12" s="47"/>
      <c r="I12" s="47">
        <f>+Model!V14</f>
        <v>372231</v>
      </c>
      <c r="J12" s="47"/>
      <c r="K12" s="47">
        <f>+Model!W14</f>
        <v>381259</v>
      </c>
      <c r="L12" s="47">
        <f>+Model!X14</f>
        <v>383276</v>
      </c>
      <c r="M12" s="47">
        <f>+Model!Y14</f>
        <v>382678</v>
      </c>
      <c r="N12" s="47">
        <f>+Model!Z14</f>
        <v>388797</v>
      </c>
      <c r="O12" s="47">
        <f>+Model!AA14</f>
        <v>401064</v>
      </c>
      <c r="P12" s="47">
        <f>+Model!AB14</f>
        <v>416031</v>
      </c>
      <c r="Q12" s="47">
        <f>+Model!AC14</f>
        <v>417511</v>
      </c>
      <c r="R12" s="47">
        <f>Quarterly!HZ5</f>
        <v>340841</v>
      </c>
      <c r="S12" s="47">
        <f>+Model!AD14</f>
        <v>361495</v>
      </c>
      <c r="T12" s="47">
        <f>+Model!AE14</f>
        <v>435786</v>
      </c>
      <c r="U12" s="47">
        <f>+Quarterly!JL5</f>
        <v>111181</v>
      </c>
      <c r="V12" s="47">
        <f>+Quarterly!JM5</f>
        <v>123709</v>
      </c>
      <c r="W12" s="47">
        <f>+Quarterly!JN5</f>
        <v>123509</v>
      </c>
      <c r="X12" s="47">
        <f>+Quarterly!JU5</f>
        <v>122101</v>
      </c>
      <c r="Y12" s="47">
        <f>+Model!AF14</f>
        <v>480500</v>
      </c>
      <c r="Z12" s="47">
        <f>+Model!AG14</f>
        <v>496100</v>
      </c>
      <c r="AA12" s="47">
        <f>+Model!AH14</f>
        <v>511000</v>
      </c>
      <c r="AB12" s="47">
        <f>+Model!AI14</f>
        <v>527300</v>
      </c>
      <c r="AC12" s="47">
        <f>+Model!AJ14</f>
        <v>542400</v>
      </c>
      <c r="AD12" s="47"/>
      <c r="AE12" s="47">
        <f>+Quarterly!KG5</f>
        <v>466000</v>
      </c>
      <c r="AF12" s="47">
        <f>+Quarterly!KH5</f>
        <v>466000</v>
      </c>
      <c r="AG12" s="47">
        <v>430000</v>
      </c>
      <c r="AH12" s="47"/>
      <c r="AI12" s="47">
        <f>+Quarterly!KM5</f>
        <v>443000</v>
      </c>
      <c r="AJ12" s="48"/>
      <c r="AK12" s="48"/>
      <c r="AL12" s="46" t="s">
        <v>5</v>
      </c>
      <c r="AM12" s="47">
        <f>+C12</f>
        <v>322063</v>
      </c>
      <c r="AN12" s="47">
        <f>+D12</f>
        <v>315337</v>
      </c>
      <c r="AO12" s="47">
        <f>+E12</f>
        <v>305911</v>
      </c>
      <c r="AP12" s="47">
        <f>+F12</f>
        <v>320988</v>
      </c>
      <c r="AQ12" s="47">
        <f>+G12</f>
        <v>344527</v>
      </c>
      <c r="AR12" s="47">
        <f t="shared" ref="AR12:AR17" si="2">+I12</f>
        <v>372231</v>
      </c>
      <c r="AS12" s="47">
        <f t="shared" ref="AS12:BB12" si="3">+K12</f>
        <v>381259</v>
      </c>
      <c r="AT12" s="47">
        <f t="shared" si="3"/>
        <v>383276</v>
      </c>
      <c r="AU12" s="47">
        <f t="shared" si="3"/>
        <v>382678</v>
      </c>
      <c r="AV12" s="47">
        <f t="shared" si="3"/>
        <v>388797</v>
      </c>
      <c r="AW12" s="47">
        <f t="shared" si="3"/>
        <v>401064</v>
      </c>
      <c r="AX12" s="47">
        <f t="shared" si="3"/>
        <v>416031</v>
      </c>
      <c r="AY12" s="47">
        <f t="shared" si="3"/>
        <v>417511</v>
      </c>
      <c r="AZ12" s="47">
        <f t="shared" si="3"/>
        <v>340841</v>
      </c>
      <c r="BA12" s="47">
        <f t="shared" si="3"/>
        <v>361495</v>
      </c>
      <c r="BB12" s="47">
        <f t="shared" si="3"/>
        <v>435786</v>
      </c>
      <c r="BC12" s="47">
        <f t="shared" ref="BC12:BC17" si="4">+U12</f>
        <v>111181</v>
      </c>
      <c r="BD12" s="47">
        <f t="shared" ref="BD12:BD17" si="5">+V12</f>
        <v>123709</v>
      </c>
      <c r="BE12" s="47">
        <f t="shared" ref="BE12:BE17" si="6">+W12</f>
        <v>123509</v>
      </c>
      <c r="BF12" s="47">
        <f t="shared" ref="BF12:BF17" si="7">+X12</f>
        <v>122101</v>
      </c>
      <c r="BG12" s="47">
        <f t="shared" ref="BG12:BK17" si="8">+Y12</f>
        <v>480500</v>
      </c>
      <c r="BH12" s="47">
        <f t="shared" si="8"/>
        <v>496100</v>
      </c>
      <c r="BI12" s="47">
        <f t="shared" si="8"/>
        <v>511000</v>
      </c>
      <c r="BJ12" s="47">
        <f t="shared" si="8"/>
        <v>527300</v>
      </c>
      <c r="BK12" s="47">
        <f t="shared" si="8"/>
        <v>542400</v>
      </c>
      <c r="BL12" s="49"/>
      <c r="BM12" s="47">
        <f t="shared" ref="BM12:BO15" si="9">+AE12</f>
        <v>466000</v>
      </c>
      <c r="BN12" s="47">
        <f t="shared" si="9"/>
        <v>466000</v>
      </c>
      <c r="BO12" s="47">
        <f t="shared" si="9"/>
        <v>430000</v>
      </c>
      <c r="BP12" s="49"/>
      <c r="BQ12" s="47">
        <f t="shared" ref="BQ12:BQ17" si="10">+AI12</f>
        <v>443000</v>
      </c>
      <c r="BS12" s="50">
        <f>+(BB12/AX12)^(1/3)-1</f>
        <v>1.5584024028711285E-2</v>
      </c>
      <c r="BT12" s="50"/>
      <c r="BU12" s="50">
        <f>+(BI12/BB12)^(1/3)-1</f>
        <v>5.4506372794055791E-2</v>
      </c>
      <c r="BX12" s="2327">
        <v>111181</v>
      </c>
      <c r="BY12" s="2327">
        <v>123709</v>
      </c>
      <c r="BZ12" s="2327">
        <v>130500</v>
      </c>
      <c r="CA12" s="2327">
        <v>125010</v>
      </c>
      <c r="CB12" s="2327">
        <v>490400</v>
      </c>
      <c r="CC12" s="2327">
        <v>506600</v>
      </c>
      <c r="CD12" s="2327">
        <v>522300</v>
      </c>
      <c r="CE12" s="2327">
        <v>539100</v>
      </c>
      <c r="CF12" s="2327">
        <v>554900</v>
      </c>
    </row>
    <row r="13" spans="1:84" ht="12">
      <c r="B13" s="2311" t="s">
        <v>1443</v>
      </c>
      <c r="C13" s="51"/>
      <c r="D13" s="52">
        <f>+D12/C12-1</f>
        <v>-2.0884112735707006E-2</v>
      </c>
      <c r="E13" s="52">
        <f>+E12/D12-1</f>
        <v>-2.9891830010433273E-2</v>
      </c>
      <c r="F13" s="52">
        <f>+F12/E12-1</f>
        <v>4.9285576523890873E-2</v>
      </c>
      <c r="G13" s="52">
        <f>+G12/F12-1</f>
        <v>7.3332959487582006E-2</v>
      </c>
      <c r="H13" s="51"/>
      <c r="I13" s="52">
        <f>+I12/G12-1</f>
        <v>8.0411694874422013E-2</v>
      </c>
      <c r="J13" s="51"/>
      <c r="K13" s="52">
        <f>+K12/I12-1</f>
        <v>2.4253756403953552E-2</v>
      </c>
      <c r="L13" s="52">
        <f t="shared" ref="L13:AC13" si="11">+L12/K12-1</f>
        <v>5.290366915928546E-3</v>
      </c>
      <c r="M13" s="52">
        <f t="shared" si="11"/>
        <v>-1.5602333566411275E-3</v>
      </c>
      <c r="N13" s="53">
        <f t="shared" si="11"/>
        <v>1.5989944548680635E-2</v>
      </c>
      <c r="O13" s="53">
        <f t="shared" si="11"/>
        <v>3.1551169376306865E-2</v>
      </c>
      <c r="P13" s="53">
        <f t="shared" si="11"/>
        <v>3.731823349889285E-2</v>
      </c>
      <c r="Q13" s="53">
        <f t="shared" si="11"/>
        <v>3.5574272109530902E-3</v>
      </c>
      <c r="R13" s="53"/>
      <c r="S13" s="53">
        <f>+S12/R12-1</f>
        <v>6.0597169941409623E-2</v>
      </c>
      <c r="T13" s="53">
        <f t="shared" si="11"/>
        <v>0.20551044966043786</v>
      </c>
      <c r="U13" s="53">
        <f>+Quarterly!JL6</f>
        <v>7.8097879313855811E-2</v>
      </c>
      <c r="V13" s="53">
        <f>+Quarterly!JM6</f>
        <v>0.1265423947984301</v>
      </c>
      <c r="W13" s="53">
        <f>+Quarterly!JN6</f>
        <v>9.9098537905012662E-2</v>
      </c>
      <c r="X13" s="53">
        <f>+Quarterly!JU6</f>
        <v>0.10525648801064524</v>
      </c>
      <c r="Y13" s="53">
        <f>+Y12/T12-1</f>
        <v>0.10260540724116884</v>
      </c>
      <c r="Z13" s="53">
        <f t="shared" si="11"/>
        <v>3.2466181061394428E-2</v>
      </c>
      <c r="AA13" s="53">
        <f t="shared" si="11"/>
        <v>3.0034267284821503E-2</v>
      </c>
      <c r="AB13" s="53">
        <f t="shared" si="11"/>
        <v>3.1898238747553709E-2</v>
      </c>
      <c r="AC13" s="53">
        <f t="shared" si="11"/>
        <v>2.8636449838801425E-2</v>
      </c>
      <c r="AD13" s="49"/>
      <c r="AE13" s="53">
        <f>AE12/T12-1</f>
        <v>6.9332195160009658E-2</v>
      </c>
      <c r="AF13" s="53">
        <f>AF12/T12-1</f>
        <v>6.9332195160009658E-2</v>
      </c>
      <c r="AG13" s="53">
        <f>+AG12/AF12-1</f>
        <v>-7.7253218884120178E-2</v>
      </c>
      <c r="AH13" s="49"/>
      <c r="AI13" s="53">
        <f>AI12/S12-1</f>
        <v>0.22546646564959394</v>
      </c>
      <c r="AJ13" s="54"/>
      <c r="AK13" s="54"/>
      <c r="AL13" s="2311" t="s">
        <v>1443</v>
      </c>
      <c r="AM13" s="51"/>
      <c r="AN13" s="52">
        <f t="shared" ref="AN13:AQ17" si="12">+D13</f>
        <v>-2.0884112735707006E-2</v>
      </c>
      <c r="AO13" s="52">
        <f t="shared" si="12"/>
        <v>-2.9891830010433273E-2</v>
      </c>
      <c r="AP13" s="52">
        <f t="shared" si="12"/>
        <v>4.9285576523890873E-2</v>
      </c>
      <c r="AQ13" s="52">
        <f t="shared" si="12"/>
        <v>7.3332959487582006E-2</v>
      </c>
      <c r="AR13" s="52">
        <f t="shared" si="2"/>
        <v>8.0411694874422013E-2</v>
      </c>
      <c r="AS13" s="52">
        <f t="shared" ref="AS13:AY17" si="13">+K13</f>
        <v>2.4253756403953552E-2</v>
      </c>
      <c r="AT13" s="52">
        <f t="shared" si="13"/>
        <v>5.290366915928546E-3</v>
      </c>
      <c r="AU13" s="52">
        <f t="shared" si="13"/>
        <v>-1.5602333566411275E-3</v>
      </c>
      <c r="AV13" s="52">
        <f t="shared" si="13"/>
        <v>1.5989944548680635E-2</v>
      </c>
      <c r="AW13" s="53">
        <f t="shared" si="13"/>
        <v>3.1551169376306865E-2</v>
      </c>
      <c r="AX13" s="53">
        <f t="shared" si="13"/>
        <v>3.731823349889285E-2</v>
      </c>
      <c r="AY13" s="53">
        <f t="shared" si="13"/>
        <v>3.5574272109530902E-3</v>
      </c>
      <c r="AZ13" s="53"/>
      <c r="BA13" s="53">
        <f t="shared" ref="BA13:BB17" si="14">+S13</f>
        <v>6.0597169941409623E-2</v>
      </c>
      <c r="BB13" s="53">
        <f t="shared" si="14"/>
        <v>0.20551044966043786</v>
      </c>
      <c r="BC13" s="53">
        <f t="shared" si="4"/>
        <v>7.8097879313855811E-2</v>
      </c>
      <c r="BD13" s="53">
        <f t="shared" si="5"/>
        <v>0.1265423947984301</v>
      </c>
      <c r="BE13" s="53">
        <f t="shared" si="6"/>
        <v>9.9098537905012662E-2</v>
      </c>
      <c r="BF13" s="53">
        <f t="shared" si="7"/>
        <v>0.10525648801064524</v>
      </c>
      <c r="BG13" s="53">
        <f t="shared" si="8"/>
        <v>0.10260540724116884</v>
      </c>
      <c r="BH13" s="53">
        <f t="shared" si="8"/>
        <v>3.2466181061394428E-2</v>
      </c>
      <c r="BI13" s="53">
        <f t="shared" si="8"/>
        <v>3.0034267284821503E-2</v>
      </c>
      <c r="BJ13" s="53">
        <f t="shared" si="8"/>
        <v>3.1898238747553709E-2</v>
      </c>
      <c r="BK13" s="53">
        <f t="shared" si="8"/>
        <v>2.8636449838801425E-2</v>
      </c>
      <c r="BL13" s="55"/>
      <c r="BM13" s="53">
        <f t="shared" si="9"/>
        <v>6.9332195160009658E-2</v>
      </c>
      <c r="BN13" s="53">
        <f t="shared" si="9"/>
        <v>6.9332195160009658E-2</v>
      </c>
      <c r="BO13" s="53">
        <f t="shared" si="9"/>
        <v>-7.7253218884120178E-2</v>
      </c>
      <c r="BP13" s="55"/>
      <c r="BQ13" s="53">
        <f t="shared" si="10"/>
        <v>0.22546646564959394</v>
      </c>
      <c r="BS13" s="56"/>
      <c r="BT13" s="56"/>
      <c r="BU13" s="56"/>
      <c r="BX13" s="2328">
        <v>7.8097879313855811E-2</v>
      </c>
      <c r="BY13" s="2328">
        <v>0.1265423947984301</v>
      </c>
      <c r="BZ13" s="2328">
        <v>0.16131099107436841</v>
      </c>
      <c r="CA13" s="2328">
        <v>0.13158871398441252</v>
      </c>
      <c r="CB13" s="2328">
        <v>0.12532297962761541</v>
      </c>
      <c r="CC13" s="2328">
        <v>3.3034257748776552E-2</v>
      </c>
      <c r="CD13" s="2328">
        <v>3.0990919857875943E-2</v>
      </c>
      <c r="CE13" s="2328">
        <v>3.2165422171166025E-2</v>
      </c>
      <c r="CF13" s="2328">
        <v>2.9308106102763798E-2</v>
      </c>
    </row>
    <row r="14" spans="1:84">
      <c r="B14" s="46" t="s">
        <v>190</v>
      </c>
      <c r="C14" s="47">
        <f>+Model!Q36</f>
        <v>24978</v>
      </c>
      <c r="D14" s="47">
        <f>+Model!R36</f>
        <v>31121</v>
      </c>
      <c r="E14" s="47">
        <f>+Model!S36</f>
        <v>25811</v>
      </c>
      <c r="F14" s="47">
        <f>+Model!T36</f>
        <v>25514</v>
      </c>
      <c r="G14" s="47">
        <v>29623</v>
      </c>
      <c r="H14" s="47"/>
      <c r="I14" s="47">
        <f>+Model!V36</f>
        <v>30595</v>
      </c>
      <c r="J14" s="47"/>
      <c r="K14" s="47">
        <f>+Model!W36</f>
        <v>25076</v>
      </c>
      <c r="L14" s="47">
        <f>+Model!X36</f>
        <v>28314</v>
      </c>
      <c r="M14" s="47">
        <f>+Model!Y36</f>
        <v>29487</v>
      </c>
      <c r="N14" s="47">
        <f>+Model!Z36</f>
        <v>26653</v>
      </c>
      <c r="O14" s="47">
        <f>+Model!AA36</f>
        <v>23662</v>
      </c>
      <c r="P14" s="47">
        <f>+Model!AB36</f>
        <v>28349</v>
      </c>
      <c r="Q14" s="47">
        <f>+Model!AC36</f>
        <v>36460</v>
      </c>
      <c r="R14" s="47">
        <f>Quarterly!HZ69</f>
        <v>36460</v>
      </c>
      <c r="S14" s="47">
        <f>+Model!AD36</f>
        <v>29738</v>
      </c>
      <c r="T14" s="47">
        <f>+Model!AE36</f>
        <v>40330</v>
      </c>
      <c r="U14" s="47">
        <f>+Quarterly!JL69</f>
        <v>13190</v>
      </c>
      <c r="V14" s="47">
        <f>+Quarterly!JM69</f>
        <v>16634</v>
      </c>
      <c r="W14" s="47">
        <f>+Quarterly!JN69</f>
        <v>18187</v>
      </c>
      <c r="X14" s="47">
        <f>+Quarterly!JU69</f>
        <v>11489</v>
      </c>
      <c r="Y14" s="47">
        <f>+Model!AF36</f>
        <v>59500</v>
      </c>
      <c r="Z14" s="47">
        <f>+Model!AG36</f>
        <v>64000</v>
      </c>
      <c r="AA14" s="47">
        <f>+Model!AH36</f>
        <v>66100</v>
      </c>
      <c r="AB14" s="47">
        <f>+Model!AI36</f>
        <v>68000</v>
      </c>
      <c r="AC14" s="47">
        <f>+Model!AJ36</f>
        <v>70200</v>
      </c>
      <c r="AD14" s="47"/>
      <c r="AE14" s="47">
        <f>+Quarterly!KG69</f>
        <v>52000</v>
      </c>
      <c r="AF14" s="47">
        <f>+Quarterly!KH69</f>
        <v>50000</v>
      </c>
      <c r="AG14" s="47">
        <v>42000</v>
      </c>
      <c r="AH14" s="47"/>
      <c r="AI14" s="47">
        <f>+Quarterly!KM69</f>
        <v>41000</v>
      </c>
      <c r="AJ14" s="48"/>
      <c r="AL14" s="46" t="s">
        <v>609</v>
      </c>
      <c r="AM14" s="57">
        <f>+C14</f>
        <v>24978</v>
      </c>
      <c r="AN14" s="57">
        <f t="shared" si="12"/>
        <v>31121</v>
      </c>
      <c r="AO14" s="57">
        <f t="shared" si="12"/>
        <v>25811</v>
      </c>
      <c r="AP14" s="57">
        <f t="shared" si="12"/>
        <v>25514</v>
      </c>
      <c r="AQ14" s="57">
        <f t="shared" si="12"/>
        <v>29623</v>
      </c>
      <c r="AR14" s="57">
        <f t="shared" si="2"/>
        <v>30595</v>
      </c>
      <c r="AS14" s="57">
        <f t="shared" si="13"/>
        <v>25076</v>
      </c>
      <c r="AT14" s="57">
        <f t="shared" si="13"/>
        <v>28314</v>
      </c>
      <c r="AU14" s="57">
        <f t="shared" si="13"/>
        <v>29487</v>
      </c>
      <c r="AV14" s="57">
        <f t="shared" si="13"/>
        <v>26653</v>
      </c>
      <c r="AW14" s="57">
        <f t="shared" si="13"/>
        <v>23662</v>
      </c>
      <c r="AX14" s="57">
        <f t="shared" si="13"/>
        <v>28349</v>
      </c>
      <c r="AY14" s="57">
        <f t="shared" si="13"/>
        <v>36460</v>
      </c>
      <c r="AZ14" s="57">
        <f>+R14</f>
        <v>36460</v>
      </c>
      <c r="BA14" s="57">
        <f t="shared" si="14"/>
        <v>29738</v>
      </c>
      <c r="BB14" s="57">
        <f t="shared" si="14"/>
        <v>40330</v>
      </c>
      <c r="BC14" s="57">
        <f t="shared" si="4"/>
        <v>13190</v>
      </c>
      <c r="BD14" s="57">
        <f t="shared" si="5"/>
        <v>16634</v>
      </c>
      <c r="BE14" s="57">
        <f t="shared" si="6"/>
        <v>18187</v>
      </c>
      <c r="BF14" s="57">
        <f t="shared" si="7"/>
        <v>11489</v>
      </c>
      <c r="BG14" s="57">
        <f t="shared" si="8"/>
        <v>59500</v>
      </c>
      <c r="BH14" s="57">
        <f t="shared" si="8"/>
        <v>64000</v>
      </c>
      <c r="BI14" s="57">
        <f t="shared" si="8"/>
        <v>66100</v>
      </c>
      <c r="BJ14" s="57">
        <f t="shared" si="8"/>
        <v>68000</v>
      </c>
      <c r="BK14" s="57">
        <f t="shared" si="8"/>
        <v>70200</v>
      </c>
      <c r="BL14" s="49"/>
      <c r="BM14" s="57">
        <f t="shared" si="9"/>
        <v>52000</v>
      </c>
      <c r="BN14" s="57">
        <f t="shared" si="9"/>
        <v>50000</v>
      </c>
      <c r="BO14" s="57">
        <f t="shared" si="9"/>
        <v>42000</v>
      </c>
      <c r="BP14" s="49"/>
      <c r="BQ14" s="57">
        <f t="shared" si="10"/>
        <v>41000</v>
      </c>
      <c r="BS14" s="50">
        <f>+(BB14/AX14)^(1/3)-1</f>
        <v>0.12468307429913961</v>
      </c>
      <c r="BT14" s="58"/>
      <c r="BU14" s="50">
        <f>+(BI14/BB14)^(1/3)-1</f>
        <v>0.17902879676118921</v>
      </c>
      <c r="BX14" s="2327">
        <v>13190</v>
      </c>
      <c r="BY14" s="2327">
        <v>16634</v>
      </c>
      <c r="BZ14" s="2327">
        <v>16750</v>
      </c>
      <c r="CA14" s="2327">
        <v>9226</v>
      </c>
      <c r="CB14" s="2327">
        <v>55800</v>
      </c>
      <c r="CC14" s="2327">
        <v>60200</v>
      </c>
      <c r="CD14" s="2327">
        <v>62300</v>
      </c>
      <c r="CE14" s="2327">
        <v>64200</v>
      </c>
      <c r="CF14" s="2327">
        <v>66400</v>
      </c>
    </row>
    <row r="15" spans="1:84" ht="12">
      <c r="B15" s="2311" t="s">
        <v>1443</v>
      </c>
      <c r="C15" s="59"/>
      <c r="D15" s="60">
        <f>+D14/C14-1</f>
        <v>0.24593642405316674</v>
      </c>
      <c r="E15" s="60">
        <f>+E14/D14-1</f>
        <v>-0.17062433726422677</v>
      </c>
      <c r="F15" s="60">
        <f>+F14/E14-1</f>
        <v>-1.1506721940258036E-2</v>
      </c>
      <c r="G15" s="52">
        <f>+G14/F14-1</f>
        <v>0.16104883593321317</v>
      </c>
      <c r="H15" s="51"/>
      <c r="I15" s="52">
        <f>+I14/G14-1</f>
        <v>3.2812341761469188E-2</v>
      </c>
      <c r="J15" s="51"/>
      <c r="K15" s="52">
        <f>+K14/I14-1</f>
        <v>-0.18038895244320963</v>
      </c>
      <c r="L15" s="53">
        <f t="shared" ref="L15:AC15" si="15">+L14/K14-1</f>
        <v>0.12912745254426539</v>
      </c>
      <c r="M15" s="53">
        <f t="shared" si="15"/>
        <v>4.1428268700995918E-2</v>
      </c>
      <c r="N15" s="53">
        <f t="shared" si="15"/>
        <v>-9.6110150235697134E-2</v>
      </c>
      <c r="O15" s="53">
        <f t="shared" si="15"/>
        <v>-0.1122200127565377</v>
      </c>
      <c r="P15" s="53">
        <f t="shared" si="15"/>
        <v>0.19808131180796207</v>
      </c>
      <c r="Q15" s="53">
        <f t="shared" si="15"/>
        <v>0.28611238491657565</v>
      </c>
      <c r="R15" s="53"/>
      <c r="S15" s="53">
        <f>+S14/R14-1</f>
        <v>-0.1843664289632474</v>
      </c>
      <c r="T15" s="53">
        <f t="shared" si="15"/>
        <v>0.35617728159257522</v>
      </c>
      <c r="U15" s="53">
        <f>+Quarterly!JL70</f>
        <v>0.2296075323948914</v>
      </c>
      <c r="V15" s="53">
        <f>+Quarterly!JM70</f>
        <v>1.0159980608411101</v>
      </c>
      <c r="W15" s="53">
        <f>+Quarterly!JN70</f>
        <v>0.4090803439993802</v>
      </c>
      <c r="X15" s="53">
        <f>+Quarterly!JU70</f>
        <v>0.36044997039668436</v>
      </c>
      <c r="Y15" s="53">
        <f>+Y14/T14-1</f>
        <v>0.47532853954872301</v>
      </c>
      <c r="Z15" s="53">
        <f t="shared" si="15"/>
        <v>7.5630252100840289E-2</v>
      </c>
      <c r="AA15" s="53">
        <f t="shared" si="15"/>
        <v>3.2812499999999911E-2</v>
      </c>
      <c r="AB15" s="53">
        <f t="shared" si="15"/>
        <v>2.8744326777609741E-2</v>
      </c>
      <c r="AC15" s="53">
        <f t="shared" si="15"/>
        <v>3.2352941176470695E-2</v>
      </c>
      <c r="AD15" s="55"/>
      <c r="AE15" s="53">
        <f>AE14/T14-1</f>
        <v>0.28936275725266558</v>
      </c>
      <c r="AF15" s="53">
        <f>AF14/T14-1</f>
        <v>0.2397718819737169</v>
      </c>
      <c r="AG15" s="53">
        <f>+AG14/AF14-1</f>
        <v>-0.16000000000000003</v>
      </c>
      <c r="AH15" s="55"/>
      <c r="AI15" s="53">
        <f>AI14/S14-1</f>
        <v>0.37870737776582142</v>
      </c>
      <c r="AJ15" s="61"/>
      <c r="AK15" s="61"/>
      <c r="AL15" s="2311" t="s">
        <v>1443</v>
      </c>
      <c r="AM15" s="62"/>
      <c r="AN15" s="63">
        <f t="shared" si="12"/>
        <v>0.24593642405316674</v>
      </c>
      <c r="AO15" s="63">
        <f t="shared" si="12"/>
        <v>-0.17062433726422677</v>
      </c>
      <c r="AP15" s="63">
        <f t="shared" si="12"/>
        <v>-1.1506721940258036E-2</v>
      </c>
      <c r="AQ15" s="63">
        <f t="shared" si="12"/>
        <v>0.16104883593321317</v>
      </c>
      <c r="AR15" s="63">
        <f t="shared" si="2"/>
        <v>3.2812341761469188E-2</v>
      </c>
      <c r="AS15" s="63">
        <f t="shared" si="13"/>
        <v>-0.18038895244320963</v>
      </c>
      <c r="AT15" s="63">
        <f t="shared" si="13"/>
        <v>0.12912745254426539</v>
      </c>
      <c r="AU15" s="63">
        <f t="shared" si="13"/>
        <v>4.1428268700995918E-2</v>
      </c>
      <c r="AV15" s="63">
        <f t="shared" si="13"/>
        <v>-9.6110150235697134E-2</v>
      </c>
      <c r="AW15" s="63">
        <f t="shared" si="13"/>
        <v>-0.1122200127565377</v>
      </c>
      <c r="AX15" s="63">
        <f t="shared" si="13"/>
        <v>0.19808131180796207</v>
      </c>
      <c r="AY15" s="63">
        <f t="shared" si="13"/>
        <v>0.28611238491657565</v>
      </c>
      <c r="AZ15" s="63"/>
      <c r="BA15" s="63">
        <f t="shared" si="14"/>
        <v>-0.1843664289632474</v>
      </c>
      <c r="BB15" s="63">
        <f t="shared" si="14"/>
        <v>0.35617728159257522</v>
      </c>
      <c r="BC15" s="63">
        <f t="shared" si="4"/>
        <v>0.2296075323948914</v>
      </c>
      <c r="BD15" s="63">
        <f t="shared" si="5"/>
        <v>1.0159980608411101</v>
      </c>
      <c r="BE15" s="63">
        <f t="shared" si="6"/>
        <v>0.4090803439993802</v>
      </c>
      <c r="BF15" s="63">
        <f t="shared" si="7"/>
        <v>0.36044997039668436</v>
      </c>
      <c r="BG15" s="63">
        <f t="shared" si="8"/>
        <v>0.47532853954872301</v>
      </c>
      <c r="BH15" s="63">
        <f t="shared" si="8"/>
        <v>7.5630252100840289E-2</v>
      </c>
      <c r="BI15" s="63">
        <f t="shared" si="8"/>
        <v>3.2812499999999911E-2</v>
      </c>
      <c r="BJ15" s="63">
        <f t="shared" si="8"/>
        <v>2.8744326777609741E-2</v>
      </c>
      <c r="BK15" s="63">
        <f t="shared" si="8"/>
        <v>3.2352941176470695E-2</v>
      </c>
      <c r="BL15" s="55"/>
      <c r="BM15" s="63">
        <f t="shared" si="9"/>
        <v>0.28936275725266558</v>
      </c>
      <c r="BN15" s="63">
        <f t="shared" si="9"/>
        <v>0.2397718819737169</v>
      </c>
      <c r="BO15" s="63">
        <f t="shared" si="9"/>
        <v>-0.16000000000000003</v>
      </c>
      <c r="BP15" s="55"/>
      <c r="BQ15" s="63">
        <f t="shared" si="10"/>
        <v>0.37870737776582142</v>
      </c>
      <c r="BS15" s="64"/>
      <c r="BT15" s="64"/>
      <c r="BU15" s="64"/>
      <c r="BX15" s="2328">
        <v>0.2296075323948914</v>
      </c>
      <c r="BY15" s="2328">
        <v>1.0159980608411101</v>
      </c>
      <c r="BZ15" s="2328">
        <v>0.29774540946773076</v>
      </c>
      <c r="CA15" s="2328">
        <v>9.2480757844878525E-2</v>
      </c>
      <c r="CB15" s="2328">
        <v>0.38358542028266807</v>
      </c>
      <c r="CC15" s="2328">
        <v>7.8853046594982157E-2</v>
      </c>
      <c r="CD15" s="2328">
        <v>3.488372093023262E-2</v>
      </c>
      <c r="CE15" s="2328">
        <v>3.0497592295345211E-2</v>
      </c>
      <c r="CF15" s="2328">
        <v>3.4267912772585563E-2</v>
      </c>
    </row>
    <row r="16" spans="1:84" hidden="1">
      <c r="B16" s="65" t="s">
        <v>233</v>
      </c>
      <c r="C16" s="59"/>
      <c r="D16" s="47">
        <f>+Model!R64</f>
        <v>32545</v>
      </c>
      <c r="E16" s="47">
        <f>+Model!S64</f>
        <v>27191</v>
      </c>
      <c r="F16" s="47">
        <f>+Model!T64</f>
        <v>26989</v>
      </c>
      <c r="G16" s="47">
        <v>31997</v>
      </c>
      <c r="H16" s="47"/>
      <c r="I16" s="47">
        <f>+Model!V64</f>
        <v>32243</v>
      </c>
      <c r="J16" s="47"/>
      <c r="K16" s="47">
        <f>+Model!W64</f>
        <v>26630</v>
      </c>
      <c r="L16" s="47">
        <f>+Model!X64</f>
        <v>29489</v>
      </c>
      <c r="M16" s="47">
        <f>+Model!Y64</f>
        <v>31147</v>
      </c>
      <c r="N16" s="47">
        <f>+Model!Z64</f>
        <v>28571</v>
      </c>
      <c r="O16" s="47">
        <f>+Model!AA64</f>
        <v>26169</v>
      </c>
      <c r="P16" s="47">
        <f>+Model!AB64</f>
        <v>31350</v>
      </c>
      <c r="Q16" s="47">
        <f>+Model!AC64</f>
        <v>38697</v>
      </c>
      <c r="R16" s="47">
        <f t="shared" ref="R16:R17" si="16">Q16</f>
        <v>38697</v>
      </c>
      <c r="S16" s="47">
        <f>+Model!AD64</f>
        <v>31834</v>
      </c>
      <c r="T16" s="47">
        <f>+Model!AE64</f>
        <v>43724</v>
      </c>
      <c r="U16" s="47"/>
      <c r="V16" s="47"/>
      <c r="W16" s="47"/>
      <c r="X16" s="47"/>
      <c r="Y16" s="47">
        <f>+Model!AF64</f>
        <v>64000</v>
      </c>
      <c r="Z16" s="47">
        <f>+Model!AG64</f>
        <v>68500</v>
      </c>
      <c r="AA16" s="47">
        <f>+Model!AH64</f>
        <v>70700</v>
      </c>
      <c r="AB16" s="47">
        <f>+Model!AI64</f>
        <v>72600</v>
      </c>
      <c r="AC16" s="47">
        <f>+Model!AJ64</f>
        <v>74900</v>
      </c>
      <c r="AD16" s="47"/>
      <c r="AE16" s="47">
        <f>Model!AL64</f>
        <v>57000</v>
      </c>
      <c r="AF16" s="47">
        <f>Model!AM64</f>
        <v>55000</v>
      </c>
      <c r="AG16" s="47" t="s">
        <v>518</v>
      </c>
      <c r="AH16" s="47"/>
      <c r="AI16" s="47">
        <f>Model!AO64</f>
        <v>44000</v>
      </c>
      <c r="AJ16" s="54"/>
      <c r="AK16" s="54"/>
      <c r="AL16" s="65" t="s">
        <v>603</v>
      </c>
      <c r="AM16" s="59"/>
      <c r="AN16" s="59">
        <f t="shared" si="12"/>
        <v>32545</v>
      </c>
      <c r="AO16" s="59">
        <f t="shared" si="12"/>
        <v>27191</v>
      </c>
      <c r="AP16" s="59">
        <f t="shared" si="12"/>
        <v>26989</v>
      </c>
      <c r="AQ16" s="59">
        <f t="shared" si="12"/>
        <v>31997</v>
      </c>
      <c r="AR16" s="59">
        <f t="shared" si="2"/>
        <v>32243</v>
      </c>
      <c r="AS16" s="59">
        <f t="shared" si="13"/>
        <v>26630</v>
      </c>
      <c r="AT16" s="59">
        <f t="shared" si="13"/>
        <v>29489</v>
      </c>
      <c r="AU16" s="59">
        <f t="shared" si="13"/>
        <v>31147</v>
      </c>
      <c r="AV16" s="59">
        <f t="shared" si="13"/>
        <v>28571</v>
      </c>
      <c r="AW16" s="59">
        <f t="shared" si="13"/>
        <v>26169</v>
      </c>
      <c r="AX16" s="59">
        <f t="shared" si="13"/>
        <v>31350</v>
      </c>
      <c r="AY16" s="59">
        <f t="shared" si="13"/>
        <v>38697</v>
      </c>
      <c r="AZ16" s="59">
        <f>+R16</f>
        <v>38697</v>
      </c>
      <c r="BA16" s="59">
        <f t="shared" si="14"/>
        <v>31834</v>
      </c>
      <c r="BB16" s="59">
        <f t="shared" si="14"/>
        <v>43724</v>
      </c>
      <c r="BC16" s="59"/>
      <c r="BD16" s="59"/>
      <c r="BE16" s="59"/>
      <c r="BF16" s="59"/>
      <c r="BG16" s="59">
        <f t="shared" si="8"/>
        <v>64000</v>
      </c>
      <c r="BH16" s="59">
        <f t="shared" si="8"/>
        <v>68500</v>
      </c>
      <c r="BI16" s="59">
        <f t="shared" si="8"/>
        <v>70700</v>
      </c>
      <c r="BJ16" s="59">
        <f t="shared" si="8"/>
        <v>72600</v>
      </c>
      <c r="BK16" s="59">
        <f t="shared" si="8"/>
        <v>74900</v>
      </c>
      <c r="BL16" s="49"/>
      <c r="BM16" s="59">
        <f>+AE16</f>
        <v>57000</v>
      </c>
      <c r="BN16" s="59">
        <f>+AF16</f>
        <v>55000</v>
      </c>
      <c r="BO16" s="59" t="s">
        <v>518</v>
      </c>
      <c r="BP16" s="49"/>
      <c r="BQ16" s="59">
        <f t="shared" si="10"/>
        <v>44000</v>
      </c>
      <c r="BS16" s="50">
        <f>+(BB16/AX16)^(1/3)-1</f>
        <v>0.11727679825472959</v>
      </c>
      <c r="BT16" s="64"/>
      <c r="BU16" s="64">
        <f t="shared" ref="BU16:BU17" si="17">+(BI16/BB16)^(1/3)-1</f>
        <v>0.17372541717871837</v>
      </c>
      <c r="BX16" s="2327"/>
      <c r="BY16" s="2327"/>
      <c r="BZ16" s="2327"/>
      <c r="CA16" s="2327"/>
      <c r="CB16" s="2327">
        <v>60300</v>
      </c>
      <c r="CC16" s="2327">
        <v>64700</v>
      </c>
      <c r="CD16" s="2327">
        <v>66900</v>
      </c>
      <c r="CE16" s="2327">
        <v>68800</v>
      </c>
      <c r="CF16" s="2327">
        <v>71100</v>
      </c>
    </row>
    <row r="17" spans="2:84">
      <c r="B17" s="66" t="s">
        <v>668</v>
      </c>
      <c r="C17" s="67"/>
      <c r="D17" s="47">
        <f>+Model!R76</f>
        <v>18506</v>
      </c>
      <c r="E17" s="47">
        <f>+Model!S76</f>
        <v>12415</v>
      </c>
      <c r="F17" s="47">
        <f>+Model!T76</f>
        <v>16119</v>
      </c>
      <c r="G17" s="47">
        <v>17280</v>
      </c>
      <c r="H17" s="47"/>
      <c r="I17" s="47">
        <f>+Model!V76</f>
        <v>22723</v>
      </c>
      <c r="J17" s="47"/>
      <c r="K17" s="47">
        <f>+Model!W76</f>
        <v>16901</v>
      </c>
      <c r="L17" s="47">
        <f>+Model!X76</f>
        <v>18363</v>
      </c>
      <c r="M17" s="47">
        <f>+Model!Y76</f>
        <v>20837</v>
      </c>
      <c r="N17" s="47">
        <f>+Model!Z76</f>
        <v>18431</v>
      </c>
      <c r="O17" s="47">
        <f>+Model!AA76</f>
        <v>18438</v>
      </c>
      <c r="P17" s="47">
        <f>+Model!AB76</f>
        <v>23379</v>
      </c>
      <c r="Q17" s="47">
        <f>+Model!AC76</f>
        <v>29070</v>
      </c>
      <c r="R17" s="47">
        <f t="shared" si="16"/>
        <v>29070</v>
      </c>
      <c r="S17" s="47">
        <f>+Model!AD76</f>
        <v>22414</v>
      </c>
      <c r="T17" s="47">
        <f>+Model!AE76</f>
        <v>33126</v>
      </c>
      <c r="U17" s="47">
        <f>+Quarterly!JL164</f>
        <v>11023</v>
      </c>
      <c r="V17" s="47">
        <f>+Quarterly!JM164</f>
        <v>14109</v>
      </c>
      <c r="W17" s="47">
        <f>+Quarterly!JN164</f>
        <v>14772</v>
      </c>
      <c r="X17" s="47">
        <f>+Quarterly!JU164</f>
        <v>8896</v>
      </c>
      <c r="Y17" s="47">
        <f>+Model!AF76</f>
        <v>48800</v>
      </c>
      <c r="Z17" s="47">
        <f>+Model!AG76</f>
        <v>52300</v>
      </c>
      <c r="AA17" s="47">
        <f>+Model!AH76</f>
        <v>54000</v>
      </c>
      <c r="AB17" s="47">
        <f>+Model!AI76</f>
        <v>55400</v>
      </c>
      <c r="AC17" s="47">
        <f>+Model!AJ76</f>
        <v>57200</v>
      </c>
      <c r="AD17" s="47"/>
      <c r="AE17" s="47">
        <f>Quarterly!KG164</f>
        <v>43000</v>
      </c>
      <c r="AF17" s="47">
        <f>Quarterly!KH164</f>
        <v>41500</v>
      </c>
      <c r="AG17" s="47" t="s">
        <v>518</v>
      </c>
      <c r="AH17" s="47"/>
      <c r="AI17" s="47">
        <f>Quarterly!KM164</f>
        <v>31000</v>
      </c>
      <c r="AJ17" s="54"/>
      <c r="AK17" s="54"/>
      <c r="AL17" s="66" t="s">
        <v>597</v>
      </c>
      <c r="AM17" s="67"/>
      <c r="AN17" s="67">
        <f t="shared" si="12"/>
        <v>18506</v>
      </c>
      <c r="AO17" s="67">
        <f t="shared" si="12"/>
        <v>12415</v>
      </c>
      <c r="AP17" s="67">
        <f t="shared" si="12"/>
        <v>16119</v>
      </c>
      <c r="AQ17" s="67">
        <f t="shared" si="12"/>
        <v>17280</v>
      </c>
      <c r="AR17" s="67">
        <f t="shared" si="2"/>
        <v>22723</v>
      </c>
      <c r="AS17" s="67">
        <f t="shared" si="13"/>
        <v>16901</v>
      </c>
      <c r="AT17" s="67">
        <f t="shared" si="13"/>
        <v>18363</v>
      </c>
      <c r="AU17" s="67">
        <f t="shared" si="13"/>
        <v>20837</v>
      </c>
      <c r="AV17" s="67">
        <f t="shared" si="13"/>
        <v>18431</v>
      </c>
      <c r="AW17" s="67">
        <f t="shared" si="13"/>
        <v>18438</v>
      </c>
      <c r="AX17" s="67">
        <f t="shared" si="13"/>
        <v>23379</v>
      </c>
      <c r="AY17" s="67">
        <f t="shared" si="13"/>
        <v>29070</v>
      </c>
      <c r="AZ17" s="67">
        <f>+R17</f>
        <v>29070</v>
      </c>
      <c r="BA17" s="67">
        <f t="shared" si="14"/>
        <v>22414</v>
      </c>
      <c r="BB17" s="67">
        <f t="shared" si="14"/>
        <v>33126</v>
      </c>
      <c r="BC17" s="67">
        <f t="shared" si="4"/>
        <v>11023</v>
      </c>
      <c r="BD17" s="67">
        <f t="shared" si="5"/>
        <v>14109</v>
      </c>
      <c r="BE17" s="67">
        <f t="shared" si="6"/>
        <v>14772</v>
      </c>
      <c r="BF17" s="67">
        <f t="shared" si="7"/>
        <v>8896</v>
      </c>
      <c r="BG17" s="67">
        <f t="shared" si="8"/>
        <v>48800</v>
      </c>
      <c r="BH17" s="67">
        <f t="shared" si="8"/>
        <v>52300</v>
      </c>
      <c r="BI17" s="67">
        <f t="shared" si="8"/>
        <v>54000</v>
      </c>
      <c r="BJ17" s="67">
        <f t="shared" si="8"/>
        <v>55400</v>
      </c>
      <c r="BK17" s="67">
        <f t="shared" si="8"/>
        <v>57200</v>
      </c>
      <c r="BL17" s="49"/>
      <c r="BM17" s="67">
        <f>+AE17</f>
        <v>43000</v>
      </c>
      <c r="BN17" s="67">
        <f>+AF17</f>
        <v>41500</v>
      </c>
      <c r="BO17" s="67" t="s">
        <v>518</v>
      </c>
      <c r="BP17" s="49"/>
      <c r="BQ17" s="67">
        <f t="shared" si="10"/>
        <v>31000</v>
      </c>
      <c r="BS17" s="50">
        <f>+(BB17/AX17)^(1/3)-1</f>
        <v>0.12317567404732199</v>
      </c>
      <c r="BT17" s="68"/>
      <c r="BU17" s="68">
        <f t="shared" si="17"/>
        <v>0.17690548645769755</v>
      </c>
      <c r="BX17" s="2327">
        <v>11023</v>
      </c>
      <c r="BY17" s="2327">
        <v>14109</v>
      </c>
      <c r="BZ17" s="2327">
        <v>14250</v>
      </c>
      <c r="CA17" s="2327">
        <v>6618</v>
      </c>
      <c r="CB17" s="2327">
        <v>46000</v>
      </c>
      <c r="CC17" s="2327">
        <v>49300</v>
      </c>
      <c r="CD17" s="2327">
        <v>51000</v>
      </c>
      <c r="CE17" s="2327">
        <v>52500</v>
      </c>
      <c r="CF17" s="2327">
        <v>54300</v>
      </c>
    </row>
    <row r="18" spans="2:84">
      <c r="B18" s="66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70"/>
      <c r="AK18" s="70"/>
      <c r="AL18" s="66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71"/>
      <c r="BM18" s="69"/>
      <c r="BN18" s="69"/>
      <c r="BO18" s="69"/>
      <c r="BP18" s="71"/>
      <c r="BQ18" s="69"/>
      <c r="BS18" s="72"/>
      <c r="BT18" s="72"/>
      <c r="BU18" s="72"/>
      <c r="BX18" s="2329"/>
      <c r="BY18" s="2329"/>
      <c r="BZ18" s="2329"/>
      <c r="CA18" s="2329"/>
      <c r="CB18" s="2329"/>
      <c r="CC18" s="2329"/>
      <c r="CD18" s="2329"/>
      <c r="CE18" s="2329"/>
      <c r="CF18" s="2329"/>
    </row>
    <row r="19" spans="2:84" s="77" customFormat="1">
      <c r="B19" s="76" t="s">
        <v>667</v>
      </c>
      <c r="C19" s="73"/>
      <c r="D19" s="74">
        <f>+D12</f>
        <v>315337</v>
      </c>
      <c r="E19" s="74">
        <f>+E12</f>
        <v>305911</v>
      </c>
      <c r="F19" s="74">
        <f>+F12</f>
        <v>320988</v>
      </c>
      <c r="G19" s="74">
        <f>+G12</f>
        <v>344527</v>
      </c>
      <c r="H19" s="74"/>
      <c r="I19" s="74">
        <f>+I12</f>
        <v>372231</v>
      </c>
      <c r="J19" s="74"/>
      <c r="K19" s="74">
        <f>+K12</f>
        <v>381259</v>
      </c>
      <c r="L19" s="74">
        <f>+L12</f>
        <v>383276</v>
      </c>
      <c r="M19" s="74">
        <f t="shared" ref="M19:AI19" si="18">+M12</f>
        <v>382678</v>
      </c>
      <c r="N19" s="74">
        <f t="shared" si="18"/>
        <v>388797</v>
      </c>
      <c r="O19" s="74">
        <f t="shared" si="18"/>
        <v>401064</v>
      </c>
      <c r="P19" s="74">
        <f t="shared" ref="P19:Q19" si="19">+P12</f>
        <v>416031</v>
      </c>
      <c r="Q19" s="74">
        <f t="shared" si="19"/>
        <v>417511</v>
      </c>
      <c r="R19" s="74">
        <f t="shared" ref="R19" si="20">+R12</f>
        <v>340841</v>
      </c>
      <c r="S19" s="74">
        <f t="shared" si="18"/>
        <v>361495</v>
      </c>
      <c r="T19" s="74">
        <f t="shared" ref="T19" si="21">+T12</f>
        <v>435786</v>
      </c>
      <c r="U19" s="74">
        <f>+U12</f>
        <v>111181</v>
      </c>
      <c r="V19" s="74">
        <f t="shared" ref="V19:X19" si="22">+V12</f>
        <v>123709</v>
      </c>
      <c r="W19" s="74">
        <f t="shared" ref="W19" si="23">+W12</f>
        <v>123509</v>
      </c>
      <c r="X19" s="74">
        <f t="shared" si="22"/>
        <v>122101</v>
      </c>
      <c r="Y19" s="74">
        <f t="shared" ref="Y19" si="24">+Y12</f>
        <v>480500</v>
      </c>
      <c r="Z19" s="74">
        <f t="shared" ref="Z19" si="25">+Z12</f>
        <v>496100</v>
      </c>
      <c r="AA19" s="74">
        <f t="shared" ref="AA19:AB19" si="26">+AA12</f>
        <v>511000</v>
      </c>
      <c r="AB19" s="74">
        <f t="shared" si="26"/>
        <v>527300</v>
      </c>
      <c r="AC19" s="74">
        <f t="shared" ref="AC19" si="27">+AC12</f>
        <v>542400</v>
      </c>
      <c r="AD19" s="74"/>
      <c r="AE19" s="74">
        <f t="shared" ref="AE19:AF19" si="28">+AE12</f>
        <v>466000</v>
      </c>
      <c r="AF19" s="74">
        <f t="shared" si="28"/>
        <v>466000</v>
      </c>
      <c r="AG19" s="74">
        <f>+AG12</f>
        <v>430000</v>
      </c>
      <c r="AH19" s="74"/>
      <c r="AI19" s="74">
        <f t="shared" si="18"/>
        <v>443000</v>
      </c>
      <c r="AJ19" s="2197"/>
      <c r="AK19" s="75"/>
      <c r="AL19" s="76" t="s">
        <v>666</v>
      </c>
      <c r="AM19" s="73"/>
      <c r="AN19" s="74">
        <f t="shared" ref="AN19:AN43" si="29">+D19</f>
        <v>315337</v>
      </c>
      <c r="AO19" s="74">
        <f t="shared" ref="AO19:AO43" si="30">+E19</f>
        <v>305911</v>
      </c>
      <c r="AP19" s="74">
        <f t="shared" ref="AP19:AP43" si="31">+F19</f>
        <v>320988</v>
      </c>
      <c r="AQ19" s="74">
        <f t="shared" ref="AQ19:AQ43" si="32">+G19</f>
        <v>344527</v>
      </c>
      <c r="AR19" s="74">
        <f t="shared" ref="AR19:AR43" si="33">+I19</f>
        <v>372231</v>
      </c>
      <c r="AS19" s="74">
        <f t="shared" ref="AS19:AS43" si="34">+K19</f>
        <v>381259</v>
      </c>
      <c r="AT19" s="74">
        <f t="shared" ref="AT19:AT43" si="35">+L19</f>
        <v>383276</v>
      </c>
      <c r="AU19" s="74">
        <f t="shared" ref="AU19:AU43" si="36">+M19</f>
        <v>382678</v>
      </c>
      <c r="AV19" s="74">
        <f t="shared" ref="AV19:AV43" si="37">+N19</f>
        <v>388797</v>
      </c>
      <c r="AW19" s="74">
        <f t="shared" ref="AW19:AW43" si="38">+O19</f>
        <v>401064</v>
      </c>
      <c r="AX19" s="74">
        <f t="shared" ref="AX19:AX43" si="39">+P19</f>
        <v>416031</v>
      </c>
      <c r="AY19" s="74">
        <f t="shared" ref="AY19:AY43" si="40">+Q19</f>
        <v>417511</v>
      </c>
      <c r="AZ19" s="74">
        <f t="shared" ref="AZ19:AZ43" si="41">+R19</f>
        <v>340841</v>
      </c>
      <c r="BA19" s="74">
        <f t="shared" ref="BA19:BA43" si="42">+S19</f>
        <v>361495</v>
      </c>
      <c r="BB19" s="74">
        <f t="shared" ref="BB19:BB43" si="43">+T19</f>
        <v>435786</v>
      </c>
      <c r="BC19" s="74">
        <f t="shared" ref="BC19:BC43" si="44">+U19</f>
        <v>111181</v>
      </c>
      <c r="BD19" s="74">
        <f t="shared" ref="BD19:BD43" si="45">+V19</f>
        <v>123709</v>
      </c>
      <c r="BE19" s="74">
        <f t="shared" ref="BE19:BE43" si="46">+W19</f>
        <v>123509</v>
      </c>
      <c r="BF19" s="74">
        <f t="shared" ref="BF19:BF43" si="47">+X19</f>
        <v>122101</v>
      </c>
      <c r="BG19" s="74">
        <f t="shared" ref="BG19:BG43" si="48">+Y19</f>
        <v>480500</v>
      </c>
      <c r="BH19" s="74">
        <f t="shared" ref="BH19:BH43" si="49">+Z19</f>
        <v>496100</v>
      </c>
      <c r="BI19" s="74">
        <f t="shared" ref="BI19:BI43" si="50">+AA19</f>
        <v>511000</v>
      </c>
      <c r="BJ19" s="74">
        <f t="shared" ref="BJ19:BJ43" si="51">+AB19</f>
        <v>527300</v>
      </c>
      <c r="BK19" s="74">
        <f t="shared" ref="BK19:BK43" si="52">+AC19</f>
        <v>542400</v>
      </c>
      <c r="BL19" s="74"/>
      <c r="BM19" s="74">
        <f t="shared" ref="BM19:BN43" si="53">+AE19</f>
        <v>466000</v>
      </c>
      <c r="BN19" s="74">
        <f t="shared" si="53"/>
        <v>466000</v>
      </c>
      <c r="BO19" s="74">
        <f t="shared" ref="BO19:BO43" si="54">+AG19</f>
        <v>430000</v>
      </c>
      <c r="BP19" s="74"/>
      <c r="BQ19" s="74">
        <f t="shared" ref="BQ19:BQ43" si="55">+AI19</f>
        <v>443000</v>
      </c>
      <c r="BS19" s="78">
        <f t="shared" ref="BS19:BS42" si="56">+(BB19/AX19)^(1/3)-1</f>
        <v>1.5584024028711285E-2</v>
      </c>
      <c r="BT19" s="78"/>
      <c r="BU19" s="78">
        <f t="shared" ref="BU19:BU42" si="57">+(BI19/BB19)^(1/3)-1</f>
        <v>5.4506372794055791E-2</v>
      </c>
      <c r="BX19" s="2330">
        <v>111181</v>
      </c>
      <c r="BY19" s="2330">
        <v>123709</v>
      </c>
      <c r="BZ19" s="2330">
        <v>130500</v>
      </c>
      <c r="CA19" s="2330">
        <v>125010</v>
      </c>
      <c r="CB19" s="2330">
        <v>490400</v>
      </c>
      <c r="CC19" s="2330">
        <v>506600</v>
      </c>
      <c r="CD19" s="2330">
        <v>522300</v>
      </c>
      <c r="CE19" s="2330">
        <v>539100</v>
      </c>
      <c r="CF19" s="2330">
        <v>554900</v>
      </c>
    </row>
    <row r="20" spans="2:84">
      <c r="B20" s="79" t="s">
        <v>643</v>
      </c>
      <c r="C20" s="74"/>
      <c r="D20" s="74">
        <f>+Driver!V71</f>
        <v>33376</v>
      </c>
      <c r="E20" s="74">
        <f>+Driver!W71</f>
        <v>33355</v>
      </c>
      <c r="F20" s="74">
        <f>+Driver!X71</f>
        <v>32555</v>
      </c>
      <c r="G20" s="74">
        <v>32361</v>
      </c>
      <c r="H20" s="74"/>
      <c r="I20" s="74">
        <f>Quarterly!CE8</f>
        <v>33455</v>
      </c>
      <c r="J20" s="74"/>
      <c r="K20" s="74">
        <f>Quarterly!CW8</f>
        <v>34514</v>
      </c>
      <c r="L20" s="74">
        <f>Quarterly!DK8</f>
        <v>33075</v>
      </c>
      <c r="M20" s="74">
        <f>Quarterly!EU8</f>
        <v>31413</v>
      </c>
      <c r="N20" s="74">
        <f>Quarterly!FK8</f>
        <v>32021</v>
      </c>
      <c r="O20" s="74">
        <f>Quarterly!GD8</f>
        <v>29998</v>
      </c>
      <c r="P20" s="74">
        <f>Quarterly!GV8</f>
        <v>29862</v>
      </c>
      <c r="Q20" s="74">
        <f>Quarterly!HV8</f>
        <v>25681</v>
      </c>
      <c r="R20" s="74">
        <f>Quarterly!HZ8</f>
        <v>24800</v>
      </c>
      <c r="S20" s="74">
        <f>Quarterly!IR8</f>
        <v>25000</v>
      </c>
      <c r="T20" s="74">
        <f>Quarterly!JD8</f>
        <v>28526</v>
      </c>
      <c r="U20" s="74">
        <f>+Quarterly!JL8</f>
        <v>7556</v>
      </c>
      <c r="V20" s="74">
        <f>+Quarterly!JK8</f>
        <v>7200</v>
      </c>
      <c r="W20" s="74">
        <f>+Quarterly!JL8</f>
        <v>7556</v>
      </c>
      <c r="X20" s="74">
        <f>+Quarterly!JU8</f>
        <v>7025</v>
      </c>
      <c r="Y20" s="74">
        <f>+Driver!AL71</f>
        <v>30000</v>
      </c>
      <c r="Z20" s="74">
        <f>+Driver!AM71</f>
        <v>31200</v>
      </c>
      <c r="AA20" s="74">
        <f>+Driver!AN71</f>
        <v>32400</v>
      </c>
      <c r="AB20" s="74">
        <f>+Driver!AO71</f>
        <v>33700</v>
      </c>
      <c r="AC20" s="74">
        <f>+Driver!AP71</f>
        <v>34900</v>
      </c>
      <c r="AD20" s="74"/>
      <c r="AE20" s="74">
        <f>Quarterly!KG8</f>
        <v>29800</v>
      </c>
      <c r="AF20" s="74">
        <f>Quarterly!KH8</f>
        <v>29800</v>
      </c>
      <c r="AG20" s="74">
        <v>29200</v>
      </c>
      <c r="AH20" s="74"/>
      <c r="AI20" s="74">
        <f>Quarterly!KM8</f>
        <v>28000</v>
      </c>
      <c r="AJ20" s="2197"/>
      <c r="AK20" s="80"/>
      <c r="AL20" s="79" t="s">
        <v>642</v>
      </c>
      <c r="AM20" s="74"/>
      <c r="AN20" s="74">
        <f t="shared" si="29"/>
        <v>33376</v>
      </c>
      <c r="AO20" s="74">
        <f t="shared" si="30"/>
        <v>33355</v>
      </c>
      <c r="AP20" s="74">
        <f t="shared" si="31"/>
        <v>32555</v>
      </c>
      <c r="AQ20" s="74">
        <f t="shared" si="32"/>
        <v>32361</v>
      </c>
      <c r="AR20" s="74">
        <f t="shared" si="33"/>
        <v>33455</v>
      </c>
      <c r="AS20" s="74">
        <f t="shared" si="34"/>
        <v>34514</v>
      </c>
      <c r="AT20" s="74">
        <f t="shared" si="35"/>
        <v>33075</v>
      </c>
      <c r="AU20" s="74">
        <f t="shared" si="36"/>
        <v>31413</v>
      </c>
      <c r="AV20" s="74">
        <f t="shared" si="37"/>
        <v>32021</v>
      </c>
      <c r="AW20" s="74">
        <f t="shared" si="38"/>
        <v>29998</v>
      </c>
      <c r="AX20" s="74">
        <f t="shared" si="39"/>
        <v>29862</v>
      </c>
      <c r="AY20" s="74">
        <f t="shared" si="40"/>
        <v>25681</v>
      </c>
      <c r="AZ20" s="74">
        <f t="shared" si="41"/>
        <v>24800</v>
      </c>
      <c r="BA20" s="74">
        <f t="shared" si="42"/>
        <v>25000</v>
      </c>
      <c r="BB20" s="74">
        <f t="shared" si="43"/>
        <v>28526</v>
      </c>
      <c r="BC20" s="74">
        <f t="shared" si="44"/>
        <v>7556</v>
      </c>
      <c r="BD20" s="74">
        <f t="shared" si="45"/>
        <v>7200</v>
      </c>
      <c r="BE20" s="74">
        <f t="shared" si="46"/>
        <v>7556</v>
      </c>
      <c r="BF20" s="74">
        <f t="shared" si="47"/>
        <v>7025</v>
      </c>
      <c r="BG20" s="74">
        <f t="shared" si="48"/>
        <v>30000</v>
      </c>
      <c r="BH20" s="74">
        <f t="shared" si="49"/>
        <v>31200</v>
      </c>
      <c r="BI20" s="74">
        <f t="shared" si="50"/>
        <v>32400</v>
      </c>
      <c r="BJ20" s="74">
        <f t="shared" si="51"/>
        <v>33700</v>
      </c>
      <c r="BK20" s="74">
        <f t="shared" si="52"/>
        <v>34900</v>
      </c>
      <c r="BL20" s="74"/>
      <c r="BM20" s="74">
        <f t="shared" si="53"/>
        <v>29800</v>
      </c>
      <c r="BN20" s="74">
        <f t="shared" si="53"/>
        <v>29800</v>
      </c>
      <c r="BO20" s="74">
        <f t="shared" si="54"/>
        <v>29200</v>
      </c>
      <c r="BP20" s="74"/>
      <c r="BQ20" s="74">
        <f t="shared" si="55"/>
        <v>28000</v>
      </c>
      <c r="BS20" s="78">
        <f t="shared" si="56"/>
        <v>-1.5141141560048532E-2</v>
      </c>
      <c r="BT20" s="78"/>
      <c r="BU20" s="78">
        <f t="shared" si="57"/>
        <v>4.3361268277464449E-2</v>
      </c>
      <c r="BX20" s="2330">
        <v>7556</v>
      </c>
      <c r="BY20" s="2330">
        <v>7200</v>
      </c>
      <c r="BZ20" s="2330">
        <v>7600</v>
      </c>
      <c r="CA20" s="2330">
        <v>6866</v>
      </c>
      <c r="CB20" s="2330">
        <v>29500</v>
      </c>
      <c r="CC20" s="2330">
        <v>30700</v>
      </c>
      <c r="CD20" s="2330">
        <v>31900</v>
      </c>
      <c r="CE20" s="2330">
        <v>33200</v>
      </c>
      <c r="CF20" s="2330">
        <v>34400</v>
      </c>
    </row>
    <row r="21" spans="2:84">
      <c r="B21" s="79" t="s">
        <v>641</v>
      </c>
      <c r="C21" s="74"/>
      <c r="D21" s="74">
        <f>+Driver!V74</f>
        <v>59225</v>
      </c>
      <c r="E21" s="74">
        <f>+Driver!W74</f>
        <v>50191</v>
      </c>
      <c r="F21" s="74">
        <f>+Driver!X74</f>
        <v>57559</v>
      </c>
      <c r="G21" s="74">
        <v>70650</v>
      </c>
      <c r="H21" s="74"/>
      <c r="I21" s="74">
        <f>Quarterly!CE10</f>
        <v>75422</v>
      </c>
      <c r="J21" s="74"/>
      <c r="K21" s="74">
        <f>Quarterly!CW10</f>
        <v>86045</v>
      </c>
      <c r="L21" s="74">
        <f>Quarterly!DK10</f>
        <v>77346</v>
      </c>
      <c r="M21" s="74">
        <f>Quarterly!EU10</f>
        <v>73035</v>
      </c>
      <c r="N21" s="74">
        <f>Quarterly!FK10</f>
        <v>73048</v>
      </c>
      <c r="O21" s="74">
        <f>Quarterly!GD10</f>
        <v>83786</v>
      </c>
      <c r="P21" s="74">
        <f>Quarterly!GV10</f>
        <v>88992</v>
      </c>
      <c r="Q21" s="74">
        <f>Quarterly!HV10</f>
        <v>94002</v>
      </c>
      <c r="R21" s="74">
        <f>Quarterly!HZ10</f>
        <v>94000</v>
      </c>
      <c r="S21" s="74">
        <f>Quarterly!IR10</f>
        <v>114200</v>
      </c>
      <c r="T21" s="74">
        <f>Quarterly!JD10</f>
        <v>178374</v>
      </c>
      <c r="U21" s="74">
        <f>+Quarterly!JL10</f>
        <v>47468</v>
      </c>
      <c r="V21" s="74">
        <f>+Quarterly!JM10</f>
        <v>58605</v>
      </c>
      <c r="W21" s="74">
        <f>+Quarterly!JN10</f>
        <v>47863</v>
      </c>
      <c r="X21" s="74">
        <f>+Quarterly!JU10</f>
        <v>58864</v>
      </c>
      <c r="Y21" s="74">
        <f>+Driver!AL74</f>
        <v>212800</v>
      </c>
      <c r="Z21" s="74">
        <f>+Driver!AM74</f>
        <v>223000</v>
      </c>
      <c r="AA21" s="74">
        <f>+Driver!AN74</f>
        <v>234900</v>
      </c>
      <c r="AB21" s="74">
        <f>+Driver!AO74</f>
        <v>247400</v>
      </c>
      <c r="AC21" s="74">
        <f>+Driver!AP74</f>
        <v>259300</v>
      </c>
      <c r="AD21" s="74"/>
      <c r="AE21" s="74">
        <f>Quarterly!KG10</f>
        <v>199500</v>
      </c>
      <c r="AF21" s="74">
        <f>Quarterly!KH10</f>
        <v>199500</v>
      </c>
      <c r="AG21" s="74">
        <v>159000</v>
      </c>
      <c r="AH21" s="74"/>
      <c r="AI21" s="74">
        <f>Quarterly!KM10</f>
        <v>184000</v>
      </c>
      <c r="AJ21" s="2197"/>
      <c r="AK21" s="80"/>
      <c r="AL21" s="79" t="s">
        <v>640</v>
      </c>
      <c r="AM21" s="74"/>
      <c r="AN21" s="74">
        <f t="shared" si="29"/>
        <v>59225</v>
      </c>
      <c r="AO21" s="74">
        <f t="shared" si="30"/>
        <v>50191</v>
      </c>
      <c r="AP21" s="74">
        <f t="shared" si="31"/>
        <v>57559</v>
      </c>
      <c r="AQ21" s="74">
        <f t="shared" si="32"/>
        <v>70650</v>
      </c>
      <c r="AR21" s="74">
        <f t="shared" si="33"/>
        <v>75422</v>
      </c>
      <c r="AS21" s="74">
        <f t="shared" si="34"/>
        <v>86045</v>
      </c>
      <c r="AT21" s="74">
        <f t="shared" si="35"/>
        <v>77346</v>
      </c>
      <c r="AU21" s="74">
        <f t="shared" si="36"/>
        <v>73035</v>
      </c>
      <c r="AV21" s="74">
        <f t="shared" si="37"/>
        <v>73048</v>
      </c>
      <c r="AW21" s="74">
        <f t="shared" si="38"/>
        <v>83786</v>
      </c>
      <c r="AX21" s="74">
        <f t="shared" si="39"/>
        <v>88992</v>
      </c>
      <c r="AY21" s="74">
        <f t="shared" si="40"/>
        <v>94002</v>
      </c>
      <c r="AZ21" s="74">
        <f t="shared" si="41"/>
        <v>94000</v>
      </c>
      <c r="BA21" s="74">
        <f t="shared" si="42"/>
        <v>114200</v>
      </c>
      <c r="BB21" s="74">
        <f t="shared" si="43"/>
        <v>178374</v>
      </c>
      <c r="BC21" s="74">
        <f t="shared" si="44"/>
        <v>47468</v>
      </c>
      <c r="BD21" s="74">
        <f t="shared" si="45"/>
        <v>58605</v>
      </c>
      <c r="BE21" s="74">
        <f t="shared" si="46"/>
        <v>47863</v>
      </c>
      <c r="BF21" s="74">
        <f t="shared" si="47"/>
        <v>58864</v>
      </c>
      <c r="BG21" s="74">
        <f t="shared" si="48"/>
        <v>212800</v>
      </c>
      <c r="BH21" s="74">
        <f t="shared" si="49"/>
        <v>223000</v>
      </c>
      <c r="BI21" s="74">
        <f t="shared" si="50"/>
        <v>234900</v>
      </c>
      <c r="BJ21" s="74">
        <f t="shared" si="51"/>
        <v>247400</v>
      </c>
      <c r="BK21" s="74">
        <f t="shared" si="52"/>
        <v>259300</v>
      </c>
      <c r="BL21" s="74"/>
      <c r="BM21" s="74">
        <f t="shared" si="53"/>
        <v>199500</v>
      </c>
      <c r="BN21" s="74">
        <f t="shared" si="53"/>
        <v>199500</v>
      </c>
      <c r="BO21" s="74">
        <f t="shared" si="54"/>
        <v>159000</v>
      </c>
      <c r="BP21" s="74"/>
      <c r="BQ21" s="74">
        <f t="shared" si="55"/>
        <v>184000</v>
      </c>
      <c r="BS21" s="78">
        <f t="shared" si="56"/>
        <v>0.26084062833695754</v>
      </c>
      <c r="BT21" s="78"/>
      <c r="BU21" s="78">
        <f t="shared" si="57"/>
        <v>9.6100784198354994E-2</v>
      </c>
      <c r="BX21" s="2330">
        <v>47468</v>
      </c>
      <c r="BY21" s="2330">
        <v>58605</v>
      </c>
      <c r="BZ21" s="2330">
        <v>56700</v>
      </c>
      <c r="CA21" s="2330">
        <v>61427</v>
      </c>
      <c r="CB21" s="2330">
        <v>224200</v>
      </c>
      <c r="CC21" s="2330">
        <v>234900</v>
      </c>
      <c r="CD21" s="2330">
        <v>247400</v>
      </c>
      <c r="CE21" s="2330">
        <v>260600</v>
      </c>
      <c r="CF21" s="2330">
        <v>273200</v>
      </c>
    </row>
    <row r="22" spans="2:84">
      <c r="B22" s="79" t="s">
        <v>639</v>
      </c>
      <c r="C22" s="74"/>
      <c r="D22" s="74">
        <f>+Driver!V77</f>
        <v>97031</v>
      </c>
      <c r="E22" s="74">
        <f>+Driver!W77</f>
        <v>101755</v>
      </c>
      <c r="F22" s="74">
        <f>+Driver!X77</f>
        <v>106638</v>
      </c>
      <c r="G22" s="74">
        <v>116974</v>
      </c>
      <c r="H22" s="74"/>
      <c r="I22" s="74">
        <f>Quarterly!CE27</f>
        <v>124780</v>
      </c>
      <c r="J22" s="74"/>
      <c r="K22" s="74">
        <f>Quarterly!CW27</f>
        <v>117397</v>
      </c>
      <c r="L22" s="74">
        <f>Quarterly!DK27</f>
        <v>123873</v>
      </c>
      <c r="M22" s="74">
        <f>Quarterly!EU27</f>
        <v>126069</v>
      </c>
      <c r="N22" s="74">
        <f>Quarterly!FK27</f>
        <v>129008</v>
      </c>
      <c r="O22" s="74">
        <f>Quarterly!GD27</f>
        <v>127570</v>
      </c>
      <c r="P22" s="74">
        <f>Quarterly!GV27</f>
        <v>133302</v>
      </c>
      <c r="Q22" s="74">
        <f>Quarterly!HV27</f>
        <v>133426</v>
      </c>
      <c r="R22" s="74">
        <f>Quarterly!HZ27</f>
        <v>95800</v>
      </c>
      <c r="S22" s="74">
        <f>Quarterly!IR27</f>
        <v>95500</v>
      </c>
      <c r="T22" s="74">
        <f>Quarterly!JD27</f>
        <v>97635</v>
      </c>
      <c r="U22" s="74">
        <f>+Quarterly!JL27</f>
        <v>21989</v>
      </c>
      <c r="V22" s="74">
        <f>+Quarterly!JM27</f>
        <v>21743</v>
      </c>
      <c r="W22" s="74">
        <f>+Quarterly!JN27</f>
        <v>32538</v>
      </c>
      <c r="X22" s="74">
        <f>+Quarterly!JU27</f>
        <v>24130</v>
      </c>
      <c r="Y22" s="74">
        <f>+Driver!AL77</f>
        <v>100400</v>
      </c>
      <c r="Z22" s="74">
        <f>+Driver!AM77</f>
        <v>101400</v>
      </c>
      <c r="AA22" s="74">
        <f>+Driver!AN77</f>
        <v>101000</v>
      </c>
      <c r="AB22" s="74">
        <f>+Driver!AO77</f>
        <v>101500</v>
      </c>
      <c r="AC22" s="74">
        <f>+Driver!AP77</f>
        <v>101600</v>
      </c>
      <c r="AD22" s="74"/>
      <c r="AE22" s="74">
        <f>Quarterly!KG27</f>
        <v>100000</v>
      </c>
      <c r="AF22" s="74">
        <f>Quarterly!KH27</f>
        <v>100000</v>
      </c>
      <c r="AG22" s="74">
        <v>104800</v>
      </c>
      <c r="AH22" s="74"/>
      <c r="AI22" s="74">
        <f>Quarterly!KM27</f>
        <v>100000</v>
      </c>
      <c r="AJ22" s="2197"/>
      <c r="AK22" s="80"/>
      <c r="AL22" s="79" t="s">
        <v>638</v>
      </c>
      <c r="AM22" s="74"/>
      <c r="AN22" s="74">
        <f t="shared" si="29"/>
        <v>97031</v>
      </c>
      <c r="AO22" s="74">
        <f t="shared" si="30"/>
        <v>101755</v>
      </c>
      <c r="AP22" s="74">
        <f t="shared" si="31"/>
        <v>106638</v>
      </c>
      <c r="AQ22" s="74">
        <f t="shared" si="32"/>
        <v>116974</v>
      </c>
      <c r="AR22" s="74">
        <f t="shared" si="33"/>
        <v>124780</v>
      </c>
      <c r="AS22" s="74">
        <f t="shared" si="34"/>
        <v>117397</v>
      </c>
      <c r="AT22" s="74">
        <f t="shared" si="35"/>
        <v>123873</v>
      </c>
      <c r="AU22" s="74">
        <f t="shared" si="36"/>
        <v>126069</v>
      </c>
      <c r="AV22" s="74">
        <f t="shared" si="37"/>
        <v>129008</v>
      </c>
      <c r="AW22" s="74">
        <f t="shared" si="38"/>
        <v>127570</v>
      </c>
      <c r="AX22" s="74">
        <f t="shared" si="39"/>
        <v>133302</v>
      </c>
      <c r="AY22" s="74">
        <f t="shared" si="40"/>
        <v>133426</v>
      </c>
      <c r="AZ22" s="74">
        <f t="shared" si="41"/>
        <v>95800</v>
      </c>
      <c r="BA22" s="74">
        <f t="shared" si="42"/>
        <v>95500</v>
      </c>
      <c r="BB22" s="74">
        <f t="shared" si="43"/>
        <v>97635</v>
      </c>
      <c r="BC22" s="74">
        <f t="shared" si="44"/>
        <v>21989</v>
      </c>
      <c r="BD22" s="74">
        <f t="shared" si="45"/>
        <v>21743</v>
      </c>
      <c r="BE22" s="74">
        <f t="shared" si="46"/>
        <v>32538</v>
      </c>
      <c r="BF22" s="74">
        <f t="shared" si="47"/>
        <v>24130</v>
      </c>
      <c r="BG22" s="74">
        <f t="shared" si="48"/>
        <v>100400</v>
      </c>
      <c r="BH22" s="74">
        <f t="shared" si="49"/>
        <v>101400</v>
      </c>
      <c r="BI22" s="74">
        <f t="shared" si="50"/>
        <v>101000</v>
      </c>
      <c r="BJ22" s="74">
        <f t="shared" si="51"/>
        <v>101500</v>
      </c>
      <c r="BK22" s="74">
        <f t="shared" si="52"/>
        <v>101600</v>
      </c>
      <c r="BL22" s="74"/>
      <c r="BM22" s="74">
        <f t="shared" si="53"/>
        <v>100000</v>
      </c>
      <c r="BN22" s="74">
        <f t="shared" si="53"/>
        <v>100000</v>
      </c>
      <c r="BO22" s="74">
        <f t="shared" si="54"/>
        <v>104800</v>
      </c>
      <c r="BP22" s="74"/>
      <c r="BQ22" s="74">
        <f t="shared" si="55"/>
        <v>100000</v>
      </c>
      <c r="BS22" s="78">
        <f t="shared" si="56"/>
        <v>-9.8588789204609451E-2</v>
      </c>
      <c r="BT22" s="78"/>
      <c r="BU22" s="78">
        <f t="shared" si="57"/>
        <v>1.1358854441013033E-2</v>
      </c>
      <c r="BX22" s="2330">
        <v>21989</v>
      </c>
      <c r="BY22" s="2330">
        <v>21743</v>
      </c>
      <c r="BZ22" s="2330">
        <v>31600</v>
      </c>
      <c r="CA22" s="2330">
        <v>24768</v>
      </c>
      <c r="CB22" s="2330">
        <v>100100</v>
      </c>
      <c r="CC22" s="2330">
        <v>101100</v>
      </c>
      <c r="CD22" s="2330">
        <v>100800</v>
      </c>
      <c r="CE22" s="2330">
        <v>101200</v>
      </c>
      <c r="CF22" s="2330">
        <v>101300</v>
      </c>
    </row>
    <row r="23" spans="2:84" hidden="1" outlineLevel="1">
      <c r="B23" s="79" t="s">
        <v>665</v>
      </c>
      <c r="C23" s="74"/>
      <c r="D23" s="74" t="str">
        <f>+Driver!V79</f>
        <v>-</v>
      </c>
      <c r="E23" s="74">
        <f>+Driver!W79</f>
        <v>16608</v>
      </c>
      <c r="F23" s="74">
        <f>+Driver!X79</f>
        <v>19825</v>
      </c>
      <c r="G23" s="81">
        <v>31000</v>
      </c>
      <c r="H23" s="74"/>
      <c r="I23" s="74">
        <f>+Driver!Z79</f>
        <v>35700</v>
      </c>
      <c r="J23" s="74"/>
      <c r="K23" s="74">
        <f>+Driver!AB79</f>
        <v>23100</v>
      </c>
      <c r="L23" s="74">
        <v>25900</v>
      </c>
      <c r="M23" s="74">
        <v>25900</v>
      </c>
      <c r="N23" s="74">
        <v>25900</v>
      </c>
      <c r="O23" s="74">
        <v>25900</v>
      </c>
      <c r="P23" s="74">
        <v>25900</v>
      </c>
      <c r="Q23" s="74">
        <v>25900</v>
      </c>
      <c r="R23" s="74">
        <v>25900</v>
      </c>
      <c r="S23" s="74">
        <v>25900</v>
      </c>
      <c r="T23" s="74">
        <v>25900</v>
      </c>
      <c r="U23" s="74"/>
      <c r="V23" s="74"/>
      <c r="W23" s="74"/>
      <c r="X23" s="74"/>
      <c r="Y23" s="74">
        <f>+Driver!AL79</f>
        <v>16380</v>
      </c>
      <c r="Z23" s="74">
        <f>+Driver!AM79</f>
        <v>16530</v>
      </c>
      <c r="AA23" s="74">
        <f>+Driver!AN79</f>
        <v>16570</v>
      </c>
      <c r="AB23" s="74">
        <f>+Driver!AO79</f>
        <v>16620</v>
      </c>
      <c r="AC23" s="74">
        <f>+Driver!AP79</f>
        <v>16680</v>
      </c>
      <c r="AD23" s="74"/>
      <c r="AE23" s="74">
        <v>25900</v>
      </c>
      <c r="AF23" s="74">
        <v>25900</v>
      </c>
      <c r="AG23" s="74">
        <v>25900</v>
      </c>
      <c r="AH23" s="74"/>
      <c r="AI23" s="74">
        <v>25900</v>
      </c>
      <c r="AJ23" s="2197"/>
      <c r="AK23" s="79"/>
      <c r="AL23" s="79" t="s">
        <v>664</v>
      </c>
      <c r="AM23" s="74"/>
      <c r="AN23" s="74" t="str">
        <f t="shared" si="29"/>
        <v>-</v>
      </c>
      <c r="AO23" s="74">
        <f t="shared" si="30"/>
        <v>16608</v>
      </c>
      <c r="AP23" s="74">
        <f t="shared" si="31"/>
        <v>19825</v>
      </c>
      <c r="AQ23" s="74">
        <f t="shared" si="32"/>
        <v>31000</v>
      </c>
      <c r="AR23" s="74">
        <f t="shared" si="33"/>
        <v>35700</v>
      </c>
      <c r="AS23" s="74">
        <f t="shared" si="34"/>
        <v>23100</v>
      </c>
      <c r="AT23" s="74">
        <f t="shared" si="35"/>
        <v>25900</v>
      </c>
      <c r="AU23" s="74">
        <f t="shared" si="36"/>
        <v>25900</v>
      </c>
      <c r="AV23" s="74">
        <f t="shared" si="37"/>
        <v>25900</v>
      </c>
      <c r="AW23" s="74">
        <f t="shared" si="38"/>
        <v>25900</v>
      </c>
      <c r="AX23" s="74">
        <f t="shared" si="39"/>
        <v>25900</v>
      </c>
      <c r="AY23" s="74">
        <f t="shared" si="40"/>
        <v>25900</v>
      </c>
      <c r="AZ23" s="74">
        <f t="shared" si="41"/>
        <v>25900</v>
      </c>
      <c r="BA23" s="74">
        <f t="shared" si="42"/>
        <v>25900</v>
      </c>
      <c r="BB23" s="74">
        <f t="shared" si="43"/>
        <v>25900</v>
      </c>
      <c r="BC23" s="74">
        <f t="shared" si="44"/>
        <v>0</v>
      </c>
      <c r="BD23" s="74">
        <f t="shared" si="45"/>
        <v>0</v>
      </c>
      <c r="BE23" s="74">
        <f t="shared" si="46"/>
        <v>0</v>
      </c>
      <c r="BF23" s="74">
        <f t="shared" si="47"/>
        <v>0</v>
      </c>
      <c r="BG23" s="74">
        <f t="shared" si="48"/>
        <v>16380</v>
      </c>
      <c r="BH23" s="74">
        <f t="shared" si="49"/>
        <v>16530</v>
      </c>
      <c r="BI23" s="74">
        <f t="shared" si="50"/>
        <v>16570</v>
      </c>
      <c r="BJ23" s="74">
        <f t="shared" si="51"/>
        <v>16620</v>
      </c>
      <c r="BK23" s="74">
        <f t="shared" si="52"/>
        <v>16680</v>
      </c>
      <c r="BL23" s="74"/>
      <c r="BM23" s="74">
        <f t="shared" si="53"/>
        <v>25900</v>
      </c>
      <c r="BN23" s="74">
        <f t="shared" si="53"/>
        <v>25900</v>
      </c>
      <c r="BO23" s="74">
        <f t="shared" si="54"/>
        <v>25900</v>
      </c>
      <c r="BP23" s="74"/>
      <c r="BQ23" s="74">
        <f t="shared" si="55"/>
        <v>25900</v>
      </c>
      <c r="BS23" s="78">
        <f t="shared" si="56"/>
        <v>0</v>
      </c>
      <c r="BT23" s="78"/>
      <c r="BU23" s="78">
        <f t="shared" si="57"/>
        <v>-0.13833011504364556</v>
      </c>
      <c r="BX23" s="2330">
        <v>0</v>
      </c>
      <c r="BY23" s="2330">
        <v>0</v>
      </c>
      <c r="BZ23" s="2330">
        <v>0</v>
      </c>
      <c r="CA23" s="2330">
        <v>0</v>
      </c>
      <c r="CB23" s="2330">
        <v>16190</v>
      </c>
      <c r="CC23" s="2330">
        <v>16340</v>
      </c>
      <c r="CD23" s="2330">
        <v>16380</v>
      </c>
      <c r="CE23" s="2330">
        <v>16430</v>
      </c>
      <c r="CF23" s="2330">
        <v>16490</v>
      </c>
    </row>
    <row r="24" spans="2:84" hidden="1" outlineLevel="1">
      <c r="B24" s="79" t="s">
        <v>663</v>
      </c>
      <c r="C24" s="74"/>
      <c r="D24" s="74" t="str">
        <f>+Driver!V94</f>
        <v>-</v>
      </c>
      <c r="E24" s="74">
        <f>+Driver!W94</f>
        <v>85147</v>
      </c>
      <c r="F24" s="74">
        <f>+Driver!X94</f>
        <v>86813</v>
      </c>
      <c r="G24" s="81">
        <v>86000</v>
      </c>
      <c r="H24" s="74"/>
      <c r="I24" s="74">
        <f>+Driver!Z94</f>
        <v>89100</v>
      </c>
      <c r="J24" s="74"/>
      <c r="K24" s="74">
        <f>+Driver!AB94</f>
        <v>100800</v>
      </c>
      <c r="L24" s="74">
        <v>98500</v>
      </c>
      <c r="M24" s="74">
        <v>98500</v>
      </c>
      <c r="N24" s="74">
        <v>98500</v>
      </c>
      <c r="O24" s="74">
        <v>98500</v>
      </c>
      <c r="P24" s="74">
        <v>98500</v>
      </c>
      <c r="Q24" s="74">
        <v>98500</v>
      </c>
      <c r="R24" s="74">
        <v>98500</v>
      </c>
      <c r="S24" s="74">
        <v>98500</v>
      </c>
      <c r="T24" s="74">
        <v>98500</v>
      </c>
      <c r="U24" s="74"/>
      <c r="V24" s="74"/>
      <c r="W24" s="74"/>
      <c r="X24" s="74"/>
      <c r="Y24" s="74">
        <f>+Driver!AL94</f>
        <v>84050</v>
      </c>
      <c r="Z24" s="74">
        <f>+Driver!AM94</f>
        <v>84890</v>
      </c>
      <c r="AA24" s="74">
        <f>+Driver!AN94</f>
        <v>84460</v>
      </c>
      <c r="AB24" s="74">
        <f>+Driver!AO94</f>
        <v>84890</v>
      </c>
      <c r="AC24" s="74">
        <f>+Driver!AP94</f>
        <v>84890</v>
      </c>
      <c r="AD24" s="74"/>
      <c r="AE24" s="74">
        <v>98500</v>
      </c>
      <c r="AF24" s="74">
        <v>98500</v>
      </c>
      <c r="AG24" s="74">
        <v>98500</v>
      </c>
      <c r="AH24" s="74"/>
      <c r="AI24" s="74">
        <v>98500</v>
      </c>
      <c r="AJ24" s="2197"/>
      <c r="AK24" s="79"/>
      <c r="AL24" s="79" t="s">
        <v>662</v>
      </c>
      <c r="AM24" s="74"/>
      <c r="AN24" s="74" t="str">
        <f t="shared" si="29"/>
        <v>-</v>
      </c>
      <c r="AO24" s="74">
        <f t="shared" si="30"/>
        <v>85147</v>
      </c>
      <c r="AP24" s="74">
        <f t="shared" si="31"/>
        <v>86813</v>
      </c>
      <c r="AQ24" s="74">
        <f t="shared" si="32"/>
        <v>86000</v>
      </c>
      <c r="AR24" s="74">
        <f t="shared" si="33"/>
        <v>89100</v>
      </c>
      <c r="AS24" s="74">
        <f t="shared" si="34"/>
        <v>100800</v>
      </c>
      <c r="AT24" s="74">
        <f t="shared" si="35"/>
        <v>98500</v>
      </c>
      <c r="AU24" s="74">
        <f t="shared" si="36"/>
        <v>98500</v>
      </c>
      <c r="AV24" s="74">
        <f t="shared" si="37"/>
        <v>98500</v>
      </c>
      <c r="AW24" s="74">
        <f t="shared" si="38"/>
        <v>98500</v>
      </c>
      <c r="AX24" s="74">
        <f t="shared" si="39"/>
        <v>98500</v>
      </c>
      <c r="AY24" s="74">
        <f t="shared" si="40"/>
        <v>98500</v>
      </c>
      <c r="AZ24" s="74">
        <f t="shared" si="41"/>
        <v>98500</v>
      </c>
      <c r="BA24" s="74">
        <f t="shared" si="42"/>
        <v>98500</v>
      </c>
      <c r="BB24" s="74">
        <f t="shared" si="43"/>
        <v>98500</v>
      </c>
      <c r="BC24" s="74">
        <f t="shared" si="44"/>
        <v>0</v>
      </c>
      <c r="BD24" s="74">
        <f t="shared" si="45"/>
        <v>0</v>
      </c>
      <c r="BE24" s="74">
        <f t="shared" si="46"/>
        <v>0</v>
      </c>
      <c r="BF24" s="74">
        <f t="shared" si="47"/>
        <v>0</v>
      </c>
      <c r="BG24" s="74">
        <f t="shared" si="48"/>
        <v>84050</v>
      </c>
      <c r="BH24" s="74">
        <f t="shared" si="49"/>
        <v>84890</v>
      </c>
      <c r="BI24" s="74">
        <f t="shared" si="50"/>
        <v>84460</v>
      </c>
      <c r="BJ24" s="74">
        <f t="shared" si="51"/>
        <v>84890</v>
      </c>
      <c r="BK24" s="74">
        <f t="shared" si="52"/>
        <v>84890</v>
      </c>
      <c r="BL24" s="74"/>
      <c r="BM24" s="74">
        <f t="shared" si="53"/>
        <v>98500</v>
      </c>
      <c r="BN24" s="74">
        <f t="shared" si="53"/>
        <v>98500</v>
      </c>
      <c r="BO24" s="74">
        <f t="shared" si="54"/>
        <v>98500</v>
      </c>
      <c r="BP24" s="74"/>
      <c r="BQ24" s="74">
        <f t="shared" si="55"/>
        <v>98500</v>
      </c>
      <c r="BS24" s="78">
        <f t="shared" si="56"/>
        <v>0</v>
      </c>
      <c r="BT24" s="78"/>
      <c r="BU24" s="78">
        <f t="shared" si="57"/>
        <v>-4.9967894368872279E-2</v>
      </c>
      <c r="BX24" s="2330">
        <v>0</v>
      </c>
      <c r="BY24" s="2330">
        <v>0</v>
      </c>
      <c r="BZ24" s="2330">
        <v>0</v>
      </c>
      <c r="CA24" s="2330">
        <v>0</v>
      </c>
      <c r="CB24" s="2330">
        <v>83950</v>
      </c>
      <c r="CC24" s="2330">
        <v>84790</v>
      </c>
      <c r="CD24" s="2330">
        <v>84370</v>
      </c>
      <c r="CE24" s="2330">
        <v>84790</v>
      </c>
      <c r="CF24" s="2330">
        <v>84790</v>
      </c>
    </row>
    <row r="25" spans="2:84" collapsed="1">
      <c r="B25" s="79" t="s">
        <v>637</v>
      </c>
      <c r="C25" s="74"/>
      <c r="D25" s="74">
        <f>+Driver!V124</f>
        <v>65242</v>
      </c>
      <c r="E25" s="74">
        <f>+Driver!W124</f>
        <v>63378</v>
      </c>
      <c r="F25" s="74">
        <f>+Driver!X124</f>
        <v>63372</v>
      </c>
      <c r="G25" s="74">
        <v>62069</v>
      </c>
      <c r="H25" s="74"/>
      <c r="I25" s="74">
        <f>Quarterly!CE41</f>
        <v>63950</v>
      </c>
      <c r="J25" s="74"/>
      <c r="K25" s="74">
        <f>Quarterly!CW41</f>
        <v>66875</v>
      </c>
      <c r="L25" s="74">
        <f>Quarterly!DK41</f>
        <v>67971</v>
      </c>
      <c r="M25" s="74">
        <f>Quarterly!EU41</f>
        <v>67525</v>
      </c>
      <c r="N25" s="74">
        <f>Quarterly!FK41</f>
        <v>68626</v>
      </c>
      <c r="O25" s="74">
        <f>Quarterly!GD41</f>
        <v>69189</v>
      </c>
      <c r="P25" s="74">
        <f>Quarterly!GV41</f>
        <v>72293</v>
      </c>
      <c r="Q25" s="74">
        <f>Quarterly!HV41</f>
        <v>76229</v>
      </c>
      <c r="R25" s="74">
        <f>Quarterly!HZ41</f>
        <v>52600</v>
      </c>
      <c r="S25" s="74">
        <f>Quarterly!IR41</f>
        <v>51300</v>
      </c>
      <c r="T25" s="74">
        <f>Quarterly!JD41</f>
        <v>52837</v>
      </c>
      <c r="U25" s="74">
        <f>+Quarterly!JL41</f>
        <v>14326</v>
      </c>
      <c r="V25" s="74">
        <f>+Quarterly!JM41</f>
        <v>14939</v>
      </c>
      <c r="W25" s="74">
        <f>+Quarterly!JN41</f>
        <v>13871</v>
      </c>
      <c r="X25" s="74">
        <f>+Quarterly!JU41</f>
        <v>13164</v>
      </c>
      <c r="Y25" s="74">
        <f>+Driver!AL124</f>
        <v>56300</v>
      </c>
      <c r="Z25" s="74">
        <f>+Driver!AM124</f>
        <v>56800</v>
      </c>
      <c r="AA25" s="74">
        <f>+Driver!AN124</f>
        <v>57100</v>
      </c>
      <c r="AB25" s="74">
        <f>+Driver!AO124</f>
        <v>57500</v>
      </c>
      <c r="AC25" s="74">
        <f>+Driver!AP124</f>
        <v>57800</v>
      </c>
      <c r="AD25" s="74"/>
      <c r="AE25" s="74">
        <f>Quarterly!KG41</f>
        <v>54700</v>
      </c>
      <c r="AF25" s="74">
        <f>Quarterly!KH41</f>
        <v>54700</v>
      </c>
      <c r="AG25" s="74">
        <v>56000</v>
      </c>
      <c r="AH25" s="74"/>
      <c r="AI25" s="74">
        <f>Quarterly!KM41</f>
        <v>53200</v>
      </c>
      <c r="AJ25" s="2197"/>
      <c r="AK25" s="80"/>
      <c r="AL25" s="79" t="s">
        <v>636</v>
      </c>
      <c r="AM25" s="74"/>
      <c r="AN25" s="74">
        <f t="shared" si="29"/>
        <v>65242</v>
      </c>
      <c r="AO25" s="74">
        <f t="shared" si="30"/>
        <v>63378</v>
      </c>
      <c r="AP25" s="74">
        <f t="shared" si="31"/>
        <v>63372</v>
      </c>
      <c r="AQ25" s="74">
        <f t="shared" si="32"/>
        <v>62069</v>
      </c>
      <c r="AR25" s="74">
        <f t="shared" si="33"/>
        <v>63950</v>
      </c>
      <c r="AS25" s="74">
        <f t="shared" si="34"/>
        <v>66875</v>
      </c>
      <c r="AT25" s="74">
        <f t="shared" si="35"/>
        <v>67971</v>
      </c>
      <c r="AU25" s="74">
        <f t="shared" si="36"/>
        <v>67525</v>
      </c>
      <c r="AV25" s="74">
        <f t="shared" si="37"/>
        <v>68626</v>
      </c>
      <c r="AW25" s="74">
        <f t="shared" si="38"/>
        <v>69189</v>
      </c>
      <c r="AX25" s="74">
        <f t="shared" si="39"/>
        <v>72293</v>
      </c>
      <c r="AY25" s="74">
        <f t="shared" si="40"/>
        <v>76229</v>
      </c>
      <c r="AZ25" s="74">
        <f t="shared" si="41"/>
        <v>52600</v>
      </c>
      <c r="BA25" s="74">
        <f t="shared" si="42"/>
        <v>51300</v>
      </c>
      <c r="BB25" s="74">
        <f t="shared" si="43"/>
        <v>52837</v>
      </c>
      <c r="BC25" s="74">
        <f t="shared" si="44"/>
        <v>14326</v>
      </c>
      <c r="BD25" s="74">
        <f t="shared" si="45"/>
        <v>14939</v>
      </c>
      <c r="BE25" s="74">
        <f t="shared" si="46"/>
        <v>13871</v>
      </c>
      <c r="BF25" s="74">
        <f t="shared" si="47"/>
        <v>13164</v>
      </c>
      <c r="BG25" s="74">
        <f t="shared" si="48"/>
        <v>56300</v>
      </c>
      <c r="BH25" s="74">
        <f t="shared" si="49"/>
        <v>56800</v>
      </c>
      <c r="BI25" s="74">
        <f t="shared" si="50"/>
        <v>57100</v>
      </c>
      <c r="BJ25" s="74">
        <f t="shared" si="51"/>
        <v>57500</v>
      </c>
      <c r="BK25" s="74">
        <f t="shared" si="52"/>
        <v>57800</v>
      </c>
      <c r="BL25" s="74"/>
      <c r="BM25" s="74">
        <f t="shared" si="53"/>
        <v>54700</v>
      </c>
      <c r="BN25" s="74">
        <f t="shared" si="53"/>
        <v>54700</v>
      </c>
      <c r="BO25" s="74">
        <f t="shared" si="54"/>
        <v>56000</v>
      </c>
      <c r="BP25" s="74"/>
      <c r="BQ25" s="74">
        <f t="shared" si="55"/>
        <v>53200</v>
      </c>
      <c r="BS25" s="78">
        <f t="shared" si="56"/>
        <v>-9.922988744908301E-2</v>
      </c>
      <c r="BT25" s="78"/>
      <c r="BU25" s="78">
        <f t="shared" si="57"/>
        <v>2.6201517139564201E-2</v>
      </c>
      <c r="BX25" s="2330">
        <v>14326</v>
      </c>
      <c r="BY25" s="2330">
        <v>14939</v>
      </c>
      <c r="BZ25" s="2330">
        <v>13100</v>
      </c>
      <c r="CA25" s="2330">
        <v>12635</v>
      </c>
      <c r="CB25" s="2330">
        <v>55000</v>
      </c>
      <c r="CC25" s="2330">
        <v>55500</v>
      </c>
      <c r="CD25" s="2330">
        <v>55900</v>
      </c>
      <c r="CE25" s="2330">
        <v>56200</v>
      </c>
      <c r="CF25" s="2330">
        <v>56500</v>
      </c>
    </row>
    <row r="26" spans="2:84" hidden="1" outlineLevel="1">
      <c r="B26" s="79" t="s">
        <v>661</v>
      </c>
      <c r="C26" s="74"/>
      <c r="D26" s="74" t="str">
        <f>+Driver!V126</f>
        <v>-</v>
      </c>
      <c r="E26" s="74">
        <f>+Driver!W126</f>
        <v>48200</v>
      </c>
      <c r="F26" s="74">
        <f>+Driver!X126</f>
        <v>47391</v>
      </c>
      <c r="G26" s="81"/>
      <c r="H26" s="74"/>
      <c r="I26" s="74">
        <f>+Driver!Z126</f>
        <v>47900</v>
      </c>
      <c r="J26" s="74"/>
      <c r="K26" s="74">
        <f>+Driver!AB126</f>
        <v>50200</v>
      </c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>
        <f>+Driver!AL126</f>
        <v>44900</v>
      </c>
      <c r="Z26" s="74">
        <f>+Driver!AM126</f>
        <v>45300</v>
      </c>
      <c r="AA26" s="74">
        <f>+Driver!AN126</f>
        <v>45500</v>
      </c>
      <c r="AB26" s="74">
        <f>+Driver!AO126</f>
        <v>45800</v>
      </c>
      <c r="AC26" s="74">
        <f>+Driver!AP126</f>
        <v>46000</v>
      </c>
      <c r="AD26" s="74"/>
      <c r="AE26" s="74"/>
      <c r="AF26" s="74"/>
      <c r="AG26" s="74"/>
      <c r="AH26" s="74"/>
      <c r="AI26" s="74"/>
      <c r="AJ26" s="2197"/>
      <c r="AK26" s="79"/>
      <c r="AL26" s="79" t="s">
        <v>660</v>
      </c>
      <c r="AM26" s="74"/>
      <c r="AN26" s="74" t="str">
        <f t="shared" si="29"/>
        <v>-</v>
      </c>
      <c r="AO26" s="74">
        <f t="shared" si="30"/>
        <v>48200</v>
      </c>
      <c r="AP26" s="74">
        <f t="shared" si="31"/>
        <v>47391</v>
      </c>
      <c r="AQ26" s="74">
        <f t="shared" si="32"/>
        <v>0</v>
      </c>
      <c r="AR26" s="74">
        <f t="shared" si="33"/>
        <v>47900</v>
      </c>
      <c r="AS26" s="74">
        <f t="shared" si="34"/>
        <v>50200</v>
      </c>
      <c r="AT26" s="74">
        <f t="shared" si="35"/>
        <v>0</v>
      </c>
      <c r="AU26" s="74">
        <f t="shared" si="36"/>
        <v>0</v>
      </c>
      <c r="AV26" s="74">
        <f t="shared" si="37"/>
        <v>0</v>
      </c>
      <c r="AW26" s="74">
        <f t="shared" si="38"/>
        <v>0</v>
      </c>
      <c r="AX26" s="74">
        <f t="shared" si="39"/>
        <v>0</v>
      </c>
      <c r="AY26" s="74">
        <f t="shared" si="40"/>
        <v>0</v>
      </c>
      <c r="AZ26" s="74">
        <f t="shared" si="41"/>
        <v>0</v>
      </c>
      <c r="BA26" s="74">
        <f t="shared" si="42"/>
        <v>0</v>
      </c>
      <c r="BB26" s="74">
        <f t="shared" si="43"/>
        <v>0</v>
      </c>
      <c r="BC26" s="74">
        <f t="shared" si="44"/>
        <v>0</v>
      </c>
      <c r="BD26" s="74">
        <f t="shared" si="45"/>
        <v>0</v>
      </c>
      <c r="BE26" s="74">
        <f t="shared" si="46"/>
        <v>0</v>
      </c>
      <c r="BF26" s="74">
        <f t="shared" si="47"/>
        <v>0</v>
      </c>
      <c r="BG26" s="74">
        <f t="shared" si="48"/>
        <v>44900</v>
      </c>
      <c r="BH26" s="74">
        <f t="shared" si="49"/>
        <v>45300</v>
      </c>
      <c r="BI26" s="74">
        <f t="shared" si="50"/>
        <v>45500</v>
      </c>
      <c r="BJ26" s="74">
        <f t="shared" si="51"/>
        <v>45800</v>
      </c>
      <c r="BK26" s="74">
        <f t="shared" si="52"/>
        <v>46000</v>
      </c>
      <c r="BL26" s="74"/>
      <c r="BM26" s="74">
        <f t="shared" si="53"/>
        <v>0</v>
      </c>
      <c r="BN26" s="74">
        <f t="shared" si="53"/>
        <v>0</v>
      </c>
      <c r="BO26" s="74">
        <f t="shared" si="54"/>
        <v>0</v>
      </c>
      <c r="BP26" s="74"/>
      <c r="BQ26" s="74">
        <f t="shared" si="55"/>
        <v>0</v>
      </c>
      <c r="BS26" s="78" t="e">
        <f t="shared" si="56"/>
        <v>#DIV/0!</v>
      </c>
      <c r="BT26" s="78"/>
      <c r="BU26" s="78" t="e">
        <f t="shared" si="57"/>
        <v>#DIV/0!</v>
      </c>
      <c r="BX26" s="2330">
        <v>0</v>
      </c>
      <c r="BY26" s="2330">
        <v>0</v>
      </c>
      <c r="BZ26" s="2330">
        <v>0</v>
      </c>
      <c r="CA26" s="2330">
        <v>0</v>
      </c>
      <c r="CB26" s="2330">
        <v>44000</v>
      </c>
      <c r="CC26" s="2330">
        <v>44400</v>
      </c>
      <c r="CD26" s="2330">
        <v>44700</v>
      </c>
      <c r="CE26" s="2330">
        <v>44900</v>
      </c>
      <c r="CF26" s="2330">
        <v>45100</v>
      </c>
    </row>
    <row r="27" spans="2:84" hidden="1" outlineLevel="1">
      <c r="B27" s="79" t="s">
        <v>659</v>
      </c>
      <c r="C27" s="74"/>
      <c r="D27" s="74" t="str">
        <f>+Driver!V134</f>
        <v>-</v>
      </c>
      <c r="E27" s="74" t="str">
        <f>+Driver!W134</f>
        <v>-</v>
      </c>
      <c r="F27" s="74">
        <f>+Driver!X134</f>
        <v>9913</v>
      </c>
      <c r="G27" s="81"/>
      <c r="H27" s="74"/>
      <c r="I27" s="74">
        <f>+Driver!Z134</f>
        <v>9800</v>
      </c>
      <c r="J27" s="74"/>
      <c r="K27" s="74">
        <f>+Driver!AB134</f>
        <v>11500</v>
      </c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>
        <f>+Driver!AL134</f>
        <v>7100</v>
      </c>
      <c r="Z27" s="74">
        <f>+Driver!AM134</f>
        <v>7200</v>
      </c>
      <c r="AA27" s="74">
        <f>+Driver!AN134</f>
        <v>7300</v>
      </c>
      <c r="AB27" s="74">
        <f>+Driver!AO134</f>
        <v>7400</v>
      </c>
      <c r="AC27" s="74">
        <f>+Driver!AP134</f>
        <v>7500</v>
      </c>
      <c r="AD27" s="74"/>
      <c r="AE27" s="74"/>
      <c r="AF27" s="74"/>
      <c r="AG27" s="74"/>
      <c r="AH27" s="74"/>
      <c r="AI27" s="74"/>
      <c r="AJ27" s="2197"/>
      <c r="AK27" s="79"/>
      <c r="AL27" s="79" t="s">
        <v>658</v>
      </c>
      <c r="AM27" s="74"/>
      <c r="AN27" s="74" t="str">
        <f t="shared" si="29"/>
        <v>-</v>
      </c>
      <c r="AO27" s="74" t="str">
        <f t="shared" si="30"/>
        <v>-</v>
      </c>
      <c r="AP27" s="74">
        <f t="shared" si="31"/>
        <v>9913</v>
      </c>
      <c r="AQ27" s="74">
        <f t="shared" si="32"/>
        <v>0</v>
      </c>
      <c r="AR27" s="74">
        <f t="shared" si="33"/>
        <v>9800</v>
      </c>
      <c r="AS27" s="74">
        <f t="shared" si="34"/>
        <v>11500</v>
      </c>
      <c r="AT27" s="74">
        <f t="shared" si="35"/>
        <v>0</v>
      </c>
      <c r="AU27" s="74">
        <f t="shared" si="36"/>
        <v>0</v>
      </c>
      <c r="AV27" s="74">
        <f t="shared" si="37"/>
        <v>0</v>
      </c>
      <c r="AW27" s="74">
        <f t="shared" si="38"/>
        <v>0</v>
      </c>
      <c r="AX27" s="74">
        <f t="shared" si="39"/>
        <v>0</v>
      </c>
      <c r="AY27" s="74">
        <f t="shared" si="40"/>
        <v>0</v>
      </c>
      <c r="AZ27" s="74">
        <f t="shared" si="41"/>
        <v>0</v>
      </c>
      <c r="BA27" s="74">
        <f t="shared" si="42"/>
        <v>0</v>
      </c>
      <c r="BB27" s="74">
        <f t="shared" si="43"/>
        <v>0</v>
      </c>
      <c r="BC27" s="74">
        <f t="shared" si="44"/>
        <v>0</v>
      </c>
      <c r="BD27" s="74">
        <f t="shared" si="45"/>
        <v>0</v>
      </c>
      <c r="BE27" s="74">
        <f t="shared" si="46"/>
        <v>0</v>
      </c>
      <c r="BF27" s="74">
        <f t="shared" si="47"/>
        <v>0</v>
      </c>
      <c r="BG27" s="74">
        <f t="shared" si="48"/>
        <v>7100</v>
      </c>
      <c r="BH27" s="74">
        <f t="shared" si="49"/>
        <v>7200</v>
      </c>
      <c r="BI27" s="74">
        <f t="shared" si="50"/>
        <v>7300</v>
      </c>
      <c r="BJ27" s="74">
        <f t="shared" si="51"/>
        <v>7400</v>
      </c>
      <c r="BK27" s="74">
        <f t="shared" si="52"/>
        <v>7500</v>
      </c>
      <c r="BL27" s="74"/>
      <c r="BM27" s="74">
        <f t="shared" si="53"/>
        <v>0</v>
      </c>
      <c r="BN27" s="74">
        <f t="shared" si="53"/>
        <v>0</v>
      </c>
      <c r="BO27" s="74">
        <f t="shared" si="54"/>
        <v>0</v>
      </c>
      <c r="BP27" s="74"/>
      <c r="BQ27" s="74">
        <f t="shared" si="55"/>
        <v>0</v>
      </c>
      <c r="BS27" s="78" t="e">
        <f t="shared" si="56"/>
        <v>#DIV/0!</v>
      </c>
      <c r="BT27" s="78"/>
      <c r="BU27" s="78" t="e">
        <f t="shared" si="57"/>
        <v>#DIV/0!</v>
      </c>
      <c r="BX27" s="2330">
        <v>0</v>
      </c>
      <c r="BY27" s="2330">
        <v>0</v>
      </c>
      <c r="BZ27" s="2330">
        <v>0</v>
      </c>
      <c r="CA27" s="2330">
        <v>0</v>
      </c>
      <c r="CB27" s="2330">
        <v>6800</v>
      </c>
      <c r="CC27" s="2330">
        <v>6900</v>
      </c>
      <c r="CD27" s="2330">
        <v>7000</v>
      </c>
      <c r="CE27" s="2330">
        <v>7100</v>
      </c>
      <c r="CF27" s="2330">
        <v>7200</v>
      </c>
    </row>
    <row r="28" spans="2:84" hidden="1" outlineLevel="1">
      <c r="B28" s="79" t="s">
        <v>657</v>
      </c>
      <c r="C28" s="74"/>
      <c r="D28" s="74" t="str">
        <f>+Driver!V135</f>
        <v>-</v>
      </c>
      <c r="E28" s="74" t="str">
        <f>+Driver!W135</f>
        <v>-</v>
      </c>
      <c r="F28" s="74">
        <f>+Driver!X135</f>
        <v>6067</v>
      </c>
      <c r="G28" s="81"/>
      <c r="H28" s="74"/>
      <c r="I28" s="74">
        <f>+Driver!Z135</f>
        <v>6000</v>
      </c>
      <c r="J28" s="74"/>
      <c r="K28" s="74">
        <f>+Driver!AB135</f>
        <v>6500</v>
      </c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>
        <f>+Driver!AL135</f>
        <v>4300</v>
      </c>
      <c r="Z28" s="74">
        <f>+Driver!AM135</f>
        <v>4300</v>
      </c>
      <c r="AA28" s="74">
        <f>+Driver!AN135</f>
        <v>4300</v>
      </c>
      <c r="AB28" s="74">
        <f>+Driver!AO135</f>
        <v>4300</v>
      </c>
      <c r="AC28" s="74">
        <f>+Driver!AP135</f>
        <v>4300</v>
      </c>
      <c r="AD28" s="74"/>
      <c r="AE28" s="74"/>
      <c r="AF28" s="74"/>
      <c r="AG28" s="74"/>
      <c r="AH28" s="74"/>
      <c r="AI28" s="74"/>
      <c r="AJ28" s="2197"/>
      <c r="AK28" s="79"/>
      <c r="AL28" s="79" t="s">
        <v>656</v>
      </c>
      <c r="AM28" s="74"/>
      <c r="AN28" s="74" t="str">
        <f t="shared" si="29"/>
        <v>-</v>
      </c>
      <c r="AO28" s="74" t="str">
        <f t="shared" si="30"/>
        <v>-</v>
      </c>
      <c r="AP28" s="74">
        <f t="shared" si="31"/>
        <v>6067</v>
      </c>
      <c r="AQ28" s="74">
        <f t="shared" si="32"/>
        <v>0</v>
      </c>
      <c r="AR28" s="74">
        <f t="shared" si="33"/>
        <v>6000</v>
      </c>
      <c r="AS28" s="74">
        <f t="shared" si="34"/>
        <v>6500</v>
      </c>
      <c r="AT28" s="74">
        <f t="shared" si="35"/>
        <v>0</v>
      </c>
      <c r="AU28" s="74">
        <f t="shared" si="36"/>
        <v>0</v>
      </c>
      <c r="AV28" s="74">
        <f t="shared" si="37"/>
        <v>0</v>
      </c>
      <c r="AW28" s="74">
        <f t="shared" si="38"/>
        <v>0</v>
      </c>
      <c r="AX28" s="74">
        <f t="shared" si="39"/>
        <v>0</v>
      </c>
      <c r="AY28" s="74">
        <f t="shared" si="40"/>
        <v>0</v>
      </c>
      <c r="AZ28" s="74">
        <f t="shared" si="41"/>
        <v>0</v>
      </c>
      <c r="BA28" s="74">
        <f t="shared" si="42"/>
        <v>0</v>
      </c>
      <c r="BB28" s="74">
        <f t="shared" si="43"/>
        <v>0</v>
      </c>
      <c r="BC28" s="74">
        <f t="shared" si="44"/>
        <v>0</v>
      </c>
      <c r="BD28" s="74">
        <f t="shared" si="45"/>
        <v>0</v>
      </c>
      <c r="BE28" s="74">
        <f t="shared" si="46"/>
        <v>0</v>
      </c>
      <c r="BF28" s="74">
        <f t="shared" si="47"/>
        <v>0</v>
      </c>
      <c r="BG28" s="74">
        <f t="shared" si="48"/>
        <v>4300</v>
      </c>
      <c r="BH28" s="74">
        <f t="shared" si="49"/>
        <v>4300</v>
      </c>
      <c r="BI28" s="74">
        <f t="shared" si="50"/>
        <v>4300</v>
      </c>
      <c r="BJ28" s="74">
        <f t="shared" si="51"/>
        <v>4300</v>
      </c>
      <c r="BK28" s="74">
        <f t="shared" si="52"/>
        <v>4300</v>
      </c>
      <c r="BL28" s="74"/>
      <c r="BM28" s="74">
        <f t="shared" si="53"/>
        <v>0</v>
      </c>
      <c r="BN28" s="74">
        <f t="shared" si="53"/>
        <v>0</v>
      </c>
      <c r="BO28" s="74">
        <f t="shared" si="54"/>
        <v>0</v>
      </c>
      <c r="BP28" s="74"/>
      <c r="BQ28" s="74">
        <f t="shared" si="55"/>
        <v>0</v>
      </c>
      <c r="BS28" s="78" t="e">
        <f t="shared" si="56"/>
        <v>#DIV/0!</v>
      </c>
      <c r="BT28" s="78"/>
      <c r="BU28" s="78" t="e">
        <f t="shared" si="57"/>
        <v>#DIV/0!</v>
      </c>
      <c r="BX28" s="2330">
        <v>0</v>
      </c>
      <c r="BY28" s="2330">
        <v>0</v>
      </c>
      <c r="BZ28" s="2330">
        <v>0</v>
      </c>
      <c r="CA28" s="2330">
        <v>0</v>
      </c>
      <c r="CB28" s="2330">
        <v>4200</v>
      </c>
      <c r="CC28" s="2330">
        <v>4200</v>
      </c>
      <c r="CD28" s="2330">
        <v>4200</v>
      </c>
      <c r="CE28" s="2330">
        <v>4200</v>
      </c>
      <c r="CF28" s="2330">
        <v>4200</v>
      </c>
    </row>
    <row r="29" spans="2:84" collapsed="1">
      <c r="B29" s="79" t="s">
        <v>635</v>
      </c>
      <c r="C29" s="74"/>
      <c r="D29" s="74">
        <f>+Driver!V138</f>
        <v>19261</v>
      </c>
      <c r="E29" s="74">
        <f>+Driver!W138</f>
        <v>18333</v>
      </c>
      <c r="F29" s="74">
        <f>+Driver!X138</f>
        <v>17235</v>
      </c>
      <c r="G29" s="74">
        <v>17746</v>
      </c>
      <c r="H29" s="74"/>
      <c r="I29" s="74">
        <f>Quarterly!CE50</f>
        <v>18455</v>
      </c>
      <c r="J29" s="74"/>
      <c r="K29" s="74">
        <f>Quarterly!CW50</f>
        <v>18307</v>
      </c>
      <c r="L29" s="74">
        <f>Quarterly!DK50</f>
        <v>19782</v>
      </c>
      <c r="M29" s="74">
        <f>Quarterly!EU50</f>
        <v>21498</v>
      </c>
      <c r="N29" s="74">
        <f>Quarterly!FK50</f>
        <v>21329</v>
      </c>
      <c r="O29" s="74">
        <f>Quarterly!GD50</f>
        <v>22667</v>
      </c>
      <c r="P29" s="74">
        <f>Quarterly!GV50</f>
        <v>24184</v>
      </c>
      <c r="Q29" s="74">
        <f>Quarterly!HV50</f>
        <v>25609</v>
      </c>
      <c r="R29" s="74">
        <f>Quarterly!HZ50</f>
        <v>18600</v>
      </c>
      <c r="S29" s="74">
        <f>Quarterly!IR50</f>
        <v>19500</v>
      </c>
      <c r="T29" s="74">
        <f>Quarterly!JD50</f>
        <v>20328</v>
      </c>
      <c r="U29" s="74">
        <f>+Quarterly!JL50</f>
        <v>4492</v>
      </c>
      <c r="V29" s="74">
        <f>+Quarterly!JM50</f>
        <v>4712</v>
      </c>
      <c r="W29" s="74">
        <f>+Quarterly!JN50</f>
        <v>5685</v>
      </c>
      <c r="X29" s="74">
        <f>+Quarterly!JU50</f>
        <v>5211</v>
      </c>
      <c r="Y29" s="74">
        <f>+Driver!AL138</f>
        <v>20100</v>
      </c>
      <c r="Z29" s="74">
        <f>+Driver!AM138</f>
        <v>20800</v>
      </c>
      <c r="AA29" s="74">
        <f>+Driver!AN138</f>
        <v>21200</v>
      </c>
      <c r="AB29" s="74">
        <f>+Driver!AO138</f>
        <v>21500</v>
      </c>
      <c r="AC29" s="74">
        <f>+Driver!AP138</f>
        <v>21800</v>
      </c>
      <c r="AD29" s="74"/>
      <c r="AE29" s="74">
        <f>Quarterly!KG50</f>
        <v>21900</v>
      </c>
      <c r="AF29" s="74">
        <f>Quarterly!KH50</f>
        <v>21900</v>
      </c>
      <c r="AG29" s="74">
        <v>22000</v>
      </c>
      <c r="AH29" s="74"/>
      <c r="AI29" s="74">
        <f>Quarterly!KM50</f>
        <v>20000</v>
      </c>
      <c r="AJ29" s="2197"/>
      <c r="AK29" s="80"/>
      <c r="AL29" s="79" t="s">
        <v>634</v>
      </c>
      <c r="AM29" s="74"/>
      <c r="AN29" s="74">
        <f t="shared" si="29"/>
        <v>19261</v>
      </c>
      <c r="AO29" s="74">
        <f t="shared" si="30"/>
        <v>18333</v>
      </c>
      <c r="AP29" s="74">
        <f t="shared" si="31"/>
        <v>17235</v>
      </c>
      <c r="AQ29" s="74">
        <f t="shared" si="32"/>
        <v>17746</v>
      </c>
      <c r="AR29" s="74">
        <f t="shared" si="33"/>
        <v>18455</v>
      </c>
      <c r="AS29" s="74">
        <f t="shared" si="34"/>
        <v>18307</v>
      </c>
      <c r="AT29" s="74">
        <f t="shared" si="35"/>
        <v>19782</v>
      </c>
      <c r="AU29" s="74">
        <f t="shared" si="36"/>
        <v>21498</v>
      </c>
      <c r="AV29" s="74">
        <f t="shared" si="37"/>
        <v>21329</v>
      </c>
      <c r="AW29" s="74">
        <f t="shared" si="38"/>
        <v>22667</v>
      </c>
      <c r="AX29" s="74">
        <f t="shared" si="39"/>
        <v>24184</v>
      </c>
      <c r="AY29" s="74">
        <f t="shared" si="40"/>
        <v>25609</v>
      </c>
      <c r="AZ29" s="74">
        <f t="shared" si="41"/>
        <v>18600</v>
      </c>
      <c r="BA29" s="74">
        <f t="shared" si="42"/>
        <v>19500</v>
      </c>
      <c r="BB29" s="74">
        <f t="shared" si="43"/>
        <v>20328</v>
      </c>
      <c r="BC29" s="74">
        <f t="shared" si="44"/>
        <v>4492</v>
      </c>
      <c r="BD29" s="74">
        <f t="shared" si="45"/>
        <v>4712</v>
      </c>
      <c r="BE29" s="74">
        <f t="shared" si="46"/>
        <v>5685</v>
      </c>
      <c r="BF29" s="74">
        <f t="shared" si="47"/>
        <v>5211</v>
      </c>
      <c r="BG29" s="74">
        <f t="shared" si="48"/>
        <v>20100</v>
      </c>
      <c r="BH29" s="74">
        <f t="shared" si="49"/>
        <v>20800</v>
      </c>
      <c r="BI29" s="74">
        <f t="shared" si="50"/>
        <v>21200</v>
      </c>
      <c r="BJ29" s="74">
        <f t="shared" si="51"/>
        <v>21500</v>
      </c>
      <c r="BK29" s="74">
        <f t="shared" si="52"/>
        <v>21800</v>
      </c>
      <c r="BL29" s="74"/>
      <c r="BM29" s="74">
        <f t="shared" si="53"/>
        <v>21900</v>
      </c>
      <c r="BN29" s="74">
        <f t="shared" si="53"/>
        <v>21900</v>
      </c>
      <c r="BO29" s="74">
        <f t="shared" si="54"/>
        <v>22000</v>
      </c>
      <c r="BP29" s="74"/>
      <c r="BQ29" s="74">
        <f t="shared" si="55"/>
        <v>20000</v>
      </c>
      <c r="BS29" s="78">
        <f t="shared" si="56"/>
        <v>-5.6253169800073666E-2</v>
      </c>
      <c r="BT29" s="78"/>
      <c r="BU29" s="78">
        <f t="shared" si="57"/>
        <v>1.4099113255346074E-2</v>
      </c>
      <c r="BX29" s="2330">
        <v>4492</v>
      </c>
      <c r="BY29" s="2330">
        <v>4712</v>
      </c>
      <c r="BZ29" s="2330">
        <v>6100</v>
      </c>
      <c r="CA29" s="2330">
        <v>6296</v>
      </c>
      <c r="CB29" s="2330">
        <v>21600</v>
      </c>
      <c r="CC29" s="2330">
        <v>22400</v>
      </c>
      <c r="CD29" s="2330">
        <v>22800</v>
      </c>
      <c r="CE29" s="2330">
        <v>23100</v>
      </c>
      <c r="CF29" s="2330">
        <v>23400</v>
      </c>
    </row>
    <row r="30" spans="2:84" hidden="1" outlineLevel="1">
      <c r="B30" s="79" t="s">
        <v>655</v>
      </c>
      <c r="C30" s="74"/>
      <c r="D30" s="74">
        <f>+Driver!V140</f>
        <v>3296</v>
      </c>
      <c r="E30" s="74">
        <f>+Driver!W140</f>
        <v>3060</v>
      </c>
      <c r="F30" s="74">
        <f>+Driver!X140</f>
        <v>2957</v>
      </c>
      <c r="G30" s="81"/>
      <c r="H30" s="74"/>
      <c r="I30" s="74">
        <f>+Driver!Z140</f>
        <v>3300</v>
      </c>
      <c r="J30" s="74"/>
      <c r="K30" s="74">
        <f>+Driver!AB140</f>
        <v>2400</v>
      </c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>
        <f>+Driver!AL140</f>
        <v>2030</v>
      </c>
      <c r="Z30" s="74">
        <f>+Driver!AM140</f>
        <v>2030</v>
      </c>
      <c r="AA30" s="74">
        <f>+Driver!AN140</f>
        <v>2030</v>
      </c>
      <c r="AB30" s="74">
        <f>+Driver!AO140</f>
        <v>2030</v>
      </c>
      <c r="AC30" s="74">
        <f>+Driver!AP140</f>
        <v>2030</v>
      </c>
      <c r="AD30" s="74"/>
      <c r="AE30" s="74"/>
      <c r="AF30" s="74"/>
      <c r="AG30" s="74"/>
      <c r="AH30" s="74"/>
      <c r="AI30" s="74"/>
      <c r="AJ30" s="2197"/>
      <c r="AK30" s="79"/>
      <c r="AL30" s="79" t="s">
        <v>654</v>
      </c>
      <c r="AM30" s="74"/>
      <c r="AN30" s="74">
        <f t="shared" si="29"/>
        <v>3296</v>
      </c>
      <c r="AO30" s="74">
        <f t="shared" si="30"/>
        <v>3060</v>
      </c>
      <c r="AP30" s="74">
        <f t="shared" si="31"/>
        <v>2957</v>
      </c>
      <c r="AQ30" s="74">
        <f t="shared" si="32"/>
        <v>0</v>
      </c>
      <c r="AR30" s="74">
        <f t="shared" si="33"/>
        <v>3300</v>
      </c>
      <c r="AS30" s="74">
        <f t="shared" si="34"/>
        <v>2400</v>
      </c>
      <c r="AT30" s="74">
        <f t="shared" si="35"/>
        <v>0</v>
      </c>
      <c r="AU30" s="74">
        <f t="shared" si="36"/>
        <v>0</v>
      </c>
      <c r="AV30" s="74">
        <f t="shared" si="37"/>
        <v>0</v>
      </c>
      <c r="AW30" s="74">
        <f t="shared" si="38"/>
        <v>0</v>
      </c>
      <c r="AX30" s="74">
        <f t="shared" si="39"/>
        <v>0</v>
      </c>
      <c r="AY30" s="74">
        <f t="shared" si="40"/>
        <v>0</v>
      </c>
      <c r="AZ30" s="74">
        <f t="shared" si="41"/>
        <v>0</v>
      </c>
      <c r="BA30" s="74">
        <f t="shared" si="42"/>
        <v>0</v>
      </c>
      <c r="BB30" s="74">
        <f t="shared" si="43"/>
        <v>0</v>
      </c>
      <c r="BC30" s="74">
        <f t="shared" si="44"/>
        <v>0</v>
      </c>
      <c r="BD30" s="74">
        <f t="shared" si="45"/>
        <v>0</v>
      </c>
      <c r="BE30" s="74">
        <f t="shared" si="46"/>
        <v>0</v>
      </c>
      <c r="BF30" s="74">
        <f t="shared" si="47"/>
        <v>0</v>
      </c>
      <c r="BG30" s="74">
        <f t="shared" si="48"/>
        <v>2030</v>
      </c>
      <c r="BH30" s="74">
        <f t="shared" si="49"/>
        <v>2030</v>
      </c>
      <c r="BI30" s="74">
        <f t="shared" si="50"/>
        <v>2030</v>
      </c>
      <c r="BJ30" s="74">
        <f t="shared" si="51"/>
        <v>2030</v>
      </c>
      <c r="BK30" s="74">
        <f t="shared" si="52"/>
        <v>2030</v>
      </c>
      <c r="BL30" s="74"/>
      <c r="BM30" s="74">
        <f t="shared" si="53"/>
        <v>0</v>
      </c>
      <c r="BN30" s="74">
        <f t="shared" si="53"/>
        <v>0</v>
      </c>
      <c r="BO30" s="74">
        <f t="shared" si="54"/>
        <v>0</v>
      </c>
      <c r="BP30" s="74"/>
      <c r="BQ30" s="74">
        <f t="shared" si="55"/>
        <v>0</v>
      </c>
      <c r="BS30" s="78" t="e">
        <f t="shared" si="56"/>
        <v>#DIV/0!</v>
      </c>
      <c r="BT30" s="78"/>
      <c r="BU30" s="78" t="e">
        <f t="shared" si="57"/>
        <v>#DIV/0!</v>
      </c>
      <c r="BX30" s="2330">
        <v>0</v>
      </c>
      <c r="BY30" s="2330">
        <v>0</v>
      </c>
      <c r="BZ30" s="2330">
        <v>0</v>
      </c>
      <c r="CA30" s="2330">
        <v>0</v>
      </c>
      <c r="CB30" s="2330">
        <v>2030</v>
      </c>
      <c r="CC30" s="2330">
        <v>2030</v>
      </c>
      <c r="CD30" s="2330">
        <v>2030</v>
      </c>
      <c r="CE30" s="2330">
        <v>2030</v>
      </c>
      <c r="CF30" s="2330">
        <v>2030</v>
      </c>
    </row>
    <row r="31" spans="2:84" hidden="1" outlineLevel="1">
      <c r="B31" s="79" t="s">
        <v>653</v>
      </c>
      <c r="C31" s="74"/>
      <c r="D31" s="74">
        <f>+Driver!V141</f>
        <v>4093</v>
      </c>
      <c r="E31" s="74">
        <f>+Driver!W141</f>
        <v>3504</v>
      </c>
      <c r="F31" s="74">
        <f>+Driver!X141</f>
        <v>3743</v>
      </c>
      <c r="G31" s="81"/>
      <c r="H31" s="74"/>
      <c r="I31" s="74">
        <f>+Driver!Z141</f>
        <v>4200</v>
      </c>
      <c r="J31" s="74"/>
      <c r="K31" s="74">
        <f>+Driver!AB141</f>
        <v>4500</v>
      </c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>
        <f>+Driver!AL141</f>
        <v>6750</v>
      </c>
      <c r="Z31" s="74">
        <f>+Driver!AM141</f>
        <v>7090</v>
      </c>
      <c r="AA31" s="74">
        <f>+Driver!AN141</f>
        <v>7300</v>
      </c>
      <c r="AB31" s="74">
        <f>+Driver!AO141</f>
        <v>7450</v>
      </c>
      <c r="AC31" s="74">
        <f>+Driver!AP141</f>
        <v>7600</v>
      </c>
      <c r="AD31" s="74"/>
      <c r="AE31" s="74"/>
      <c r="AF31" s="74"/>
      <c r="AG31" s="74"/>
      <c r="AH31" s="74"/>
      <c r="AI31" s="74"/>
      <c r="AJ31" s="2197"/>
      <c r="AK31" s="79"/>
      <c r="AL31" s="79" t="s">
        <v>652</v>
      </c>
      <c r="AM31" s="74"/>
      <c r="AN31" s="74">
        <f t="shared" si="29"/>
        <v>4093</v>
      </c>
      <c r="AO31" s="74">
        <f t="shared" si="30"/>
        <v>3504</v>
      </c>
      <c r="AP31" s="74">
        <f t="shared" si="31"/>
        <v>3743</v>
      </c>
      <c r="AQ31" s="74">
        <f t="shared" si="32"/>
        <v>0</v>
      </c>
      <c r="AR31" s="74">
        <f t="shared" si="33"/>
        <v>4200</v>
      </c>
      <c r="AS31" s="74">
        <f t="shared" si="34"/>
        <v>4500</v>
      </c>
      <c r="AT31" s="74">
        <f t="shared" si="35"/>
        <v>0</v>
      </c>
      <c r="AU31" s="74">
        <f t="shared" si="36"/>
        <v>0</v>
      </c>
      <c r="AV31" s="74">
        <f t="shared" si="37"/>
        <v>0</v>
      </c>
      <c r="AW31" s="74">
        <f t="shared" si="38"/>
        <v>0</v>
      </c>
      <c r="AX31" s="74">
        <f t="shared" si="39"/>
        <v>0</v>
      </c>
      <c r="AY31" s="74">
        <f t="shared" si="40"/>
        <v>0</v>
      </c>
      <c r="AZ31" s="74">
        <f t="shared" si="41"/>
        <v>0</v>
      </c>
      <c r="BA31" s="74">
        <f t="shared" si="42"/>
        <v>0</v>
      </c>
      <c r="BB31" s="74">
        <f t="shared" si="43"/>
        <v>0</v>
      </c>
      <c r="BC31" s="74">
        <f t="shared" si="44"/>
        <v>0</v>
      </c>
      <c r="BD31" s="74">
        <f t="shared" si="45"/>
        <v>0</v>
      </c>
      <c r="BE31" s="74">
        <f t="shared" si="46"/>
        <v>0</v>
      </c>
      <c r="BF31" s="74">
        <f t="shared" si="47"/>
        <v>0</v>
      </c>
      <c r="BG31" s="74">
        <f t="shared" si="48"/>
        <v>6750</v>
      </c>
      <c r="BH31" s="74">
        <f t="shared" si="49"/>
        <v>7090</v>
      </c>
      <c r="BI31" s="74">
        <f t="shared" si="50"/>
        <v>7300</v>
      </c>
      <c r="BJ31" s="74">
        <f t="shared" si="51"/>
        <v>7450</v>
      </c>
      <c r="BK31" s="74">
        <f t="shared" si="52"/>
        <v>7600</v>
      </c>
      <c r="BL31" s="74"/>
      <c r="BM31" s="74">
        <f t="shared" si="53"/>
        <v>0</v>
      </c>
      <c r="BN31" s="74">
        <f t="shared" si="53"/>
        <v>0</v>
      </c>
      <c r="BO31" s="74">
        <f t="shared" si="54"/>
        <v>0</v>
      </c>
      <c r="BP31" s="74"/>
      <c r="BQ31" s="74">
        <f t="shared" si="55"/>
        <v>0</v>
      </c>
      <c r="BS31" s="78" t="e">
        <f t="shared" si="56"/>
        <v>#DIV/0!</v>
      </c>
      <c r="BT31" s="78"/>
      <c r="BU31" s="78" t="e">
        <f t="shared" si="57"/>
        <v>#DIV/0!</v>
      </c>
      <c r="BX31" s="2330">
        <v>0</v>
      </c>
      <c r="BY31" s="2330">
        <v>0</v>
      </c>
      <c r="BZ31" s="2330">
        <v>0</v>
      </c>
      <c r="CA31" s="2330">
        <v>0</v>
      </c>
      <c r="CB31" s="2330">
        <v>7380</v>
      </c>
      <c r="CC31" s="2330">
        <v>7750</v>
      </c>
      <c r="CD31" s="2330">
        <v>7980</v>
      </c>
      <c r="CE31" s="2330">
        <v>8140</v>
      </c>
      <c r="CF31" s="2330">
        <v>8300</v>
      </c>
    </row>
    <row r="32" spans="2:84" hidden="1" outlineLevel="1">
      <c r="B32" s="79" t="s">
        <v>651</v>
      </c>
      <c r="C32" s="74"/>
      <c r="D32" s="74">
        <f>+Driver!V142</f>
        <v>2773</v>
      </c>
      <c r="E32" s="74">
        <f>+Driver!W142</f>
        <v>469</v>
      </c>
      <c r="F32" s="74">
        <f>+Driver!X142</f>
        <v>2451</v>
      </c>
      <c r="G32" s="81"/>
      <c r="H32" s="74"/>
      <c r="I32" s="74">
        <f>+Driver!Z142</f>
        <v>2800</v>
      </c>
      <c r="J32" s="74"/>
      <c r="K32" s="74">
        <f>+Driver!AB142</f>
        <v>2400</v>
      </c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>
        <f>+Driver!AL142</f>
        <v>0</v>
      </c>
      <c r="Z32" s="74">
        <f>+Driver!AM142</f>
        <v>0</v>
      </c>
      <c r="AA32" s="74">
        <f>+Driver!AN142</f>
        <v>0</v>
      </c>
      <c r="AB32" s="74">
        <f>+Driver!AO142</f>
        <v>0</v>
      </c>
      <c r="AC32" s="74">
        <f>+Driver!AP142</f>
        <v>0</v>
      </c>
      <c r="AD32" s="74"/>
      <c r="AE32" s="74"/>
      <c r="AF32" s="74"/>
      <c r="AG32" s="74"/>
      <c r="AH32" s="74"/>
      <c r="AI32" s="74"/>
      <c r="AJ32" s="2197"/>
      <c r="AK32" s="79"/>
      <c r="AL32" s="79" t="s">
        <v>650</v>
      </c>
      <c r="AM32" s="74"/>
      <c r="AN32" s="74">
        <f t="shared" si="29"/>
        <v>2773</v>
      </c>
      <c r="AO32" s="74">
        <f t="shared" si="30"/>
        <v>469</v>
      </c>
      <c r="AP32" s="74">
        <f t="shared" si="31"/>
        <v>2451</v>
      </c>
      <c r="AQ32" s="74">
        <f t="shared" si="32"/>
        <v>0</v>
      </c>
      <c r="AR32" s="74">
        <f t="shared" si="33"/>
        <v>2800</v>
      </c>
      <c r="AS32" s="74">
        <f t="shared" si="34"/>
        <v>2400</v>
      </c>
      <c r="AT32" s="74">
        <f t="shared" si="35"/>
        <v>0</v>
      </c>
      <c r="AU32" s="74">
        <f t="shared" si="36"/>
        <v>0</v>
      </c>
      <c r="AV32" s="74">
        <f t="shared" si="37"/>
        <v>0</v>
      </c>
      <c r="AW32" s="74">
        <f t="shared" si="38"/>
        <v>0</v>
      </c>
      <c r="AX32" s="74">
        <f t="shared" si="39"/>
        <v>0</v>
      </c>
      <c r="AY32" s="74">
        <f t="shared" si="40"/>
        <v>0</v>
      </c>
      <c r="AZ32" s="74">
        <f t="shared" si="41"/>
        <v>0</v>
      </c>
      <c r="BA32" s="74">
        <f t="shared" si="42"/>
        <v>0</v>
      </c>
      <c r="BB32" s="74">
        <f t="shared" si="43"/>
        <v>0</v>
      </c>
      <c r="BC32" s="74">
        <f t="shared" si="44"/>
        <v>0</v>
      </c>
      <c r="BD32" s="74">
        <f t="shared" si="45"/>
        <v>0</v>
      </c>
      <c r="BE32" s="74">
        <f t="shared" si="46"/>
        <v>0</v>
      </c>
      <c r="BF32" s="74">
        <f t="shared" si="47"/>
        <v>0</v>
      </c>
      <c r="BG32" s="74">
        <f t="shared" si="48"/>
        <v>0</v>
      </c>
      <c r="BH32" s="74">
        <f t="shared" si="49"/>
        <v>0</v>
      </c>
      <c r="BI32" s="74">
        <f t="shared" si="50"/>
        <v>0</v>
      </c>
      <c r="BJ32" s="74">
        <f t="shared" si="51"/>
        <v>0</v>
      </c>
      <c r="BK32" s="74">
        <f t="shared" si="52"/>
        <v>0</v>
      </c>
      <c r="BL32" s="74"/>
      <c r="BM32" s="74">
        <f t="shared" si="53"/>
        <v>0</v>
      </c>
      <c r="BN32" s="74">
        <f t="shared" si="53"/>
        <v>0</v>
      </c>
      <c r="BO32" s="74">
        <f t="shared" si="54"/>
        <v>0</v>
      </c>
      <c r="BP32" s="74"/>
      <c r="BQ32" s="74">
        <f t="shared" si="55"/>
        <v>0</v>
      </c>
      <c r="BS32" s="78" t="e">
        <f t="shared" si="56"/>
        <v>#DIV/0!</v>
      </c>
      <c r="BT32" s="78"/>
      <c r="BU32" s="78" t="e">
        <f t="shared" si="57"/>
        <v>#DIV/0!</v>
      </c>
      <c r="BX32" s="2330">
        <v>0</v>
      </c>
      <c r="BY32" s="2330">
        <v>0</v>
      </c>
      <c r="BZ32" s="2330">
        <v>0</v>
      </c>
      <c r="CA32" s="2330">
        <v>0</v>
      </c>
      <c r="CB32" s="2330">
        <v>0</v>
      </c>
      <c r="CC32" s="2330">
        <v>0</v>
      </c>
      <c r="CD32" s="2330">
        <v>0</v>
      </c>
      <c r="CE32" s="2330">
        <v>0</v>
      </c>
      <c r="CF32" s="2330">
        <v>0</v>
      </c>
    </row>
    <row r="33" spans="2:84" hidden="1" outlineLevel="1">
      <c r="B33" s="79" t="s">
        <v>649</v>
      </c>
      <c r="C33" s="74"/>
      <c r="D33" s="74">
        <f>+Driver!V143</f>
        <v>9264</v>
      </c>
      <c r="E33" s="74">
        <f>+Driver!W143</f>
        <v>8992</v>
      </c>
      <c r="F33" s="74">
        <f>+Driver!X143</f>
        <v>8053</v>
      </c>
      <c r="G33" s="81"/>
      <c r="H33" s="74"/>
      <c r="I33" s="74">
        <f>+Driver!Z143</f>
        <v>8300</v>
      </c>
      <c r="J33" s="74"/>
      <c r="K33" s="74">
        <f>+Driver!AB143</f>
        <v>10500</v>
      </c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>
        <f>+Driver!AL143</f>
        <v>11310</v>
      </c>
      <c r="Z33" s="74">
        <f>+Driver!AM143</f>
        <v>11650</v>
      </c>
      <c r="AA33" s="74">
        <f>+Driver!AN143</f>
        <v>11880</v>
      </c>
      <c r="AB33" s="74">
        <f>+Driver!AO143</f>
        <v>12000</v>
      </c>
      <c r="AC33" s="74">
        <f>+Driver!AP143</f>
        <v>12120</v>
      </c>
      <c r="AD33" s="74"/>
      <c r="AE33" s="74"/>
      <c r="AF33" s="74"/>
      <c r="AG33" s="74"/>
      <c r="AH33" s="74"/>
      <c r="AI33" s="74"/>
      <c r="AJ33" s="2197"/>
      <c r="AK33" s="79"/>
      <c r="AL33" s="79" t="s">
        <v>648</v>
      </c>
      <c r="AM33" s="74"/>
      <c r="AN33" s="74">
        <f t="shared" si="29"/>
        <v>9264</v>
      </c>
      <c r="AO33" s="74">
        <f t="shared" si="30"/>
        <v>8992</v>
      </c>
      <c r="AP33" s="74">
        <f t="shared" si="31"/>
        <v>8053</v>
      </c>
      <c r="AQ33" s="74">
        <f t="shared" si="32"/>
        <v>0</v>
      </c>
      <c r="AR33" s="74">
        <f t="shared" si="33"/>
        <v>8300</v>
      </c>
      <c r="AS33" s="74">
        <f t="shared" si="34"/>
        <v>10500</v>
      </c>
      <c r="AT33" s="74">
        <f t="shared" si="35"/>
        <v>0</v>
      </c>
      <c r="AU33" s="74">
        <f t="shared" si="36"/>
        <v>0</v>
      </c>
      <c r="AV33" s="74">
        <f t="shared" si="37"/>
        <v>0</v>
      </c>
      <c r="AW33" s="74">
        <f t="shared" si="38"/>
        <v>0</v>
      </c>
      <c r="AX33" s="74">
        <f t="shared" si="39"/>
        <v>0</v>
      </c>
      <c r="AY33" s="74">
        <f t="shared" si="40"/>
        <v>0</v>
      </c>
      <c r="AZ33" s="74">
        <f t="shared" si="41"/>
        <v>0</v>
      </c>
      <c r="BA33" s="74">
        <f t="shared" si="42"/>
        <v>0</v>
      </c>
      <c r="BB33" s="74">
        <f t="shared" si="43"/>
        <v>0</v>
      </c>
      <c r="BC33" s="74">
        <f t="shared" si="44"/>
        <v>0</v>
      </c>
      <c r="BD33" s="74">
        <f t="shared" si="45"/>
        <v>0</v>
      </c>
      <c r="BE33" s="74">
        <f t="shared" si="46"/>
        <v>0</v>
      </c>
      <c r="BF33" s="74">
        <f t="shared" si="47"/>
        <v>0</v>
      </c>
      <c r="BG33" s="74">
        <f t="shared" si="48"/>
        <v>11310</v>
      </c>
      <c r="BH33" s="74">
        <f t="shared" si="49"/>
        <v>11650</v>
      </c>
      <c r="BI33" s="74">
        <f t="shared" si="50"/>
        <v>11880</v>
      </c>
      <c r="BJ33" s="74">
        <f t="shared" si="51"/>
        <v>12000</v>
      </c>
      <c r="BK33" s="74">
        <f t="shared" si="52"/>
        <v>12120</v>
      </c>
      <c r="BL33" s="74"/>
      <c r="BM33" s="74">
        <f t="shared" si="53"/>
        <v>0</v>
      </c>
      <c r="BN33" s="74">
        <f t="shared" si="53"/>
        <v>0</v>
      </c>
      <c r="BO33" s="74">
        <f t="shared" si="54"/>
        <v>0</v>
      </c>
      <c r="BP33" s="74"/>
      <c r="BQ33" s="74">
        <f t="shared" si="55"/>
        <v>0</v>
      </c>
      <c r="BS33" s="78" t="e">
        <f t="shared" si="56"/>
        <v>#DIV/0!</v>
      </c>
      <c r="BT33" s="78"/>
      <c r="BU33" s="78" t="e">
        <f t="shared" si="57"/>
        <v>#DIV/0!</v>
      </c>
      <c r="BX33" s="2330">
        <v>0</v>
      </c>
      <c r="BY33" s="2330">
        <v>0</v>
      </c>
      <c r="BZ33" s="2330">
        <v>0</v>
      </c>
      <c r="CA33" s="2330">
        <v>0</v>
      </c>
      <c r="CB33" s="2330">
        <v>12210</v>
      </c>
      <c r="CC33" s="2330">
        <v>12580</v>
      </c>
      <c r="CD33" s="2330">
        <v>12830</v>
      </c>
      <c r="CE33" s="2330">
        <v>12960</v>
      </c>
      <c r="CF33" s="2330">
        <v>13090</v>
      </c>
    </row>
    <row r="34" spans="2:84" collapsed="1">
      <c r="B34" s="79" t="s">
        <v>633</v>
      </c>
      <c r="C34" s="74"/>
      <c r="D34" s="74">
        <f>+Driver!V146</f>
        <v>12950</v>
      </c>
      <c r="E34" s="74">
        <f>+Driver!W146</f>
        <v>12842</v>
      </c>
      <c r="F34" s="74">
        <f>+Driver!X146</f>
        <v>14820</v>
      </c>
      <c r="G34" s="74">
        <v>14918</v>
      </c>
      <c r="H34" s="74"/>
      <c r="I34" s="74">
        <f>Quarterly!CE57</f>
        <v>15259</v>
      </c>
      <c r="J34" s="74"/>
      <c r="K34" s="74">
        <f>Quarterly!CW57</f>
        <v>15575</v>
      </c>
      <c r="L34" s="74">
        <f>Quarterly!DK57</f>
        <v>16206</v>
      </c>
      <c r="M34" s="74">
        <f>Quarterly!EU57</f>
        <v>16874</v>
      </c>
      <c r="N34" s="74">
        <f>Quarterly!FK57</f>
        <v>17656</v>
      </c>
      <c r="O34" s="74">
        <f>Quarterly!GD57</f>
        <v>18463</v>
      </c>
      <c r="P34" s="74">
        <f>Quarterly!GV57</f>
        <v>20530</v>
      </c>
      <c r="Q34" s="74">
        <f>Quarterly!HV57</f>
        <v>21112</v>
      </c>
      <c r="R34" s="74">
        <f>Quarterly!HZ57</f>
        <v>21100</v>
      </c>
      <c r="S34" s="74">
        <f>Quarterly!IR57</f>
        <v>22100</v>
      </c>
      <c r="T34" s="74">
        <f>Quarterly!JD57</f>
        <v>22888</v>
      </c>
      <c r="U34" s="74">
        <f>+Quarterly!JL57</f>
        <v>5963</v>
      </c>
      <c r="V34" s="74">
        <f>+Quarterly!JM57</f>
        <v>6159</v>
      </c>
      <c r="W34" s="74">
        <f>+Quarterly!JN57</f>
        <v>6232</v>
      </c>
      <c r="X34" s="74">
        <f>+Quarterly!JU57</f>
        <v>5546</v>
      </c>
      <c r="Y34" s="74">
        <f>+Driver!AL146</f>
        <v>23900</v>
      </c>
      <c r="Z34" s="74">
        <f>+Driver!AM146</f>
        <v>24700</v>
      </c>
      <c r="AA34" s="74">
        <f>+Driver!AN146</f>
        <v>25200</v>
      </c>
      <c r="AB34" s="74">
        <f>+Driver!AO146</f>
        <v>25700</v>
      </c>
      <c r="AC34" s="74">
        <f>+Driver!AP146</f>
        <v>26200</v>
      </c>
      <c r="AD34" s="74"/>
      <c r="AE34" s="74">
        <f>Quarterly!KG57</f>
        <v>23800</v>
      </c>
      <c r="AF34" s="74">
        <f>Quarterly!KH57</f>
        <v>23800</v>
      </c>
      <c r="AG34" s="74">
        <v>23000</v>
      </c>
      <c r="AH34" s="74"/>
      <c r="AI34" s="74">
        <f>Quarterly!KM57</f>
        <v>22800</v>
      </c>
      <c r="AJ34" s="2197"/>
      <c r="AK34" s="80"/>
      <c r="AL34" s="79" t="s">
        <v>632</v>
      </c>
      <c r="AM34" s="74"/>
      <c r="AN34" s="74">
        <f t="shared" si="29"/>
        <v>12950</v>
      </c>
      <c r="AO34" s="74">
        <f t="shared" si="30"/>
        <v>12842</v>
      </c>
      <c r="AP34" s="74">
        <f t="shared" si="31"/>
        <v>14820</v>
      </c>
      <c r="AQ34" s="74">
        <f t="shared" si="32"/>
        <v>14918</v>
      </c>
      <c r="AR34" s="74">
        <f t="shared" si="33"/>
        <v>15259</v>
      </c>
      <c r="AS34" s="74">
        <f t="shared" si="34"/>
        <v>15575</v>
      </c>
      <c r="AT34" s="74">
        <f t="shared" si="35"/>
        <v>16206</v>
      </c>
      <c r="AU34" s="74">
        <f t="shared" si="36"/>
        <v>16874</v>
      </c>
      <c r="AV34" s="74">
        <f t="shared" si="37"/>
        <v>17656</v>
      </c>
      <c r="AW34" s="74">
        <f t="shared" si="38"/>
        <v>18463</v>
      </c>
      <c r="AX34" s="74">
        <f t="shared" si="39"/>
        <v>20530</v>
      </c>
      <c r="AY34" s="74">
        <f t="shared" si="40"/>
        <v>21112</v>
      </c>
      <c r="AZ34" s="74">
        <f t="shared" si="41"/>
        <v>21100</v>
      </c>
      <c r="BA34" s="74">
        <f t="shared" si="42"/>
        <v>22100</v>
      </c>
      <c r="BB34" s="74">
        <f t="shared" si="43"/>
        <v>22888</v>
      </c>
      <c r="BC34" s="74">
        <f t="shared" si="44"/>
        <v>5963</v>
      </c>
      <c r="BD34" s="74">
        <f t="shared" si="45"/>
        <v>6159</v>
      </c>
      <c r="BE34" s="74">
        <f t="shared" si="46"/>
        <v>6232</v>
      </c>
      <c r="BF34" s="74">
        <f t="shared" si="47"/>
        <v>5546</v>
      </c>
      <c r="BG34" s="74">
        <f t="shared" si="48"/>
        <v>23900</v>
      </c>
      <c r="BH34" s="74">
        <f t="shared" si="49"/>
        <v>24700</v>
      </c>
      <c r="BI34" s="74">
        <f t="shared" si="50"/>
        <v>25200</v>
      </c>
      <c r="BJ34" s="74">
        <f t="shared" si="51"/>
        <v>25700</v>
      </c>
      <c r="BK34" s="74">
        <f t="shared" si="52"/>
        <v>26200</v>
      </c>
      <c r="BL34" s="74"/>
      <c r="BM34" s="74">
        <f t="shared" si="53"/>
        <v>23800</v>
      </c>
      <c r="BN34" s="74">
        <f t="shared" si="53"/>
        <v>23800</v>
      </c>
      <c r="BO34" s="74">
        <f t="shared" si="54"/>
        <v>23000</v>
      </c>
      <c r="BP34" s="74"/>
      <c r="BQ34" s="74">
        <f t="shared" si="55"/>
        <v>22800</v>
      </c>
      <c r="BS34" s="78">
        <f t="shared" si="56"/>
        <v>3.6906583288864869E-2</v>
      </c>
      <c r="BT34" s="78"/>
      <c r="BU34" s="78">
        <f t="shared" si="57"/>
        <v>3.2597094398254534E-2</v>
      </c>
      <c r="BX34" s="2330">
        <v>5963</v>
      </c>
      <c r="BY34" s="2330">
        <v>6159</v>
      </c>
      <c r="BZ34" s="2330">
        <v>6200</v>
      </c>
      <c r="CA34" s="2330">
        <v>5378</v>
      </c>
      <c r="CB34" s="2330">
        <v>23700</v>
      </c>
      <c r="CC34" s="2330">
        <v>24500</v>
      </c>
      <c r="CD34" s="2330">
        <v>25000</v>
      </c>
      <c r="CE34" s="2330">
        <v>25500</v>
      </c>
      <c r="CF34" s="2330">
        <v>26000</v>
      </c>
    </row>
    <row r="35" spans="2:84">
      <c r="B35" s="82" t="s">
        <v>647</v>
      </c>
      <c r="C35" s="83"/>
      <c r="D35" s="83">
        <f>+Driver!V149</f>
        <v>28252</v>
      </c>
      <c r="E35" s="83">
        <f>+Driver!W149</f>
        <v>26037</v>
      </c>
      <c r="F35" s="83">
        <f>28783+22</f>
        <v>28805</v>
      </c>
      <c r="G35" s="83">
        <f>29726+79</f>
        <v>29805</v>
      </c>
      <c r="H35" s="83"/>
      <c r="I35" s="83">
        <f>Quarterly!CE59+Quarterly!CE61</f>
        <v>40907</v>
      </c>
      <c r="J35" s="83"/>
      <c r="K35" s="83">
        <f>Quarterly!CW59+Quarterly!CW61</f>
        <v>42543</v>
      </c>
      <c r="L35" s="83">
        <f>Quarterly!DK59</f>
        <v>44978</v>
      </c>
      <c r="M35" s="83">
        <f>Quarterly!EU59</f>
        <v>46261</v>
      </c>
      <c r="N35" s="83">
        <f>Quarterly!FK59</f>
        <v>47106</v>
      </c>
      <c r="O35" s="83">
        <f>Quarterly!GD59</f>
        <v>49388</v>
      </c>
      <c r="P35" s="83">
        <f>Quarterly!GV59</f>
        <v>46866</v>
      </c>
      <c r="Q35" s="83">
        <f>Quarterly!HV59</f>
        <v>41448</v>
      </c>
      <c r="R35" s="83">
        <f>Quarterly!HZ59</f>
        <v>33800</v>
      </c>
      <c r="S35" s="83">
        <f>Quarterly!IR59</f>
        <v>33900</v>
      </c>
      <c r="T35" s="83">
        <f>Quarterly!JD59</f>
        <v>35196</v>
      </c>
      <c r="U35" s="83">
        <f>+Quarterly!JL59</f>
        <v>9384</v>
      </c>
      <c r="V35" s="83">
        <f>+Quarterly!JM59</f>
        <v>10074</v>
      </c>
      <c r="W35" s="83">
        <f>+Quarterly!JN59</f>
        <v>9378</v>
      </c>
      <c r="X35" s="83">
        <f>+Quarterly!JU59</f>
        <v>8164</v>
      </c>
      <c r="Y35" s="83">
        <f>+Driver!AL149</f>
        <v>37000</v>
      </c>
      <c r="Z35" s="83">
        <f>+Driver!AM149</f>
        <v>38200</v>
      </c>
      <c r="AA35" s="83">
        <f>+Driver!AN149</f>
        <v>39200</v>
      </c>
      <c r="AB35" s="83">
        <f>+Driver!AO149</f>
        <v>40000</v>
      </c>
      <c r="AC35" s="83">
        <f>+Driver!AP149</f>
        <v>40800</v>
      </c>
      <c r="AD35" s="83"/>
      <c r="AE35" s="83">
        <f>Quarterly!KG59</f>
        <v>36300</v>
      </c>
      <c r="AF35" s="83">
        <f>Quarterly!KH59</f>
        <v>36300</v>
      </c>
      <c r="AG35" s="83">
        <v>36000</v>
      </c>
      <c r="AH35" s="83"/>
      <c r="AI35" s="83">
        <f>Quarterly!KM59</f>
        <v>35000</v>
      </c>
      <c r="AJ35" s="2197"/>
      <c r="AK35" s="79"/>
      <c r="AL35" s="82" t="s">
        <v>646</v>
      </c>
      <c r="AM35" s="83"/>
      <c r="AN35" s="83">
        <f t="shared" si="29"/>
        <v>28252</v>
      </c>
      <c r="AO35" s="83">
        <f t="shared" si="30"/>
        <v>26037</v>
      </c>
      <c r="AP35" s="83">
        <f t="shared" si="31"/>
        <v>28805</v>
      </c>
      <c r="AQ35" s="83">
        <f t="shared" si="32"/>
        <v>29805</v>
      </c>
      <c r="AR35" s="83">
        <f t="shared" si="33"/>
        <v>40907</v>
      </c>
      <c r="AS35" s="83">
        <f t="shared" si="34"/>
        <v>42543</v>
      </c>
      <c r="AT35" s="83">
        <f t="shared" si="35"/>
        <v>44978</v>
      </c>
      <c r="AU35" s="83">
        <f t="shared" si="36"/>
        <v>46261</v>
      </c>
      <c r="AV35" s="83">
        <f t="shared" si="37"/>
        <v>47106</v>
      </c>
      <c r="AW35" s="83">
        <f t="shared" si="38"/>
        <v>49388</v>
      </c>
      <c r="AX35" s="83">
        <f t="shared" si="39"/>
        <v>46866</v>
      </c>
      <c r="AY35" s="83">
        <f t="shared" si="40"/>
        <v>41448</v>
      </c>
      <c r="AZ35" s="83">
        <f t="shared" si="41"/>
        <v>33800</v>
      </c>
      <c r="BA35" s="83">
        <f t="shared" si="42"/>
        <v>33900</v>
      </c>
      <c r="BB35" s="83">
        <f t="shared" si="43"/>
        <v>35196</v>
      </c>
      <c r="BC35" s="83">
        <f t="shared" si="44"/>
        <v>9384</v>
      </c>
      <c r="BD35" s="83">
        <f t="shared" si="45"/>
        <v>10074</v>
      </c>
      <c r="BE35" s="83">
        <f t="shared" si="46"/>
        <v>9378</v>
      </c>
      <c r="BF35" s="83">
        <f t="shared" si="47"/>
        <v>8164</v>
      </c>
      <c r="BG35" s="83">
        <f t="shared" si="48"/>
        <v>37000</v>
      </c>
      <c r="BH35" s="83">
        <f t="shared" si="49"/>
        <v>38200</v>
      </c>
      <c r="BI35" s="83">
        <f t="shared" si="50"/>
        <v>39200</v>
      </c>
      <c r="BJ35" s="83">
        <f t="shared" si="51"/>
        <v>40000</v>
      </c>
      <c r="BK35" s="83">
        <f t="shared" si="52"/>
        <v>40800</v>
      </c>
      <c r="BL35" s="74"/>
      <c r="BM35" s="83">
        <f t="shared" si="53"/>
        <v>36300</v>
      </c>
      <c r="BN35" s="83">
        <f t="shared" si="53"/>
        <v>36300</v>
      </c>
      <c r="BO35" s="83">
        <f t="shared" si="54"/>
        <v>36000</v>
      </c>
      <c r="BP35" s="74"/>
      <c r="BQ35" s="83">
        <f t="shared" si="55"/>
        <v>35000</v>
      </c>
      <c r="BS35" s="84">
        <f t="shared" si="56"/>
        <v>-9.1039229066139926E-2</v>
      </c>
      <c r="BT35" s="84"/>
      <c r="BU35" s="84">
        <f t="shared" si="57"/>
        <v>3.6567495046193388E-2</v>
      </c>
      <c r="BX35" s="2331">
        <v>9384</v>
      </c>
      <c r="BY35" s="2331">
        <v>10074</v>
      </c>
      <c r="BZ35" s="2331">
        <v>9200</v>
      </c>
      <c r="CA35" s="2331">
        <v>7642</v>
      </c>
      <c r="CB35" s="2331">
        <v>36300</v>
      </c>
      <c r="CC35" s="2331">
        <v>37500</v>
      </c>
      <c r="CD35" s="2331">
        <v>38500</v>
      </c>
      <c r="CE35" s="2331">
        <v>39300</v>
      </c>
      <c r="CF35" s="2331">
        <v>40100</v>
      </c>
    </row>
    <row r="36" spans="2:84">
      <c r="B36" s="87" t="s">
        <v>645</v>
      </c>
      <c r="C36" s="85"/>
      <c r="D36" s="85">
        <f>+D14</f>
        <v>31121</v>
      </c>
      <c r="E36" s="85">
        <f>+E14</f>
        <v>25811</v>
      </c>
      <c r="F36" s="85">
        <f>+F14</f>
        <v>25514</v>
      </c>
      <c r="G36" s="85">
        <f>+G14</f>
        <v>29623</v>
      </c>
      <c r="H36" s="85"/>
      <c r="I36" s="85">
        <f>+I14</f>
        <v>30595</v>
      </c>
      <c r="J36" s="85"/>
      <c r="K36" s="85">
        <f t="shared" ref="K36:P36" si="58">+K14</f>
        <v>25076</v>
      </c>
      <c r="L36" s="85">
        <f t="shared" si="58"/>
        <v>28314</v>
      </c>
      <c r="M36" s="85">
        <f t="shared" si="58"/>
        <v>29487</v>
      </c>
      <c r="N36" s="85">
        <f t="shared" si="58"/>
        <v>26653</v>
      </c>
      <c r="O36" s="85">
        <f t="shared" si="58"/>
        <v>23662</v>
      </c>
      <c r="P36" s="85">
        <f t="shared" si="58"/>
        <v>28349</v>
      </c>
      <c r="Q36" s="85">
        <f t="shared" ref="Q36:R36" si="59">+Q14</f>
        <v>36460</v>
      </c>
      <c r="R36" s="85">
        <f t="shared" si="59"/>
        <v>36460</v>
      </c>
      <c r="S36" s="85">
        <f t="shared" ref="S36:T36" si="60">+S14</f>
        <v>29738</v>
      </c>
      <c r="T36" s="85">
        <f t="shared" si="60"/>
        <v>40330</v>
      </c>
      <c r="U36" s="85">
        <f>+U14</f>
        <v>13190</v>
      </c>
      <c r="V36" s="85">
        <f t="shared" ref="V36:X36" si="61">+V14</f>
        <v>16634</v>
      </c>
      <c r="W36" s="85">
        <f t="shared" ref="W36" si="62">+W14</f>
        <v>18187</v>
      </c>
      <c r="X36" s="85">
        <f t="shared" si="61"/>
        <v>11489</v>
      </c>
      <c r="Y36" s="85">
        <f t="shared" ref="Y36" si="63">+Y14</f>
        <v>59500</v>
      </c>
      <c r="Z36" s="85">
        <f t="shared" ref="Z36" si="64">+Z14</f>
        <v>64000</v>
      </c>
      <c r="AA36" s="85">
        <f t="shared" ref="AA36:AB36" si="65">+AA14</f>
        <v>66100</v>
      </c>
      <c r="AB36" s="85">
        <f t="shared" si="65"/>
        <v>68000</v>
      </c>
      <c r="AC36" s="85">
        <f t="shared" ref="AC36" si="66">+AC14</f>
        <v>70200</v>
      </c>
      <c r="AD36" s="85"/>
      <c r="AE36" s="85">
        <f t="shared" ref="AE36:AF36" si="67">+AE14</f>
        <v>52000</v>
      </c>
      <c r="AF36" s="85">
        <f t="shared" si="67"/>
        <v>50000</v>
      </c>
      <c r="AG36" s="85">
        <f>+AG14</f>
        <v>42000</v>
      </c>
      <c r="AH36" s="85"/>
      <c r="AI36" s="85">
        <f t="shared" ref="AI36" si="68">+AI14</f>
        <v>41000</v>
      </c>
      <c r="AJ36" s="2197"/>
      <c r="AK36" s="2308"/>
      <c r="AL36" s="87" t="s">
        <v>644</v>
      </c>
      <c r="AM36" s="85"/>
      <c r="AN36" s="85">
        <f t="shared" si="29"/>
        <v>31121</v>
      </c>
      <c r="AO36" s="85">
        <f t="shared" si="30"/>
        <v>25811</v>
      </c>
      <c r="AP36" s="85">
        <f t="shared" si="31"/>
        <v>25514</v>
      </c>
      <c r="AQ36" s="85">
        <f t="shared" si="32"/>
        <v>29623</v>
      </c>
      <c r="AR36" s="85">
        <f t="shared" si="33"/>
        <v>30595</v>
      </c>
      <c r="AS36" s="85">
        <f t="shared" si="34"/>
        <v>25076</v>
      </c>
      <c r="AT36" s="85">
        <f t="shared" si="35"/>
        <v>28314</v>
      </c>
      <c r="AU36" s="85">
        <f t="shared" si="36"/>
        <v>29487</v>
      </c>
      <c r="AV36" s="85">
        <f t="shared" si="37"/>
        <v>26653</v>
      </c>
      <c r="AW36" s="85">
        <f t="shared" si="38"/>
        <v>23662</v>
      </c>
      <c r="AX36" s="85">
        <f t="shared" si="39"/>
        <v>28349</v>
      </c>
      <c r="AY36" s="85">
        <f t="shared" si="40"/>
        <v>36460</v>
      </c>
      <c r="AZ36" s="85">
        <f t="shared" si="41"/>
        <v>36460</v>
      </c>
      <c r="BA36" s="85">
        <f t="shared" si="42"/>
        <v>29738</v>
      </c>
      <c r="BB36" s="85">
        <f t="shared" si="43"/>
        <v>40330</v>
      </c>
      <c r="BC36" s="85">
        <f t="shared" si="44"/>
        <v>13190</v>
      </c>
      <c r="BD36" s="85">
        <f t="shared" si="45"/>
        <v>16634</v>
      </c>
      <c r="BE36" s="85">
        <f t="shared" si="46"/>
        <v>18187</v>
      </c>
      <c r="BF36" s="85">
        <f t="shared" si="47"/>
        <v>11489</v>
      </c>
      <c r="BG36" s="85">
        <f t="shared" si="48"/>
        <v>59500</v>
      </c>
      <c r="BH36" s="85">
        <f t="shared" si="49"/>
        <v>64000</v>
      </c>
      <c r="BI36" s="85">
        <f t="shared" si="50"/>
        <v>66100</v>
      </c>
      <c r="BJ36" s="85">
        <f t="shared" si="51"/>
        <v>68000</v>
      </c>
      <c r="BK36" s="85">
        <f t="shared" si="52"/>
        <v>70200</v>
      </c>
      <c r="BL36" s="85"/>
      <c r="BM36" s="85">
        <f t="shared" si="53"/>
        <v>52000</v>
      </c>
      <c r="BN36" s="85">
        <f t="shared" si="53"/>
        <v>50000</v>
      </c>
      <c r="BO36" s="85">
        <f t="shared" si="54"/>
        <v>42000</v>
      </c>
      <c r="BP36" s="85"/>
      <c r="BQ36" s="85">
        <f t="shared" si="55"/>
        <v>41000</v>
      </c>
      <c r="BS36" s="88">
        <f t="shared" si="56"/>
        <v>0.12468307429913961</v>
      </c>
      <c r="BT36" s="88"/>
      <c r="BU36" s="88">
        <f t="shared" si="57"/>
        <v>0.17902879676118921</v>
      </c>
      <c r="BX36" s="2332">
        <v>13190</v>
      </c>
      <c r="BY36" s="2332">
        <v>16634</v>
      </c>
      <c r="BZ36" s="2332">
        <v>16750</v>
      </c>
      <c r="CA36" s="2332">
        <v>9226</v>
      </c>
      <c r="CB36" s="2332">
        <v>55800</v>
      </c>
      <c r="CC36" s="2332">
        <v>60200</v>
      </c>
      <c r="CD36" s="2332">
        <v>62300</v>
      </c>
      <c r="CE36" s="2332">
        <v>64200</v>
      </c>
      <c r="CF36" s="2332">
        <v>66400</v>
      </c>
    </row>
    <row r="37" spans="2:84">
      <c r="B37" s="79" t="s">
        <v>643</v>
      </c>
      <c r="C37" s="74"/>
      <c r="D37" s="74">
        <f>+Driver!V184</f>
        <v>390</v>
      </c>
      <c r="E37" s="74">
        <f>+Driver!W184</f>
        <v>707</v>
      </c>
      <c r="F37" s="74">
        <f>+Driver!X184</f>
        <v>864</v>
      </c>
      <c r="G37" s="74">
        <v>49</v>
      </c>
      <c r="H37" s="74"/>
      <c r="I37" s="74">
        <f>Quarterly!CE73</f>
        <v>-160</v>
      </c>
      <c r="J37" s="74"/>
      <c r="K37" s="74">
        <f>Quarterly!CW73</f>
        <v>-769</v>
      </c>
      <c r="L37" s="74">
        <f>Quarterly!DK73</f>
        <v>-171</v>
      </c>
      <c r="M37" s="74">
        <f>Quarterly!EU73</f>
        <v>190</v>
      </c>
      <c r="N37" s="74">
        <f>Quarterly!FK73</f>
        <v>288</v>
      </c>
      <c r="O37" s="74">
        <f>Quarterly!GD73</f>
        <v>158</v>
      </c>
      <c r="P37" s="74">
        <f>Quarterly!GV73</f>
        <v>-671</v>
      </c>
      <c r="Q37" s="74">
        <f>Quarterly!HV73</f>
        <v>15</v>
      </c>
      <c r="R37" s="74">
        <f>Quarterly!HZ73</f>
        <v>15</v>
      </c>
      <c r="S37" s="74">
        <f>Quarterly!IR73</f>
        <v>161</v>
      </c>
      <c r="T37" s="74">
        <f>Quarterly!JD73</f>
        <v>46</v>
      </c>
      <c r="U37" s="74">
        <f>+Quarterly!JL73</f>
        <v>133</v>
      </c>
      <c r="V37" s="74">
        <f>+Quarterly!JM73</f>
        <v>32</v>
      </c>
      <c r="W37" s="74">
        <f>+Quarterly!JN73</f>
        <v>67</v>
      </c>
      <c r="X37" s="74">
        <f>+Quarterly!JU73</f>
        <v>68</v>
      </c>
      <c r="Y37" s="74">
        <f>+Driver!AL184</f>
        <v>300</v>
      </c>
      <c r="Z37" s="74">
        <f>+Driver!AM184</f>
        <v>300</v>
      </c>
      <c r="AA37" s="74">
        <f>+Driver!AN184</f>
        <v>300</v>
      </c>
      <c r="AB37" s="74">
        <f>+Driver!AO184</f>
        <v>300</v>
      </c>
      <c r="AC37" s="74">
        <f>+Driver!AP184</f>
        <v>300</v>
      </c>
      <c r="AD37" s="74"/>
      <c r="AE37" s="74">
        <f>Quarterly!KG73</f>
        <v>200</v>
      </c>
      <c r="AF37" s="74">
        <f>Quarterly!KH73</f>
        <v>200</v>
      </c>
      <c r="AG37" s="74">
        <v>400</v>
      </c>
      <c r="AH37" s="74"/>
      <c r="AI37" s="74">
        <f>Quarterly!KM73</f>
        <v>300</v>
      </c>
      <c r="AJ37" s="2197"/>
      <c r="AK37" s="2309"/>
      <c r="AL37" s="79" t="s">
        <v>642</v>
      </c>
      <c r="AM37" s="74"/>
      <c r="AN37" s="74">
        <f t="shared" si="29"/>
        <v>390</v>
      </c>
      <c r="AO37" s="74">
        <f t="shared" si="30"/>
        <v>707</v>
      </c>
      <c r="AP37" s="74">
        <f t="shared" si="31"/>
        <v>864</v>
      </c>
      <c r="AQ37" s="74">
        <f t="shared" si="32"/>
        <v>49</v>
      </c>
      <c r="AR37" s="74">
        <f t="shared" si="33"/>
        <v>-160</v>
      </c>
      <c r="AS37" s="74">
        <f t="shared" si="34"/>
        <v>-769</v>
      </c>
      <c r="AT37" s="74">
        <f t="shared" si="35"/>
        <v>-171</v>
      </c>
      <c r="AU37" s="74">
        <f t="shared" si="36"/>
        <v>190</v>
      </c>
      <c r="AV37" s="74">
        <f t="shared" si="37"/>
        <v>288</v>
      </c>
      <c r="AW37" s="74">
        <f t="shared" si="38"/>
        <v>158</v>
      </c>
      <c r="AX37" s="74">
        <f t="shared" si="39"/>
        <v>-671</v>
      </c>
      <c r="AY37" s="74">
        <f t="shared" si="40"/>
        <v>15</v>
      </c>
      <c r="AZ37" s="74">
        <f t="shared" si="41"/>
        <v>15</v>
      </c>
      <c r="BA37" s="74">
        <f t="shared" si="42"/>
        <v>161</v>
      </c>
      <c r="BB37" s="74">
        <f t="shared" si="43"/>
        <v>46</v>
      </c>
      <c r="BC37" s="74">
        <f t="shared" si="44"/>
        <v>133</v>
      </c>
      <c r="BD37" s="74">
        <f t="shared" si="45"/>
        <v>32</v>
      </c>
      <c r="BE37" s="74">
        <f t="shared" si="46"/>
        <v>67</v>
      </c>
      <c r="BF37" s="74">
        <f t="shared" si="47"/>
        <v>68</v>
      </c>
      <c r="BG37" s="74">
        <f t="shared" si="48"/>
        <v>300</v>
      </c>
      <c r="BH37" s="74">
        <f t="shared" si="49"/>
        <v>300</v>
      </c>
      <c r="BI37" s="74">
        <f t="shared" si="50"/>
        <v>300</v>
      </c>
      <c r="BJ37" s="74">
        <f t="shared" si="51"/>
        <v>300</v>
      </c>
      <c r="BK37" s="74">
        <f t="shared" si="52"/>
        <v>300</v>
      </c>
      <c r="BL37" s="74"/>
      <c r="BM37" s="74">
        <f t="shared" si="53"/>
        <v>200</v>
      </c>
      <c r="BN37" s="74">
        <f t="shared" si="53"/>
        <v>200</v>
      </c>
      <c r="BO37" s="74">
        <f t="shared" si="54"/>
        <v>400</v>
      </c>
      <c r="BP37" s="74"/>
      <c r="BQ37" s="74">
        <f t="shared" si="55"/>
        <v>300</v>
      </c>
      <c r="BS37" s="78">
        <f t="shared" si="56"/>
        <v>-1.4092717519031617</v>
      </c>
      <c r="BT37" s="78"/>
      <c r="BU37" s="78">
        <f t="shared" si="57"/>
        <v>0.86833381573648016</v>
      </c>
      <c r="BX37" s="2330">
        <v>133</v>
      </c>
      <c r="BY37" s="2330">
        <v>32</v>
      </c>
      <c r="BZ37" s="2330">
        <v>50</v>
      </c>
      <c r="CA37" s="2330">
        <v>85</v>
      </c>
      <c r="CB37" s="2330">
        <v>300</v>
      </c>
      <c r="CC37" s="2330">
        <v>300</v>
      </c>
      <c r="CD37" s="2330">
        <v>300</v>
      </c>
      <c r="CE37" s="2330">
        <v>300</v>
      </c>
      <c r="CF37" s="2330">
        <v>300</v>
      </c>
    </row>
    <row r="38" spans="2:84">
      <c r="B38" s="79" t="s">
        <v>641</v>
      </c>
      <c r="C38" s="74"/>
      <c r="D38" s="74">
        <f>+Driver!V187</f>
        <v>12128</v>
      </c>
      <c r="E38" s="74">
        <f>+Driver!W187</f>
        <v>7447</v>
      </c>
      <c r="F38" s="74">
        <f>+Driver!X187</f>
        <v>8286</v>
      </c>
      <c r="G38" s="74">
        <v>13162</v>
      </c>
      <c r="H38" s="74"/>
      <c r="I38" s="74">
        <f>Quarterly!CE74</f>
        <v>13127</v>
      </c>
      <c r="J38" s="74"/>
      <c r="K38" s="74">
        <f>Quarterly!CW74</f>
        <v>12162</v>
      </c>
      <c r="L38" s="74">
        <f>Quarterly!DK74</f>
        <v>12142</v>
      </c>
      <c r="M38" s="74">
        <f>Quarterly!EU74</f>
        <v>11810</v>
      </c>
      <c r="N38" s="74">
        <f>Quarterly!FK74</f>
        <v>9976</v>
      </c>
      <c r="O38" s="74">
        <f>Quarterly!GD74</f>
        <v>9582</v>
      </c>
      <c r="P38" s="74">
        <f>Quarterly!GV74</f>
        <v>12193</v>
      </c>
      <c r="Q38" s="74">
        <f>Quarterly!HV74</f>
        <v>16103</v>
      </c>
      <c r="R38" s="74">
        <f>Quarterly!HZ74</f>
        <v>16103</v>
      </c>
      <c r="S38" s="74">
        <f>Quarterly!IR74</f>
        <v>10057</v>
      </c>
      <c r="T38" s="74">
        <f>Quarterly!JD74</f>
        <v>26113</v>
      </c>
      <c r="U38" s="74">
        <f>+Quarterly!JL74</f>
        <v>9195</v>
      </c>
      <c r="V38" s="74">
        <f>+Quarterly!JM74</f>
        <v>12015</v>
      </c>
      <c r="W38" s="74">
        <f>+Quarterly!JN74</f>
        <v>10181</v>
      </c>
      <c r="X38" s="74">
        <f>+Quarterly!JU74</f>
        <v>8709</v>
      </c>
      <c r="Y38" s="74">
        <f>+Driver!AL187</f>
        <v>40100</v>
      </c>
      <c r="Z38" s="74">
        <f>+Driver!AM187</f>
        <v>42300</v>
      </c>
      <c r="AA38" s="74">
        <f>+Driver!AN187</f>
        <v>43600</v>
      </c>
      <c r="AB38" s="74">
        <f>+Driver!AO187</f>
        <v>45300</v>
      </c>
      <c r="AC38" s="74">
        <f>+Driver!AP187</f>
        <v>47200</v>
      </c>
      <c r="AD38" s="74"/>
      <c r="AE38" s="74">
        <f>Quarterly!KG74</f>
        <v>35200</v>
      </c>
      <c r="AF38" s="74">
        <f>Quarterly!KH74</f>
        <v>33200</v>
      </c>
      <c r="AG38" s="74">
        <v>22000</v>
      </c>
      <c r="AH38" s="74"/>
      <c r="AI38" s="74">
        <f>Quarterly!KM74</f>
        <v>23900</v>
      </c>
      <c r="AJ38" s="2197"/>
      <c r="AK38" s="2309"/>
      <c r="AL38" s="79" t="s">
        <v>640</v>
      </c>
      <c r="AM38" s="74"/>
      <c r="AN38" s="74">
        <f t="shared" si="29"/>
        <v>12128</v>
      </c>
      <c r="AO38" s="74">
        <f t="shared" si="30"/>
        <v>7447</v>
      </c>
      <c r="AP38" s="74">
        <f t="shared" si="31"/>
        <v>8286</v>
      </c>
      <c r="AQ38" s="74">
        <f t="shared" si="32"/>
        <v>13162</v>
      </c>
      <c r="AR38" s="74">
        <f t="shared" si="33"/>
        <v>13127</v>
      </c>
      <c r="AS38" s="74">
        <f t="shared" si="34"/>
        <v>12162</v>
      </c>
      <c r="AT38" s="74">
        <f t="shared" si="35"/>
        <v>12142</v>
      </c>
      <c r="AU38" s="74">
        <f t="shared" si="36"/>
        <v>11810</v>
      </c>
      <c r="AV38" s="74">
        <f t="shared" si="37"/>
        <v>9976</v>
      </c>
      <c r="AW38" s="74">
        <f t="shared" si="38"/>
        <v>9582</v>
      </c>
      <c r="AX38" s="74">
        <f t="shared" si="39"/>
        <v>12193</v>
      </c>
      <c r="AY38" s="74">
        <f t="shared" si="40"/>
        <v>16103</v>
      </c>
      <c r="AZ38" s="74">
        <f t="shared" si="41"/>
        <v>16103</v>
      </c>
      <c r="BA38" s="74">
        <f t="shared" si="42"/>
        <v>10057</v>
      </c>
      <c r="BB38" s="74">
        <f t="shared" si="43"/>
        <v>26113</v>
      </c>
      <c r="BC38" s="74">
        <f t="shared" si="44"/>
        <v>9195</v>
      </c>
      <c r="BD38" s="74">
        <f t="shared" si="45"/>
        <v>12015</v>
      </c>
      <c r="BE38" s="74">
        <f t="shared" si="46"/>
        <v>10181</v>
      </c>
      <c r="BF38" s="74">
        <f t="shared" si="47"/>
        <v>8709</v>
      </c>
      <c r="BG38" s="74">
        <f t="shared" si="48"/>
        <v>40100</v>
      </c>
      <c r="BH38" s="74">
        <f t="shared" si="49"/>
        <v>42300</v>
      </c>
      <c r="BI38" s="74">
        <f t="shared" si="50"/>
        <v>43600</v>
      </c>
      <c r="BJ38" s="74">
        <f t="shared" si="51"/>
        <v>45300</v>
      </c>
      <c r="BK38" s="74">
        <f t="shared" si="52"/>
        <v>47200</v>
      </c>
      <c r="BL38" s="74"/>
      <c r="BM38" s="74">
        <f t="shared" si="53"/>
        <v>35200</v>
      </c>
      <c r="BN38" s="74">
        <f t="shared" si="53"/>
        <v>33200</v>
      </c>
      <c r="BO38" s="74">
        <f t="shared" si="54"/>
        <v>22000</v>
      </c>
      <c r="BP38" s="74"/>
      <c r="BQ38" s="74">
        <f t="shared" si="55"/>
        <v>23900</v>
      </c>
      <c r="BS38" s="78">
        <f t="shared" si="56"/>
        <v>0.28898757674994413</v>
      </c>
      <c r="BT38" s="78"/>
      <c r="BU38" s="78">
        <f t="shared" si="57"/>
        <v>0.18634200236064657</v>
      </c>
      <c r="BX38" s="2330">
        <v>9195</v>
      </c>
      <c r="BY38" s="2330">
        <v>12015</v>
      </c>
      <c r="BZ38" s="2330">
        <v>10000</v>
      </c>
      <c r="CA38" s="2330">
        <v>7390</v>
      </c>
      <c r="CB38" s="2330">
        <v>38600</v>
      </c>
      <c r="CC38" s="2330">
        <v>40800</v>
      </c>
      <c r="CD38" s="2330">
        <v>42200</v>
      </c>
      <c r="CE38" s="2330">
        <v>43900</v>
      </c>
      <c r="CF38" s="2330">
        <v>45800</v>
      </c>
    </row>
    <row r="39" spans="2:84">
      <c r="B39" s="79" t="s">
        <v>639</v>
      </c>
      <c r="C39" s="74"/>
      <c r="D39" s="74">
        <f>+Driver!V191</f>
        <v>12350</v>
      </c>
      <c r="E39" s="74">
        <f>+Driver!W191</f>
        <v>11640</v>
      </c>
      <c r="F39" s="74">
        <f>+Driver!X191</f>
        <v>10706</v>
      </c>
      <c r="G39" s="74">
        <v>12022</v>
      </c>
      <c r="H39" s="74"/>
      <c r="I39" s="74">
        <f>Quarterly!CE102</f>
        <v>12142</v>
      </c>
      <c r="J39" s="74"/>
      <c r="K39" s="74">
        <f>Quarterly!CW102</f>
        <v>9208</v>
      </c>
      <c r="L39" s="74">
        <f>Quarterly!DK102</f>
        <v>10011</v>
      </c>
      <c r="M39" s="74">
        <f>Quarterly!EU102</f>
        <v>10048</v>
      </c>
      <c r="N39" s="74">
        <f>Quarterly!FK102</f>
        <v>8311</v>
      </c>
      <c r="O39" s="74">
        <f>Quarterly!GD102</f>
        <v>7860</v>
      </c>
      <c r="P39" s="74">
        <f>Quarterly!GV102</f>
        <v>11084</v>
      </c>
      <c r="Q39" s="74">
        <f>Quarterly!HV102</f>
        <v>13310</v>
      </c>
      <c r="R39" s="74">
        <f>Quarterly!HZ102</f>
        <v>13310</v>
      </c>
      <c r="S39" s="74">
        <f>Quarterly!IR102</f>
        <v>10849</v>
      </c>
      <c r="T39" s="74">
        <f>Quarterly!JD102</f>
        <v>6708</v>
      </c>
      <c r="U39" s="74">
        <f>+Quarterly!JL102</f>
        <v>1086</v>
      </c>
      <c r="V39" s="74">
        <f>+Quarterly!JM102</f>
        <v>1739</v>
      </c>
      <c r="W39" s="74">
        <f>+Quarterly!JN102</f>
        <v>5120</v>
      </c>
      <c r="X39" s="74">
        <f>+Quarterly!JU102</f>
        <v>1455</v>
      </c>
      <c r="Y39" s="74">
        <f>+Driver!AL191</f>
        <v>9400</v>
      </c>
      <c r="Z39" s="74">
        <f>+Driver!AM191</f>
        <v>11200</v>
      </c>
      <c r="AA39" s="74">
        <f>+Driver!AN191</f>
        <v>11700</v>
      </c>
      <c r="AB39" s="74">
        <f>+Driver!AO191</f>
        <v>11800</v>
      </c>
      <c r="AC39" s="74">
        <f>+Driver!AP191</f>
        <v>11800</v>
      </c>
      <c r="AD39" s="74"/>
      <c r="AE39" s="74">
        <f>Quarterly!KG102</f>
        <v>8000</v>
      </c>
      <c r="AF39" s="74">
        <f>Quarterly!KH102</f>
        <v>8000</v>
      </c>
      <c r="AG39" s="74">
        <v>11000</v>
      </c>
      <c r="AH39" s="74"/>
      <c r="AI39" s="74">
        <f>Quarterly!KM102</f>
        <v>8500</v>
      </c>
      <c r="AJ39" s="2197"/>
      <c r="AK39" s="2309"/>
      <c r="AL39" s="79" t="s">
        <v>638</v>
      </c>
      <c r="AM39" s="74"/>
      <c r="AN39" s="74">
        <f t="shared" si="29"/>
        <v>12350</v>
      </c>
      <c r="AO39" s="74">
        <f t="shared" si="30"/>
        <v>11640</v>
      </c>
      <c r="AP39" s="74">
        <f t="shared" si="31"/>
        <v>10706</v>
      </c>
      <c r="AQ39" s="74">
        <f t="shared" si="32"/>
        <v>12022</v>
      </c>
      <c r="AR39" s="74">
        <f t="shared" si="33"/>
        <v>12142</v>
      </c>
      <c r="AS39" s="74">
        <f t="shared" si="34"/>
        <v>9208</v>
      </c>
      <c r="AT39" s="74">
        <f t="shared" si="35"/>
        <v>10011</v>
      </c>
      <c r="AU39" s="74">
        <f t="shared" si="36"/>
        <v>10048</v>
      </c>
      <c r="AV39" s="74">
        <f t="shared" si="37"/>
        <v>8311</v>
      </c>
      <c r="AW39" s="74">
        <f t="shared" si="38"/>
        <v>7860</v>
      </c>
      <c r="AX39" s="74">
        <f t="shared" si="39"/>
        <v>11084</v>
      </c>
      <c r="AY39" s="74">
        <f t="shared" si="40"/>
        <v>13310</v>
      </c>
      <c r="AZ39" s="74">
        <f t="shared" si="41"/>
        <v>13310</v>
      </c>
      <c r="BA39" s="74">
        <f t="shared" si="42"/>
        <v>10849</v>
      </c>
      <c r="BB39" s="74">
        <f t="shared" si="43"/>
        <v>6708</v>
      </c>
      <c r="BC39" s="74">
        <f t="shared" si="44"/>
        <v>1086</v>
      </c>
      <c r="BD39" s="74">
        <f t="shared" si="45"/>
        <v>1739</v>
      </c>
      <c r="BE39" s="74">
        <f t="shared" si="46"/>
        <v>5120</v>
      </c>
      <c r="BF39" s="74">
        <f t="shared" si="47"/>
        <v>1455</v>
      </c>
      <c r="BG39" s="74">
        <f t="shared" si="48"/>
        <v>9400</v>
      </c>
      <c r="BH39" s="74">
        <f t="shared" si="49"/>
        <v>11200</v>
      </c>
      <c r="BI39" s="74">
        <f t="shared" si="50"/>
        <v>11700</v>
      </c>
      <c r="BJ39" s="74">
        <f t="shared" si="51"/>
        <v>11800</v>
      </c>
      <c r="BK39" s="74">
        <f t="shared" si="52"/>
        <v>11800</v>
      </c>
      <c r="BL39" s="74"/>
      <c r="BM39" s="74">
        <f t="shared" si="53"/>
        <v>8000</v>
      </c>
      <c r="BN39" s="74">
        <f t="shared" si="53"/>
        <v>8000</v>
      </c>
      <c r="BO39" s="74">
        <f t="shared" si="54"/>
        <v>11000</v>
      </c>
      <c r="BP39" s="74"/>
      <c r="BQ39" s="74">
        <f t="shared" si="55"/>
        <v>8500</v>
      </c>
      <c r="BS39" s="78">
        <f t="shared" si="56"/>
        <v>-0.15413930355497274</v>
      </c>
      <c r="BT39" s="78"/>
      <c r="BU39" s="78">
        <f t="shared" si="57"/>
        <v>0.20373513195449799</v>
      </c>
      <c r="BX39" s="2330">
        <v>1086</v>
      </c>
      <c r="BY39" s="2330">
        <v>1739</v>
      </c>
      <c r="BZ39" s="2330">
        <v>4700</v>
      </c>
      <c r="CA39" s="2330">
        <v>575</v>
      </c>
      <c r="CB39" s="2330">
        <v>8100</v>
      </c>
      <c r="CC39" s="2330">
        <v>9800</v>
      </c>
      <c r="CD39" s="2330">
        <v>10200</v>
      </c>
      <c r="CE39" s="2330">
        <v>10300</v>
      </c>
      <c r="CF39" s="2330">
        <v>10300</v>
      </c>
    </row>
    <row r="40" spans="2:84">
      <c r="B40" s="79" t="s">
        <v>637</v>
      </c>
      <c r="C40" s="74"/>
      <c r="D40" s="74">
        <f>+Driver!V222</f>
        <v>4169</v>
      </c>
      <c r="E40" s="74">
        <f>+Driver!W222</f>
        <v>4287</v>
      </c>
      <c r="F40" s="74">
        <f>+Driver!X222</f>
        <v>3607</v>
      </c>
      <c r="G40" s="74">
        <v>3567</v>
      </c>
      <c r="H40" s="74"/>
      <c r="I40" s="74">
        <f>Quarterly!CE127</f>
        <v>3344</v>
      </c>
      <c r="J40" s="74"/>
      <c r="K40" s="74">
        <f>Quarterly!CW127</f>
        <v>3535</v>
      </c>
      <c r="L40" s="74">
        <f>Quarterly!DK127</f>
        <v>3853</v>
      </c>
      <c r="M40" s="74">
        <f>Quarterly!EU127</f>
        <v>4943</v>
      </c>
      <c r="N40" s="74">
        <f>Quarterly!FK127</f>
        <v>5271</v>
      </c>
      <c r="O40" s="74">
        <f>Quarterly!GD127</f>
        <v>4543</v>
      </c>
      <c r="P40" s="74">
        <f>Quarterly!GV127</f>
        <v>5587</v>
      </c>
      <c r="Q40" s="74">
        <f>Quarterly!HV127</f>
        <v>6824</v>
      </c>
      <c r="R40" s="74">
        <f>Quarterly!HZ127</f>
        <v>6824</v>
      </c>
      <c r="S40" s="74">
        <f>Quarterly!IR127</f>
        <v>6372</v>
      </c>
      <c r="T40" s="74">
        <f>Quarterly!JD127</f>
        <v>5060</v>
      </c>
      <c r="U40" s="74">
        <f>+Quarterly!JL127</f>
        <v>1959</v>
      </c>
      <c r="V40" s="74">
        <f>+Quarterly!JM127</f>
        <v>1914</v>
      </c>
      <c r="W40" s="74">
        <f>+Quarterly!JN127</f>
        <v>1726</v>
      </c>
      <c r="X40" s="74">
        <f>+Quarterly!JU127</f>
        <v>1501</v>
      </c>
      <c r="Y40" s="74">
        <f>+Driver!AL222</f>
        <v>7100</v>
      </c>
      <c r="Z40" s="74">
        <f>+Driver!AM222</f>
        <v>7200</v>
      </c>
      <c r="AA40" s="74">
        <f>+Driver!AN222</f>
        <v>7300</v>
      </c>
      <c r="AB40" s="74">
        <f>+Driver!AO222</f>
        <v>7400</v>
      </c>
      <c r="AC40" s="74">
        <f>+Driver!AP222</f>
        <v>7500</v>
      </c>
      <c r="AD40" s="74"/>
      <c r="AE40" s="74">
        <f>Quarterly!KG127</f>
        <v>6500</v>
      </c>
      <c r="AF40" s="74">
        <f>Quarterly!KH127</f>
        <v>6500</v>
      </c>
      <c r="AG40" s="74">
        <v>6100</v>
      </c>
      <c r="AH40" s="74"/>
      <c r="AI40" s="74">
        <f>Quarterly!KM127</f>
        <v>5800</v>
      </c>
      <c r="AJ40" s="2197"/>
      <c r="AK40" s="2309"/>
      <c r="AL40" s="79" t="s">
        <v>636</v>
      </c>
      <c r="AM40" s="74"/>
      <c r="AN40" s="74">
        <f t="shared" si="29"/>
        <v>4169</v>
      </c>
      <c r="AO40" s="74">
        <f t="shared" si="30"/>
        <v>4287</v>
      </c>
      <c r="AP40" s="74">
        <f t="shared" si="31"/>
        <v>3607</v>
      </c>
      <c r="AQ40" s="74">
        <f t="shared" si="32"/>
        <v>3567</v>
      </c>
      <c r="AR40" s="74">
        <f t="shared" si="33"/>
        <v>3344</v>
      </c>
      <c r="AS40" s="74">
        <f t="shared" si="34"/>
        <v>3535</v>
      </c>
      <c r="AT40" s="74">
        <f t="shared" si="35"/>
        <v>3853</v>
      </c>
      <c r="AU40" s="74">
        <f t="shared" si="36"/>
        <v>4943</v>
      </c>
      <c r="AV40" s="74">
        <f t="shared" si="37"/>
        <v>5271</v>
      </c>
      <c r="AW40" s="74">
        <f t="shared" si="38"/>
        <v>4543</v>
      </c>
      <c r="AX40" s="74">
        <f t="shared" si="39"/>
        <v>5587</v>
      </c>
      <c r="AY40" s="74">
        <f t="shared" si="40"/>
        <v>6824</v>
      </c>
      <c r="AZ40" s="74">
        <f t="shared" si="41"/>
        <v>6824</v>
      </c>
      <c r="BA40" s="74">
        <f t="shared" si="42"/>
        <v>6372</v>
      </c>
      <c r="BB40" s="74">
        <f t="shared" si="43"/>
        <v>5060</v>
      </c>
      <c r="BC40" s="74">
        <f t="shared" si="44"/>
        <v>1959</v>
      </c>
      <c r="BD40" s="74">
        <f t="shared" si="45"/>
        <v>1914</v>
      </c>
      <c r="BE40" s="74">
        <f t="shared" si="46"/>
        <v>1726</v>
      </c>
      <c r="BF40" s="74">
        <f t="shared" si="47"/>
        <v>1501</v>
      </c>
      <c r="BG40" s="74">
        <f t="shared" si="48"/>
        <v>7100</v>
      </c>
      <c r="BH40" s="74">
        <f t="shared" si="49"/>
        <v>7200</v>
      </c>
      <c r="BI40" s="74">
        <f t="shared" si="50"/>
        <v>7300</v>
      </c>
      <c r="BJ40" s="74">
        <f t="shared" si="51"/>
        <v>7400</v>
      </c>
      <c r="BK40" s="74">
        <f t="shared" si="52"/>
        <v>7500</v>
      </c>
      <c r="BL40" s="74"/>
      <c r="BM40" s="74">
        <f t="shared" si="53"/>
        <v>6500</v>
      </c>
      <c r="BN40" s="74">
        <f t="shared" si="53"/>
        <v>6500</v>
      </c>
      <c r="BO40" s="74">
        <f t="shared" si="54"/>
        <v>6100</v>
      </c>
      <c r="BP40" s="74"/>
      <c r="BQ40" s="74">
        <f t="shared" si="55"/>
        <v>5800</v>
      </c>
      <c r="BS40" s="78">
        <f t="shared" si="56"/>
        <v>-3.2485946942069188E-2</v>
      </c>
      <c r="BT40" s="78"/>
      <c r="BU40" s="78">
        <f t="shared" si="57"/>
        <v>0.12994537210412571</v>
      </c>
      <c r="BX40" s="2330">
        <v>1959</v>
      </c>
      <c r="BY40" s="2330">
        <v>1914</v>
      </c>
      <c r="BZ40" s="2330">
        <v>1450</v>
      </c>
      <c r="CA40" s="2330">
        <v>1177</v>
      </c>
      <c r="CB40" s="2330">
        <v>6500</v>
      </c>
      <c r="CC40" s="2330">
        <v>6600</v>
      </c>
      <c r="CD40" s="2330">
        <v>6700</v>
      </c>
      <c r="CE40" s="2330">
        <v>6800</v>
      </c>
      <c r="CF40" s="2330">
        <v>6900</v>
      </c>
    </row>
    <row r="41" spans="2:84">
      <c r="B41" s="79" t="s">
        <v>635</v>
      </c>
      <c r="C41" s="74"/>
      <c r="D41" s="74">
        <f>+Driver!V230</f>
        <v>637</v>
      </c>
      <c r="E41" s="74">
        <f>+Driver!W230</f>
        <v>543</v>
      </c>
      <c r="F41" s="74">
        <f>+Driver!X230</f>
        <v>578</v>
      </c>
      <c r="G41" s="74">
        <v>-85</v>
      </c>
      <c r="H41" s="74"/>
      <c r="I41" s="74">
        <f>Quarterly!CE142</f>
        <v>206</v>
      </c>
      <c r="J41" s="74"/>
      <c r="K41" s="74">
        <f>Quarterly!CW142</f>
        <v>488</v>
      </c>
      <c r="L41" s="74">
        <f>Quarterly!DK142</f>
        <v>883</v>
      </c>
      <c r="M41" s="74">
        <f>Quarterly!EU142</f>
        <v>728</v>
      </c>
      <c r="N41" s="74">
        <f>Quarterly!FK142</f>
        <v>133</v>
      </c>
      <c r="O41" s="74">
        <f>Quarterly!GD142</f>
        <v>-977</v>
      </c>
      <c r="P41" s="74">
        <f>Quarterly!GV142</f>
        <v>-1307</v>
      </c>
      <c r="Q41" s="74">
        <f>Quarterly!HV142</f>
        <v>-666</v>
      </c>
      <c r="R41" s="74">
        <f>Quarterly!HZ142</f>
        <v>-666</v>
      </c>
      <c r="S41" s="74">
        <f>Quarterly!IR142</f>
        <v>230</v>
      </c>
      <c r="T41" s="74">
        <f>Quarterly!JD142</f>
        <v>124</v>
      </c>
      <c r="U41" s="74">
        <f>+Quarterly!JL142</f>
        <v>-21</v>
      </c>
      <c r="V41" s="74">
        <f>+Quarterly!JM142</f>
        <v>173</v>
      </c>
      <c r="W41" s="74">
        <f>+Quarterly!JN142</f>
        <v>425</v>
      </c>
      <c r="X41" s="74">
        <f>+Quarterly!JU142</f>
        <v>-77</v>
      </c>
      <c r="Y41" s="74">
        <f>+Driver!AL230</f>
        <v>500</v>
      </c>
      <c r="Z41" s="74">
        <f>+Driver!AM230</f>
        <v>600</v>
      </c>
      <c r="AA41" s="74">
        <f>+Driver!AN230</f>
        <v>700</v>
      </c>
      <c r="AB41" s="74">
        <f>+Driver!AO230</f>
        <v>800</v>
      </c>
      <c r="AC41" s="74">
        <f>+Driver!AP230</f>
        <v>900</v>
      </c>
      <c r="AD41" s="74"/>
      <c r="AE41" s="74">
        <f>Quarterly!KG142</f>
        <v>300</v>
      </c>
      <c r="AF41" s="74">
        <f>Quarterly!KH142</f>
        <v>300</v>
      </c>
      <c r="AG41" s="74">
        <v>500</v>
      </c>
      <c r="AH41" s="74"/>
      <c r="AI41" s="74">
        <f>Quarterly!KM142</f>
        <v>500</v>
      </c>
      <c r="AJ41" s="2197"/>
      <c r="AK41" s="2309"/>
      <c r="AL41" s="79" t="s">
        <v>634</v>
      </c>
      <c r="AM41" s="74"/>
      <c r="AN41" s="74">
        <f t="shared" si="29"/>
        <v>637</v>
      </c>
      <c r="AO41" s="74">
        <f t="shared" si="30"/>
        <v>543</v>
      </c>
      <c r="AP41" s="74">
        <f t="shared" si="31"/>
        <v>578</v>
      </c>
      <c r="AQ41" s="74">
        <f t="shared" si="32"/>
        <v>-85</v>
      </c>
      <c r="AR41" s="74">
        <f t="shared" si="33"/>
        <v>206</v>
      </c>
      <c r="AS41" s="74">
        <f t="shared" si="34"/>
        <v>488</v>
      </c>
      <c r="AT41" s="74">
        <f t="shared" si="35"/>
        <v>883</v>
      </c>
      <c r="AU41" s="74">
        <f t="shared" si="36"/>
        <v>728</v>
      </c>
      <c r="AV41" s="74">
        <f t="shared" si="37"/>
        <v>133</v>
      </c>
      <c r="AW41" s="74">
        <f t="shared" si="38"/>
        <v>-977</v>
      </c>
      <c r="AX41" s="74">
        <f t="shared" si="39"/>
        <v>-1307</v>
      </c>
      <c r="AY41" s="74">
        <f t="shared" si="40"/>
        <v>-666</v>
      </c>
      <c r="AZ41" s="74">
        <f t="shared" si="41"/>
        <v>-666</v>
      </c>
      <c r="BA41" s="74">
        <f t="shared" si="42"/>
        <v>230</v>
      </c>
      <c r="BB41" s="74">
        <f t="shared" si="43"/>
        <v>124</v>
      </c>
      <c r="BC41" s="74">
        <f t="shared" si="44"/>
        <v>-21</v>
      </c>
      <c r="BD41" s="74">
        <f t="shared" si="45"/>
        <v>173</v>
      </c>
      <c r="BE41" s="74">
        <f t="shared" si="46"/>
        <v>425</v>
      </c>
      <c r="BF41" s="74">
        <f t="shared" si="47"/>
        <v>-77</v>
      </c>
      <c r="BG41" s="74">
        <f t="shared" si="48"/>
        <v>500</v>
      </c>
      <c r="BH41" s="74">
        <f t="shared" si="49"/>
        <v>600</v>
      </c>
      <c r="BI41" s="74">
        <f t="shared" si="50"/>
        <v>700</v>
      </c>
      <c r="BJ41" s="74">
        <f t="shared" si="51"/>
        <v>800</v>
      </c>
      <c r="BK41" s="74">
        <f t="shared" si="52"/>
        <v>900</v>
      </c>
      <c r="BL41" s="74"/>
      <c r="BM41" s="74">
        <f t="shared" si="53"/>
        <v>300</v>
      </c>
      <c r="BN41" s="74">
        <f t="shared" si="53"/>
        <v>300</v>
      </c>
      <c r="BO41" s="74">
        <f t="shared" si="54"/>
        <v>500</v>
      </c>
      <c r="BP41" s="74"/>
      <c r="BQ41" s="74">
        <f t="shared" si="55"/>
        <v>500</v>
      </c>
      <c r="BS41" s="78" t="s">
        <v>518</v>
      </c>
      <c r="BT41" s="78"/>
      <c r="BU41" s="78">
        <f t="shared" si="57"/>
        <v>0.78056890563356096</v>
      </c>
      <c r="BX41" s="2330">
        <v>-21</v>
      </c>
      <c r="BY41" s="2330">
        <v>173</v>
      </c>
      <c r="BZ41" s="2330">
        <v>150</v>
      </c>
      <c r="CA41" s="2330">
        <v>-2</v>
      </c>
      <c r="CB41" s="2330">
        <v>300</v>
      </c>
      <c r="CC41" s="2330">
        <v>400</v>
      </c>
      <c r="CD41" s="2330">
        <v>500</v>
      </c>
      <c r="CE41" s="2330">
        <v>600</v>
      </c>
      <c r="CF41" s="2330">
        <v>700</v>
      </c>
    </row>
    <row r="42" spans="2:84">
      <c r="B42" s="79" t="s">
        <v>633</v>
      </c>
      <c r="C42" s="74"/>
      <c r="D42" s="74">
        <f>+Driver!V233</f>
        <v>882</v>
      </c>
      <c r="E42" s="74">
        <f>+Driver!W233</f>
        <v>550</v>
      </c>
      <c r="F42" s="74">
        <f>+Driver!X233</f>
        <v>1152</v>
      </c>
      <c r="G42" s="74">
        <v>1146</v>
      </c>
      <c r="H42" s="74"/>
      <c r="I42" s="74">
        <f>Quarterly!CE149</f>
        <v>1224</v>
      </c>
      <c r="J42" s="74"/>
      <c r="K42" s="74">
        <f>Quarterly!CW149</f>
        <v>1211</v>
      </c>
      <c r="L42" s="74">
        <f>Quarterly!DK149</f>
        <v>1655</v>
      </c>
      <c r="M42" s="74">
        <f>Quarterly!EU149</f>
        <v>1687</v>
      </c>
      <c r="N42" s="74">
        <f>Quarterly!FK149</f>
        <v>2034</v>
      </c>
      <c r="O42" s="74">
        <f>Quarterly!GD149</f>
        <v>1609</v>
      </c>
      <c r="P42" s="74">
        <f>Quarterly!GV149</f>
        <v>1262</v>
      </c>
      <c r="Q42" s="74">
        <f>Quarterly!HV149</f>
        <v>1239</v>
      </c>
      <c r="R42" s="74">
        <f>Quarterly!HZ149</f>
        <v>1239</v>
      </c>
      <c r="S42" s="74">
        <f>Quarterly!IR149</f>
        <v>2342</v>
      </c>
      <c r="T42" s="74">
        <f>Quarterly!JD149</f>
        <v>1851</v>
      </c>
      <c r="U42" s="74">
        <f>+Quarterly!JL149</f>
        <v>648</v>
      </c>
      <c r="V42" s="74">
        <f>+Quarterly!JM149</f>
        <v>622</v>
      </c>
      <c r="W42" s="74">
        <f>+Quarterly!JN149</f>
        <v>681</v>
      </c>
      <c r="X42" s="74">
        <f>+Quarterly!JU149</f>
        <v>149</v>
      </c>
      <c r="Y42" s="74">
        <f>+Driver!AL233</f>
        <v>2100</v>
      </c>
      <c r="Z42" s="74">
        <f>+Driver!AM233</f>
        <v>2200</v>
      </c>
      <c r="AA42" s="74">
        <f>+Driver!AN233</f>
        <v>2300</v>
      </c>
      <c r="AB42" s="74">
        <f>+Driver!AO233</f>
        <v>2400</v>
      </c>
      <c r="AC42" s="74">
        <f>+Driver!AP233</f>
        <v>2500</v>
      </c>
      <c r="AD42" s="74"/>
      <c r="AE42" s="74">
        <f>Quarterly!KG149</f>
        <v>1800</v>
      </c>
      <c r="AF42" s="74">
        <f>Quarterly!KH149</f>
        <v>1800</v>
      </c>
      <c r="AG42" s="74">
        <v>2100</v>
      </c>
      <c r="AH42" s="74"/>
      <c r="AI42" s="74">
        <f>Quarterly!KM149</f>
        <v>2100</v>
      </c>
      <c r="AJ42" s="2197"/>
      <c r="AK42" s="2309"/>
      <c r="AL42" s="79" t="s">
        <v>632</v>
      </c>
      <c r="AM42" s="74"/>
      <c r="AN42" s="74">
        <f t="shared" si="29"/>
        <v>882</v>
      </c>
      <c r="AO42" s="74">
        <f t="shared" si="30"/>
        <v>550</v>
      </c>
      <c r="AP42" s="74">
        <f t="shared" si="31"/>
        <v>1152</v>
      </c>
      <c r="AQ42" s="74">
        <f t="shared" si="32"/>
        <v>1146</v>
      </c>
      <c r="AR42" s="74">
        <f t="shared" si="33"/>
        <v>1224</v>
      </c>
      <c r="AS42" s="74">
        <f t="shared" si="34"/>
        <v>1211</v>
      </c>
      <c r="AT42" s="74">
        <f t="shared" si="35"/>
        <v>1655</v>
      </c>
      <c r="AU42" s="74">
        <f t="shared" si="36"/>
        <v>1687</v>
      </c>
      <c r="AV42" s="74">
        <f t="shared" si="37"/>
        <v>2034</v>
      </c>
      <c r="AW42" s="74">
        <f t="shared" si="38"/>
        <v>1609</v>
      </c>
      <c r="AX42" s="74">
        <f t="shared" si="39"/>
        <v>1262</v>
      </c>
      <c r="AY42" s="74">
        <f t="shared" si="40"/>
        <v>1239</v>
      </c>
      <c r="AZ42" s="74">
        <f t="shared" si="41"/>
        <v>1239</v>
      </c>
      <c r="BA42" s="74">
        <f t="shared" si="42"/>
        <v>2342</v>
      </c>
      <c r="BB42" s="74">
        <f t="shared" si="43"/>
        <v>1851</v>
      </c>
      <c r="BC42" s="74">
        <f t="shared" si="44"/>
        <v>648</v>
      </c>
      <c r="BD42" s="74">
        <f t="shared" si="45"/>
        <v>622</v>
      </c>
      <c r="BE42" s="74">
        <f t="shared" si="46"/>
        <v>681</v>
      </c>
      <c r="BF42" s="74">
        <f t="shared" si="47"/>
        <v>149</v>
      </c>
      <c r="BG42" s="74">
        <f t="shared" si="48"/>
        <v>2100</v>
      </c>
      <c r="BH42" s="74">
        <f t="shared" si="49"/>
        <v>2200</v>
      </c>
      <c r="BI42" s="74">
        <f t="shared" si="50"/>
        <v>2300</v>
      </c>
      <c r="BJ42" s="74">
        <f t="shared" si="51"/>
        <v>2400</v>
      </c>
      <c r="BK42" s="74">
        <f t="shared" si="52"/>
        <v>2500</v>
      </c>
      <c r="BL42" s="74"/>
      <c r="BM42" s="74">
        <f t="shared" si="53"/>
        <v>1800</v>
      </c>
      <c r="BN42" s="74">
        <f t="shared" si="53"/>
        <v>1800</v>
      </c>
      <c r="BO42" s="74">
        <f t="shared" si="54"/>
        <v>2100</v>
      </c>
      <c r="BP42" s="74"/>
      <c r="BQ42" s="74">
        <f t="shared" si="55"/>
        <v>2100</v>
      </c>
      <c r="BS42" s="78">
        <f t="shared" si="56"/>
        <v>0.13618492122993642</v>
      </c>
      <c r="BT42" s="78"/>
      <c r="BU42" s="78">
        <f t="shared" si="57"/>
        <v>7.5079232069803492E-2</v>
      </c>
      <c r="BX42" s="2330">
        <v>648</v>
      </c>
      <c r="BY42" s="2330">
        <v>622</v>
      </c>
      <c r="BZ42" s="2330">
        <v>400</v>
      </c>
      <c r="CA42" s="2330">
        <v>330</v>
      </c>
      <c r="CB42" s="2330">
        <v>2000</v>
      </c>
      <c r="CC42" s="2330">
        <v>2100</v>
      </c>
      <c r="CD42" s="2330">
        <v>2200</v>
      </c>
      <c r="CE42" s="2330">
        <v>2300</v>
      </c>
      <c r="CF42" s="2330">
        <v>2400</v>
      </c>
    </row>
    <row r="43" spans="2:84">
      <c r="B43" s="82" t="str">
        <f>+B35</f>
        <v>　その他</v>
      </c>
      <c r="C43" s="83"/>
      <c r="D43" s="83">
        <f>+Driver!V237</f>
        <v>565</v>
      </c>
      <c r="E43" s="83">
        <f>+Driver!W237</f>
        <v>635</v>
      </c>
      <c r="F43" s="83">
        <f>+Driver!X237</f>
        <v>319</v>
      </c>
      <c r="G43" s="83">
        <f>1366-1605</f>
        <v>-239</v>
      </c>
      <c r="H43" s="83"/>
      <c r="I43" s="83">
        <f>Quarterly!CE157</f>
        <v>712</v>
      </c>
      <c r="J43" s="83"/>
      <c r="K43" s="83">
        <f>Quarterly!CW157</f>
        <v>-761</v>
      </c>
      <c r="L43" s="83">
        <f>Quarterly!DK157</f>
        <v>-60</v>
      </c>
      <c r="M43" s="83">
        <f>Quarterly!EU157</f>
        <v>77</v>
      </c>
      <c r="N43" s="83">
        <f>Quarterly!FK157</f>
        <v>635</v>
      </c>
      <c r="O43" s="83">
        <f>Quarterly!GD157</f>
        <v>884</v>
      </c>
      <c r="P43" s="83">
        <f>Quarterly!GV157</f>
        <v>200</v>
      </c>
      <c r="Q43" s="83">
        <f>Quarterly!HV157</f>
        <v>-367</v>
      </c>
      <c r="R43" s="83">
        <f>Quarterly!HZ157</f>
        <v>-367</v>
      </c>
      <c r="S43" s="83">
        <f>Quarterly!IR157</f>
        <v>-277</v>
      </c>
      <c r="T43" s="83">
        <f>Quarterly!JD157</f>
        <v>427</v>
      </c>
      <c r="U43" s="83">
        <f>+Quarterly!JL157</f>
        <v>187</v>
      </c>
      <c r="V43" s="83">
        <f>+Quarterly!JM157</f>
        <v>139</v>
      </c>
      <c r="W43" s="83">
        <f>+Quarterly!JN157</f>
        <v>-14</v>
      </c>
      <c r="X43" s="83">
        <f>+Quarterly!JU157</f>
        <v>-312</v>
      </c>
      <c r="Y43" s="83">
        <f>+Driver!AL237</f>
        <v>0</v>
      </c>
      <c r="Z43" s="83">
        <f>+Driver!AM237</f>
        <v>200</v>
      </c>
      <c r="AA43" s="83">
        <f>+Driver!AN237</f>
        <v>200</v>
      </c>
      <c r="AB43" s="83">
        <f>+Driver!AO237</f>
        <v>0</v>
      </c>
      <c r="AC43" s="83">
        <f>+Driver!AP237</f>
        <v>0</v>
      </c>
      <c r="AD43" s="83"/>
      <c r="AE43" s="83">
        <f>Quarterly!KG157</f>
        <v>0</v>
      </c>
      <c r="AF43" s="83">
        <f>Quarterly!KH157</f>
        <v>0</v>
      </c>
      <c r="AG43" s="83">
        <v>-100</v>
      </c>
      <c r="AH43" s="83"/>
      <c r="AI43" s="83">
        <f>Quarterly!KM157</f>
        <v>-100</v>
      </c>
      <c r="AJ43" s="2197"/>
      <c r="AK43" s="2309"/>
      <c r="AL43" s="82" t="s">
        <v>631</v>
      </c>
      <c r="AM43" s="83"/>
      <c r="AN43" s="83">
        <f t="shared" si="29"/>
        <v>565</v>
      </c>
      <c r="AO43" s="83">
        <f t="shared" si="30"/>
        <v>635</v>
      </c>
      <c r="AP43" s="83">
        <f t="shared" si="31"/>
        <v>319</v>
      </c>
      <c r="AQ43" s="83">
        <f t="shared" si="32"/>
        <v>-239</v>
      </c>
      <c r="AR43" s="83">
        <f t="shared" si="33"/>
        <v>712</v>
      </c>
      <c r="AS43" s="83">
        <f t="shared" si="34"/>
        <v>-761</v>
      </c>
      <c r="AT43" s="83">
        <f t="shared" si="35"/>
        <v>-60</v>
      </c>
      <c r="AU43" s="83">
        <f t="shared" si="36"/>
        <v>77</v>
      </c>
      <c r="AV43" s="83">
        <f t="shared" si="37"/>
        <v>635</v>
      </c>
      <c r="AW43" s="83">
        <f t="shared" si="38"/>
        <v>884</v>
      </c>
      <c r="AX43" s="83">
        <f t="shared" si="39"/>
        <v>200</v>
      </c>
      <c r="AY43" s="83">
        <f t="shared" si="40"/>
        <v>-367</v>
      </c>
      <c r="AZ43" s="83">
        <f t="shared" si="41"/>
        <v>-367</v>
      </c>
      <c r="BA43" s="83">
        <f t="shared" si="42"/>
        <v>-277</v>
      </c>
      <c r="BB43" s="83">
        <f t="shared" si="43"/>
        <v>427</v>
      </c>
      <c r="BC43" s="83">
        <f t="shared" si="44"/>
        <v>187</v>
      </c>
      <c r="BD43" s="83">
        <f t="shared" si="45"/>
        <v>139</v>
      </c>
      <c r="BE43" s="83">
        <f t="shared" si="46"/>
        <v>-14</v>
      </c>
      <c r="BF43" s="83">
        <f t="shared" si="47"/>
        <v>-312</v>
      </c>
      <c r="BG43" s="83">
        <f t="shared" si="48"/>
        <v>0</v>
      </c>
      <c r="BH43" s="83">
        <f t="shared" si="49"/>
        <v>200</v>
      </c>
      <c r="BI43" s="83">
        <f t="shared" si="50"/>
        <v>200</v>
      </c>
      <c r="BJ43" s="83">
        <f t="shared" si="51"/>
        <v>0</v>
      </c>
      <c r="BK43" s="83">
        <f t="shared" si="52"/>
        <v>0</v>
      </c>
      <c r="BL43" s="74"/>
      <c r="BM43" s="83">
        <f t="shared" si="53"/>
        <v>0</v>
      </c>
      <c r="BN43" s="83">
        <f t="shared" si="53"/>
        <v>0</v>
      </c>
      <c r="BO43" s="83">
        <f t="shared" si="54"/>
        <v>-100</v>
      </c>
      <c r="BP43" s="74"/>
      <c r="BQ43" s="83">
        <f t="shared" si="55"/>
        <v>-100</v>
      </c>
      <c r="BS43" s="84" t="s">
        <v>518</v>
      </c>
      <c r="BT43" s="84"/>
      <c r="BU43" s="84" t="s">
        <v>518</v>
      </c>
      <c r="BX43" s="2331">
        <v>187</v>
      </c>
      <c r="BY43" s="2331">
        <v>139</v>
      </c>
      <c r="BZ43" s="2331">
        <v>0</v>
      </c>
      <c r="CA43" s="2331">
        <v>-326</v>
      </c>
      <c r="CB43" s="2331">
        <v>0</v>
      </c>
      <c r="CC43" s="2331">
        <v>200</v>
      </c>
      <c r="CD43" s="2331">
        <v>200</v>
      </c>
      <c r="CE43" s="2331">
        <v>0</v>
      </c>
      <c r="CF43" s="2331">
        <v>0</v>
      </c>
    </row>
    <row r="44" spans="2:84">
      <c r="B44" s="87" t="s">
        <v>630</v>
      </c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6"/>
      <c r="AK44" s="86"/>
      <c r="AL44" s="87" t="s">
        <v>629</v>
      </c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X44" s="2332"/>
      <c r="BY44" s="2332"/>
      <c r="BZ44" s="2332"/>
      <c r="CA44" s="2332"/>
      <c r="CB44" s="2332"/>
      <c r="CC44" s="2332"/>
      <c r="CD44" s="2332"/>
      <c r="CE44" s="2332"/>
      <c r="CF44" s="2332"/>
    </row>
    <row r="45" spans="2:84">
      <c r="B45" s="79" t="str">
        <f t="shared" ref="B45:B50" si="69">+B37</f>
        <v>　水産食品事業</v>
      </c>
      <c r="C45" s="74"/>
      <c r="D45" s="89">
        <f t="shared" ref="D45:L45" si="70">+D37/D20</f>
        <v>1.1685043144774688E-2</v>
      </c>
      <c r="E45" s="89">
        <f t="shared" si="70"/>
        <v>2.1196222455403986E-2</v>
      </c>
      <c r="F45" s="89">
        <f t="shared" si="70"/>
        <v>2.6539702042696973E-2</v>
      </c>
      <c r="G45" s="89">
        <f t="shared" si="70"/>
        <v>1.5141682889898333E-3</v>
      </c>
      <c r="H45" s="89" t="e">
        <f t="shared" si="70"/>
        <v>#DIV/0!</v>
      </c>
      <c r="I45" s="89">
        <f t="shared" si="70"/>
        <v>-4.7825437154386486E-3</v>
      </c>
      <c r="J45" s="89" t="e">
        <f t="shared" si="70"/>
        <v>#DIV/0!</v>
      </c>
      <c r="K45" s="89">
        <f t="shared" si="70"/>
        <v>-2.22808135828939E-2</v>
      </c>
      <c r="L45" s="89">
        <f t="shared" si="70"/>
        <v>-5.1700680272108845E-3</v>
      </c>
      <c r="M45" s="89">
        <f t="shared" ref="M45:N45" si="71">+M37/M20</f>
        <v>6.0484512781332567E-3</v>
      </c>
      <c r="N45" s="89">
        <f t="shared" si="71"/>
        <v>8.9940976234346211E-3</v>
      </c>
      <c r="O45" s="89">
        <f t="shared" ref="O45:P45" si="72">+O37/O20</f>
        <v>5.267017801186746E-3</v>
      </c>
      <c r="P45" s="89">
        <f t="shared" si="72"/>
        <v>-2.2470028799142724E-2</v>
      </c>
      <c r="Q45" s="89">
        <f t="shared" ref="Q45:R45" si="73">+Q37/Q20</f>
        <v>5.8408940461820026E-4</v>
      </c>
      <c r="R45" s="89">
        <f t="shared" si="73"/>
        <v>6.0483870967741938E-4</v>
      </c>
      <c r="S45" s="89">
        <f t="shared" ref="S45" si="74">+S37/S20</f>
        <v>6.4400000000000004E-3</v>
      </c>
      <c r="T45" s="89">
        <f t="shared" ref="T45:X45" si="75">+T37/T20</f>
        <v>1.6125639767229896E-3</v>
      </c>
      <c r="U45" s="89">
        <f t="shared" si="75"/>
        <v>1.760190577024881E-2</v>
      </c>
      <c r="V45" s="89">
        <f t="shared" si="75"/>
        <v>4.4444444444444444E-3</v>
      </c>
      <c r="W45" s="89">
        <f t="shared" ref="W45" si="76">+W37/W20</f>
        <v>8.8671254632080466E-3</v>
      </c>
      <c r="X45" s="89">
        <f t="shared" si="75"/>
        <v>9.6797153024911035E-3</v>
      </c>
      <c r="Y45" s="89">
        <f t="shared" ref="Y45:Z45" si="77">+Y37/Y20</f>
        <v>0.01</v>
      </c>
      <c r="Z45" s="89">
        <f t="shared" si="77"/>
        <v>9.6153846153846159E-3</v>
      </c>
      <c r="AA45" s="89">
        <f t="shared" ref="AA45:AI45" si="78">+AA37/AA20</f>
        <v>9.2592592592592587E-3</v>
      </c>
      <c r="AB45" s="89">
        <f t="shared" ref="AB45:AC45" si="79">+AB37/AB20</f>
        <v>8.9020771513353119E-3</v>
      </c>
      <c r="AC45" s="89">
        <f t="shared" si="79"/>
        <v>8.5959885386819486E-3</v>
      </c>
      <c r="AD45" s="89"/>
      <c r="AE45" s="89">
        <f t="shared" ref="AE45:AF45" si="80">+AE37/AE20</f>
        <v>6.7114093959731542E-3</v>
      </c>
      <c r="AF45" s="89">
        <f t="shared" si="80"/>
        <v>6.7114093959731542E-3</v>
      </c>
      <c r="AG45" s="89">
        <f t="shared" ref="AG45" si="81">+AG37/AG20</f>
        <v>1.3698630136986301E-2</v>
      </c>
      <c r="AH45" s="89"/>
      <c r="AI45" s="89">
        <f t="shared" si="78"/>
        <v>1.0714285714285714E-2</v>
      </c>
      <c r="AJ45" s="1308"/>
      <c r="AK45" s="79"/>
      <c r="AL45" s="79" t="str">
        <f t="shared" ref="AL45:AL50" si="82">+AL37</f>
        <v xml:space="preserve">  Seafood</v>
      </c>
      <c r="AM45" s="74"/>
      <c r="AN45" s="89">
        <f t="shared" ref="AN45:AQ51" si="83">+D45</f>
        <v>1.1685043144774688E-2</v>
      </c>
      <c r="AO45" s="89">
        <f t="shared" si="83"/>
        <v>2.1196222455403986E-2</v>
      </c>
      <c r="AP45" s="89">
        <f t="shared" si="83"/>
        <v>2.6539702042696973E-2</v>
      </c>
      <c r="AQ45" s="89">
        <f t="shared" si="83"/>
        <v>1.5141682889898333E-3</v>
      </c>
      <c r="AR45" s="89">
        <f t="shared" ref="AR45:AR51" si="84">+I45</f>
        <v>-4.7825437154386486E-3</v>
      </c>
      <c r="AS45" s="89">
        <f t="shared" ref="AS45:BB51" si="85">+K45</f>
        <v>-2.22808135828939E-2</v>
      </c>
      <c r="AT45" s="89">
        <f t="shared" si="85"/>
        <v>-5.1700680272108845E-3</v>
      </c>
      <c r="AU45" s="89">
        <f t="shared" si="85"/>
        <v>6.0484512781332567E-3</v>
      </c>
      <c r="AV45" s="89">
        <f t="shared" si="85"/>
        <v>8.9940976234346211E-3</v>
      </c>
      <c r="AW45" s="89">
        <f t="shared" si="85"/>
        <v>5.267017801186746E-3</v>
      </c>
      <c r="AX45" s="89">
        <f t="shared" si="85"/>
        <v>-2.2470028799142724E-2</v>
      </c>
      <c r="AY45" s="89">
        <f t="shared" si="85"/>
        <v>5.8408940461820026E-4</v>
      </c>
      <c r="AZ45" s="89">
        <f t="shared" si="85"/>
        <v>6.0483870967741938E-4</v>
      </c>
      <c r="BA45" s="89">
        <f t="shared" si="85"/>
        <v>6.4400000000000004E-3</v>
      </c>
      <c r="BB45" s="89">
        <f t="shared" si="85"/>
        <v>1.6125639767229896E-3</v>
      </c>
      <c r="BC45" s="89">
        <f t="shared" ref="BC45:BC51" si="86">+U45</f>
        <v>1.760190577024881E-2</v>
      </c>
      <c r="BD45" s="89">
        <f t="shared" ref="BD45:BD51" si="87">+V45</f>
        <v>4.4444444444444444E-3</v>
      </c>
      <c r="BE45" s="89">
        <f t="shared" ref="BE45:BE51" si="88">+W45</f>
        <v>8.8671254632080466E-3</v>
      </c>
      <c r="BF45" s="89">
        <f t="shared" ref="BF45:BF51" si="89">+X45</f>
        <v>9.6797153024911035E-3</v>
      </c>
      <c r="BG45" s="89">
        <f t="shared" ref="BG45:BK51" si="90">+Y45</f>
        <v>0.01</v>
      </c>
      <c r="BH45" s="89">
        <f t="shared" si="90"/>
        <v>9.6153846153846159E-3</v>
      </c>
      <c r="BI45" s="89">
        <f t="shared" si="90"/>
        <v>9.2592592592592587E-3</v>
      </c>
      <c r="BJ45" s="89">
        <f t="shared" si="90"/>
        <v>8.9020771513353119E-3</v>
      </c>
      <c r="BK45" s="89">
        <f t="shared" si="90"/>
        <v>8.5959885386819486E-3</v>
      </c>
      <c r="BL45" s="89"/>
      <c r="BM45" s="89">
        <f t="shared" ref="BM45:BO51" si="91">+AE45</f>
        <v>6.7114093959731542E-3</v>
      </c>
      <c r="BN45" s="89">
        <f t="shared" si="91"/>
        <v>6.7114093959731542E-3</v>
      </c>
      <c r="BO45" s="89">
        <f t="shared" si="91"/>
        <v>1.3698630136986301E-2</v>
      </c>
      <c r="BP45" s="89"/>
      <c r="BQ45" s="89">
        <f t="shared" ref="BQ45:BQ51" si="92">+AI45</f>
        <v>1.0714285714285714E-2</v>
      </c>
      <c r="BX45" s="2328">
        <v>1.760190577024881E-2</v>
      </c>
      <c r="BY45" s="2328">
        <v>4.4444444444444444E-3</v>
      </c>
      <c r="BZ45" s="2328">
        <v>6.5789473684210523E-3</v>
      </c>
      <c r="CA45" s="2328">
        <v>1.2379842703175065E-2</v>
      </c>
      <c r="CB45" s="2328">
        <v>1.0169491525423728E-2</v>
      </c>
      <c r="CC45" s="2328">
        <v>9.7719869706840382E-3</v>
      </c>
      <c r="CD45" s="2328">
        <v>9.4043887147335428E-3</v>
      </c>
      <c r="CE45" s="2328">
        <v>9.0361445783132526E-3</v>
      </c>
      <c r="CF45" s="2328">
        <v>8.7209302325581394E-3</v>
      </c>
    </row>
    <row r="46" spans="2:84">
      <c r="B46" s="79" t="str">
        <f t="shared" si="69"/>
        <v>　海外即席麺事業</v>
      </c>
      <c r="C46" s="74"/>
      <c r="D46" s="89">
        <f t="shared" ref="D46:L46" si="93">+D38/D21</f>
        <v>0.20477838750527649</v>
      </c>
      <c r="E46" s="89">
        <f t="shared" si="93"/>
        <v>0.14837321432129266</v>
      </c>
      <c r="F46" s="89">
        <f t="shared" si="93"/>
        <v>0.14395663579978804</v>
      </c>
      <c r="G46" s="89">
        <f t="shared" si="93"/>
        <v>0.18629865534324133</v>
      </c>
      <c r="H46" s="89" t="e">
        <f t="shared" si="93"/>
        <v>#DIV/0!</v>
      </c>
      <c r="I46" s="89">
        <f t="shared" si="93"/>
        <v>0.17404736018668293</v>
      </c>
      <c r="J46" s="89" t="e">
        <f t="shared" si="93"/>
        <v>#DIV/0!</v>
      </c>
      <c r="K46" s="89">
        <f t="shared" si="93"/>
        <v>0.1413446452437678</v>
      </c>
      <c r="L46" s="89">
        <f t="shared" si="93"/>
        <v>0.15698290797197012</v>
      </c>
      <c r="M46" s="89">
        <f t="shared" ref="M46:N46" si="94">+M38/M21</f>
        <v>0.16170329294174027</v>
      </c>
      <c r="N46" s="89">
        <f t="shared" si="94"/>
        <v>0.13656773628299201</v>
      </c>
      <c r="O46" s="89">
        <f t="shared" ref="O46:P46" si="95">+O38/O21</f>
        <v>0.11436278137158952</v>
      </c>
      <c r="P46" s="89">
        <f t="shared" si="95"/>
        <v>0.13701231571377204</v>
      </c>
      <c r="Q46" s="89">
        <f t="shared" ref="Q46:R46" si="96">+Q38/Q21</f>
        <v>0.17130486585391799</v>
      </c>
      <c r="R46" s="89">
        <f t="shared" si="96"/>
        <v>0.17130851063829788</v>
      </c>
      <c r="S46" s="89">
        <f t="shared" ref="S46" si="97">+S38/S21</f>
        <v>8.8064798598949209E-2</v>
      </c>
      <c r="T46" s="89">
        <f t="shared" ref="T46:X46" si="98">+T38/T21</f>
        <v>0.14639465392938433</v>
      </c>
      <c r="U46" s="89">
        <f t="shared" si="98"/>
        <v>0.19370944636386619</v>
      </c>
      <c r="V46" s="89">
        <f t="shared" si="98"/>
        <v>0.20501663680573329</v>
      </c>
      <c r="W46" s="89">
        <f t="shared" ref="W46" si="99">+W38/W21</f>
        <v>0.21271128011198628</v>
      </c>
      <c r="X46" s="89">
        <f t="shared" si="98"/>
        <v>0.14795120956781735</v>
      </c>
      <c r="Y46" s="89">
        <f t="shared" ref="Y46:Z46" si="100">+Y38/Y21</f>
        <v>0.18843984962406016</v>
      </c>
      <c r="Z46" s="89">
        <f t="shared" si="100"/>
        <v>0.18968609865470851</v>
      </c>
      <c r="AA46" s="89">
        <f t="shared" ref="AA46:AI46" si="101">+AA38/AA21</f>
        <v>0.18561089825457641</v>
      </c>
      <c r="AB46" s="89">
        <f t="shared" ref="AB46:AC46" si="102">+AB38/AB21</f>
        <v>0.18310428455941793</v>
      </c>
      <c r="AC46" s="89">
        <f t="shared" si="102"/>
        <v>0.18202853837254146</v>
      </c>
      <c r="AD46" s="89"/>
      <c r="AE46" s="89">
        <f t="shared" ref="AE46:AF46" si="103">+AE38/AE21</f>
        <v>0.17644110275689223</v>
      </c>
      <c r="AF46" s="89">
        <f t="shared" si="103"/>
        <v>0.16641604010025063</v>
      </c>
      <c r="AG46" s="89">
        <f t="shared" ref="AG46" si="104">+AG38/AG21</f>
        <v>0.13836477987421383</v>
      </c>
      <c r="AH46" s="89"/>
      <c r="AI46" s="89">
        <f t="shared" si="101"/>
        <v>0.12989130434782609</v>
      </c>
      <c r="AJ46" s="1308"/>
      <c r="AK46" s="79"/>
      <c r="AL46" s="79" t="str">
        <f t="shared" si="82"/>
        <v xml:space="preserve">  Overseas Instant Noodle </v>
      </c>
      <c r="AM46" s="74"/>
      <c r="AN46" s="89">
        <f t="shared" si="83"/>
        <v>0.20477838750527649</v>
      </c>
      <c r="AO46" s="89">
        <f t="shared" si="83"/>
        <v>0.14837321432129266</v>
      </c>
      <c r="AP46" s="89">
        <f t="shared" si="83"/>
        <v>0.14395663579978804</v>
      </c>
      <c r="AQ46" s="89">
        <f t="shared" si="83"/>
        <v>0.18629865534324133</v>
      </c>
      <c r="AR46" s="89">
        <f t="shared" si="84"/>
        <v>0.17404736018668293</v>
      </c>
      <c r="AS46" s="89">
        <f t="shared" si="85"/>
        <v>0.1413446452437678</v>
      </c>
      <c r="AT46" s="89">
        <f t="shared" si="85"/>
        <v>0.15698290797197012</v>
      </c>
      <c r="AU46" s="89">
        <f t="shared" si="85"/>
        <v>0.16170329294174027</v>
      </c>
      <c r="AV46" s="89">
        <f t="shared" si="85"/>
        <v>0.13656773628299201</v>
      </c>
      <c r="AW46" s="89">
        <f t="shared" si="85"/>
        <v>0.11436278137158952</v>
      </c>
      <c r="AX46" s="89">
        <f t="shared" si="85"/>
        <v>0.13701231571377204</v>
      </c>
      <c r="AY46" s="89">
        <f t="shared" si="85"/>
        <v>0.17130486585391799</v>
      </c>
      <c r="AZ46" s="89">
        <f t="shared" si="85"/>
        <v>0.17130851063829788</v>
      </c>
      <c r="BA46" s="89">
        <f t="shared" si="85"/>
        <v>8.8064798598949209E-2</v>
      </c>
      <c r="BB46" s="89">
        <f t="shared" si="85"/>
        <v>0.14639465392938433</v>
      </c>
      <c r="BC46" s="89">
        <f t="shared" si="86"/>
        <v>0.19370944636386619</v>
      </c>
      <c r="BD46" s="89">
        <f t="shared" si="87"/>
        <v>0.20501663680573329</v>
      </c>
      <c r="BE46" s="89">
        <f t="shared" si="88"/>
        <v>0.21271128011198628</v>
      </c>
      <c r="BF46" s="89">
        <f t="shared" si="89"/>
        <v>0.14795120956781735</v>
      </c>
      <c r="BG46" s="89">
        <f t="shared" si="90"/>
        <v>0.18843984962406016</v>
      </c>
      <c r="BH46" s="89">
        <f t="shared" si="90"/>
        <v>0.18968609865470851</v>
      </c>
      <c r="BI46" s="89">
        <f t="shared" si="90"/>
        <v>0.18561089825457641</v>
      </c>
      <c r="BJ46" s="89">
        <f t="shared" si="90"/>
        <v>0.18310428455941793</v>
      </c>
      <c r="BK46" s="89">
        <f t="shared" si="90"/>
        <v>0.18202853837254146</v>
      </c>
      <c r="BL46" s="89"/>
      <c r="BM46" s="89">
        <f t="shared" si="91"/>
        <v>0.17644110275689223</v>
      </c>
      <c r="BN46" s="89">
        <f t="shared" si="91"/>
        <v>0.16641604010025063</v>
      </c>
      <c r="BO46" s="89">
        <f t="shared" si="91"/>
        <v>0.13836477987421383</v>
      </c>
      <c r="BP46" s="89"/>
      <c r="BQ46" s="89">
        <f t="shared" si="92"/>
        <v>0.12989130434782609</v>
      </c>
      <c r="BX46" s="2328">
        <v>0.19370944636386619</v>
      </c>
      <c r="BY46" s="2328">
        <v>0.20501663680573329</v>
      </c>
      <c r="BZ46" s="2328">
        <v>0.17636684303350969</v>
      </c>
      <c r="CA46" s="2328">
        <v>0.12030540316147623</v>
      </c>
      <c r="CB46" s="2328">
        <v>0.17216770740410348</v>
      </c>
      <c r="CC46" s="2328">
        <v>0.17369093231162197</v>
      </c>
      <c r="CD46" s="2328">
        <v>0.17057396928051738</v>
      </c>
      <c r="CE46" s="2328">
        <v>0.16845740598618572</v>
      </c>
      <c r="CF46" s="2328">
        <v>0.16764275256222547</v>
      </c>
    </row>
    <row r="47" spans="2:84">
      <c r="B47" s="79" t="str">
        <f t="shared" si="69"/>
        <v>　国内即席麺事業</v>
      </c>
      <c r="C47" s="74"/>
      <c r="D47" s="89">
        <f t="shared" ref="D47:L47" si="105">+D39/D22</f>
        <v>0.12727891086353846</v>
      </c>
      <c r="E47" s="89">
        <f t="shared" si="105"/>
        <v>0.114392413149231</v>
      </c>
      <c r="F47" s="89">
        <f t="shared" si="105"/>
        <v>0.10039573135280107</v>
      </c>
      <c r="G47" s="89">
        <f t="shared" si="105"/>
        <v>0.10277497563561133</v>
      </c>
      <c r="H47" s="89" t="e">
        <f t="shared" si="105"/>
        <v>#DIV/0!</v>
      </c>
      <c r="I47" s="89">
        <f t="shared" si="105"/>
        <v>9.7307260778970991E-2</v>
      </c>
      <c r="J47" s="89" t="e">
        <f t="shared" si="105"/>
        <v>#DIV/0!</v>
      </c>
      <c r="K47" s="89">
        <f t="shared" si="105"/>
        <v>7.8434712982444185E-2</v>
      </c>
      <c r="L47" s="89">
        <f t="shared" si="105"/>
        <v>8.081664285195321E-2</v>
      </c>
      <c r="M47" s="89">
        <f t="shared" ref="M47:N47" si="106">+M39/M22</f>
        <v>7.97023852017546E-2</v>
      </c>
      <c r="N47" s="89">
        <f t="shared" si="106"/>
        <v>6.4422361403943945E-2</v>
      </c>
      <c r="O47" s="89">
        <f t="shared" ref="O47:P47" si="107">+O39/O22</f>
        <v>6.161323195108568E-2</v>
      </c>
      <c r="P47" s="89">
        <f t="shared" si="107"/>
        <v>8.3149540141933348E-2</v>
      </c>
      <c r="Q47" s="89">
        <f t="shared" ref="Q47:R47" si="108">+Q39/Q22</f>
        <v>9.9755669809482403E-2</v>
      </c>
      <c r="R47" s="89">
        <f t="shared" si="108"/>
        <v>0.13893528183716075</v>
      </c>
      <c r="S47" s="89">
        <f t="shared" ref="S47" si="109">+S39/S22</f>
        <v>0.1136020942408377</v>
      </c>
      <c r="T47" s="89">
        <f t="shared" ref="T47:X47" si="110">+T39/T22</f>
        <v>6.8704870179751118E-2</v>
      </c>
      <c r="U47" s="89">
        <f t="shared" si="110"/>
        <v>4.9388330528900813E-2</v>
      </c>
      <c r="V47" s="89">
        <f t="shared" si="110"/>
        <v>7.9979763602078827E-2</v>
      </c>
      <c r="W47" s="89">
        <f t="shared" ref="W47" si="111">+W39/W22</f>
        <v>0.15735447784129325</v>
      </c>
      <c r="X47" s="89">
        <f t="shared" si="110"/>
        <v>6.0298383754662246E-2</v>
      </c>
      <c r="Y47" s="89">
        <f t="shared" ref="Y47:Z47" si="112">+Y39/Y22</f>
        <v>9.3625498007968128E-2</v>
      </c>
      <c r="Z47" s="89">
        <f t="shared" si="112"/>
        <v>0.11045364891518737</v>
      </c>
      <c r="AA47" s="89">
        <f t="shared" ref="AA47:AI47" si="113">+AA39/AA22</f>
        <v>0.11584158415841585</v>
      </c>
      <c r="AB47" s="89">
        <f t="shared" ref="AB47:AC47" si="114">+AB39/AB22</f>
        <v>0.11625615763546798</v>
      </c>
      <c r="AC47" s="89">
        <f t="shared" si="114"/>
        <v>0.11614173228346457</v>
      </c>
      <c r="AD47" s="89"/>
      <c r="AE47" s="89">
        <f t="shared" ref="AE47:AF47" si="115">+AE39/AE22</f>
        <v>0.08</v>
      </c>
      <c r="AF47" s="89">
        <f t="shared" si="115"/>
        <v>0.08</v>
      </c>
      <c r="AG47" s="89">
        <f t="shared" ref="AG47" si="116">+AG39/AG22</f>
        <v>0.1049618320610687</v>
      </c>
      <c r="AH47" s="89"/>
      <c r="AI47" s="89">
        <f t="shared" si="113"/>
        <v>8.5000000000000006E-2</v>
      </c>
      <c r="AJ47" s="1308"/>
      <c r="AK47" s="79"/>
      <c r="AL47" s="79" t="str">
        <f t="shared" si="82"/>
        <v xml:space="preserve">  Domestic Instant Noodle</v>
      </c>
      <c r="AM47" s="74"/>
      <c r="AN47" s="89">
        <f t="shared" si="83"/>
        <v>0.12727891086353846</v>
      </c>
      <c r="AO47" s="89">
        <f t="shared" si="83"/>
        <v>0.114392413149231</v>
      </c>
      <c r="AP47" s="89">
        <f t="shared" si="83"/>
        <v>0.10039573135280107</v>
      </c>
      <c r="AQ47" s="89">
        <f t="shared" si="83"/>
        <v>0.10277497563561133</v>
      </c>
      <c r="AR47" s="89">
        <f t="shared" si="84"/>
        <v>9.7307260778970991E-2</v>
      </c>
      <c r="AS47" s="89">
        <f t="shared" si="85"/>
        <v>7.8434712982444185E-2</v>
      </c>
      <c r="AT47" s="89">
        <f t="shared" si="85"/>
        <v>8.081664285195321E-2</v>
      </c>
      <c r="AU47" s="89">
        <f t="shared" si="85"/>
        <v>7.97023852017546E-2</v>
      </c>
      <c r="AV47" s="89">
        <f t="shared" si="85"/>
        <v>6.4422361403943945E-2</v>
      </c>
      <c r="AW47" s="89">
        <f t="shared" si="85"/>
        <v>6.161323195108568E-2</v>
      </c>
      <c r="AX47" s="89">
        <f t="shared" si="85"/>
        <v>8.3149540141933348E-2</v>
      </c>
      <c r="AY47" s="89">
        <f t="shared" si="85"/>
        <v>9.9755669809482403E-2</v>
      </c>
      <c r="AZ47" s="89">
        <f t="shared" si="85"/>
        <v>0.13893528183716075</v>
      </c>
      <c r="BA47" s="89">
        <f t="shared" si="85"/>
        <v>0.1136020942408377</v>
      </c>
      <c r="BB47" s="89">
        <f t="shared" si="85"/>
        <v>6.8704870179751118E-2</v>
      </c>
      <c r="BC47" s="89">
        <f t="shared" si="86"/>
        <v>4.9388330528900813E-2</v>
      </c>
      <c r="BD47" s="89">
        <f t="shared" si="87"/>
        <v>7.9979763602078827E-2</v>
      </c>
      <c r="BE47" s="89">
        <f t="shared" si="88"/>
        <v>0.15735447784129325</v>
      </c>
      <c r="BF47" s="89">
        <f t="shared" si="89"/>
        <v>6.0298383754662246E-2</v>
      </c>
      <c r="BG47" s="89">
        <f t="shared" si="90"/>
        <v>9.3625498007968128E-2</v>
      </c>
      <c r="BH47" s="89">
        <f t="shared" si="90"/>
        <v>0.11045364891518737</v>
      </c>
      <c r="BI47" s="89">
        <f t="shared" si="90"/>
        <v>0.11584158415841585</v>
      </c>
      <c r="BJ47" s="89">
        <f t="shared" si="90"/>
        <v>0.11625615763546798</v>
      </c>
      <c r="BK47" s="89">
        <f t="shared" si="90"/>
        <v>0.11614173228346457</v>
      </c>
      <c r="BL47" s="89"/>
      <c r="BM47" s="89">
        <f t="shared" si="91"/>
        <v>0.08</v>
      </c>
      <c r="BN47" s="89">
        <f t="shared" si="91"/>
        <v>0.08</v>
      </c>
      <c r="BO47" s="89">
        <f t="shared" si="91"/>
        <v>0.1049618320610687</v>
      </c>
      <c r="BP47" s="89"/>
      <c r="BQ47" s="89">
        <f t="shared" si="92"/>
        <v>8.5000000000000006E-2</v>
      </c>
      <c r="BX47" s="2328">
        <v>4.9388330528900813E-2</v>
      </c>
      <c r="BY47" s="2328">
        <v>7.9979763602078827E-2</v>
      </c>
      <c r="BZ47" s="2328">
        <v>0.14873417721518986</v>
      </c>
      <c r="CA47" s="2328">
        <v>2.3215439276485787E-2</v>
      </c>
      <c r="CB47" s="2328">
        <v>8.0919080919080913E-2</v>
      </c>
      <c r="CC47" s="2328">
        <v>9.6933728981206724E-2</v>
      </c>
      <c r="CD47" s="2328">
        <v>0.10119047619047619</v>
      </c>
      <c r="CE47" s="2328">
        <v>0.10177865612648221</v>
      </c>
      <c r="CF47" s="2328">
        <v>0.1016781836130306</v>
      </c>
    </row>
    <row r="48" spans="2:84">
      <c r="B48" s="79" t="str">
        <f t="shared" si="69"/>
        <v>　低温食品事業</v>
      </c>
      <c r="C48" s="74"/>
      <c r="D48" s="89">
        <f t="shared" ref="D48:L48" si="117">+D40/D25</f>
        <v>6.3900554857300507E-2</v>
      </c>
      <c r="E48" s="89">
        <f t="shared" si="117"/>
        <v>6.7641768436997068E-2</v>
      </c>
      <c r="F48" s="89">
        <f t="shared" si="117"/>
        <v>5.6917881714321786E-2</v>
      </c>
      <c r="G48" s="89">
        <f t="shared" si="117"/>
        <v>5.7468301406499216E-2</v>
      </c>
      <c r="H48" s="89" t="e">
        <f t="shared" si="117"/>
        <v>#DIV/0!</v>
      </c>
      <c r="I48" s="89">
        <f t="shared" si="117"/>
        <v>5.2290852228303361E-2</v>
      </c>
      <c r="J48" s="89" t="e">
        <f t="shared" si="117"/>
        <v>#DIV/0!</v>
      </c>
      <c r="K48" s="89">
        <f t="shared" si="117"/>
        <v>5.2859813084112146E-2</v>
      </c>
      <c r="L48" s="89">
        <f t="shared" si="117"/>
        <v>5.6685939591884775E-2</v>
      </c>
      <c r="M48" s="89">
        <f t="shared" ref="M48:N48" si="118">+M40/M25</f>
        <v>7.3202517586079235E-2</v>
      </c>
      <c r="N48" s="89">
        <f t="shared" si="118"/>
        <v>7.6807623932620292E-2</v>
      </c>
      <c r="O48" s="89">
        <f t="shared" ref="O48:P48" si="119">+O40/O25</f>
        <v>6.5660726416048795E-2</v>
      </c>
      <c r="P48" s="89">
        <f t="shared" si="119"/>
        <v>7.728272446848243E-2</v>
      </c>
      <c r="Q48" s="89">
        <f t="shared" ref="Q48:R48" si="120">+Q40/Q25</f>
        <v>8.9519736583190124E-2</v>
      </c>
      <c r="R48" s="89">
        <f t="shared" si="120"/>
        <v>0.1297338403041825</v>
      </c>
      <c r="S48" s="89">
        <f t="shared" ref="S48" si="121">+S40/S25</f>
        <v>0.12421052631578948</v>
      </c>
      <c r="T48" s="89">
        <f t="shared" ref="T48:X48" si="122">+T40/T25</f>
        <v>9.5766224426065069E-2</v>
      </c>
      <c r="U48" s="89">
        <f t="shared" si="122"/>
        <v>0.13674438084601423</v>
      </c>
      <c r="V48" s="89">
        <f t="shared" si="122"/>
        <v>0.1281210255037151</v>
      </c>
      <c r="W48" s="89">
        <f t="shared" ref="W48" si="123">+W40/W25</f>
        <v>0.12443226876216566</v>
      </c>
      <c r="X48" s="89">
        <f t="shared" si="122"/>
        <v>0.1140230932847159</v>
      </c>
      <c r="Y48" s="89">
        <f t="shared" ref="Y48:Z48" si="124">+Y40/Y25</f>
        <v>0.12611012433392541</v>
      </c>
      <c r="Z48" s="89">
        <f t="shared" si="124"/>
        <v>0.12676056338028169</v>
      </c>
      <c r="AA48" s="89">
        <f t="shared" ref="AA48:AI48" si="125">+AA40/AA25</f>
        <v>0.12784588441330999</v>
      </c>
      <c r="AB48" s="89">
        <f t="shared" ref="AB48:AC48" si="126">+AB40/AB25</f>
        <v>0.12869565217391304</v>
      </c>
      <c r="AC48" s="89">
        <f t="shared" si="126"/>
        <v>0.12975778546712802</v>
      </c>
      <c r="AD48" s="89"/>
      <c r="AE48" s="89">
        <f t="shared" ref="AE48:AF48" si="127">+AE40/AE25</f>
        <v>0.11882998171846434</v>
      </c>
      <c r="AF48" s="89">
        <f t="shared" si="127"/>
        <v>0.11882998171846434</v>
      </c>
      <c r="AG48" s="89">
        <f t="shared" ref="AG48" si="128">+AG40/AG25</f>
        <v>0.10892857142857143</v>
      </c>
      <c r="AH48" s="89"/>
      <c r="AI48" s="89">
        <f t="shared" si="125"/>
        <v>0.10902255639097744</v>
      </c>
      <c r="AJ48" s="1308"/>
      <c r="AK48" s="79"/>
      <c r="AL48" s="79" t="str">
        <f t="shared" si="82"/>
        <v xml:space="preserve">  Frozen and Refrigerated Foods</v>
      </c>
      <c r="AM48" s="74"/>
      <c r="AN48" s="89">
        <f t="shared" si="83"/>
        <v>6.3900554857300507E-2</v>
      </c>
      <c r="AO48" s="89">
        <f t="shared" si="83"/>
        <v>6.7641768436997068E-2</v>
      </c>
      <c r="AP48" s="89">
        <f t="shared" si="83"/>
        <v>5.6917881714321786E-2</v>
      </c>
      <c r="AQ48" s="89">
        <f t="shared" si="83"/>
        <v>5.7468301406499216E-2</v>
      </c>
      <c r="AR48" s="89">
        <f t="shared" si="84"/>
        <v>5.2290852228303361E-2</v>
      </c>
      <c r="AS48" s="89">
        <f t="shared" si="85"/>
        <v>5.2859813084112146E-2</v>
      </c>
      <c r="AT48" s="89">
        <f t="shared" si="85"/>
        <v>5.6685939591884775E-2</v>
      </c>
      <c r="AU48" s="89">
        <f t="shared" si="85"/>
        <v>7.3202517586079235E-2</v>
      </c>
      <c r="AV48" s="89">
        <f t="shared" si="85"/>
        <v>7.6807623932620292E-2</v>
      </c>
      <c r="AW48" s="89">
        <f t="shared" si="85"/>
        <v>6.5660726416048795E-2</v>
      </c>
      <c r="AX48" s="89">
        <f t="shared" si="85"/>
        <v>7.728272446848243E-2</v>
      </c>
      <c r="AY48" s="89">
        <f t="shared" si="85"/>
        <v>8.9519736583190124E-2</v>
      </c>
      <c r="AZ48" s="89">
        <f t="shared" si="85"/>
        <v>0.1297338403041825</v>
      </c>
      <c r="BA48" s="89">
        <f t="shared" si="85"/>
        <v>0.12421052631578948</v>
      </c>
      <c r="BB48" s="89">
        <f t="shared" si="85"/>
        <v>9.5766224426065069E-2</v>
      </c>
      <c r="BC48" s="89">
        <f t="shared" si="86"/>
        <v>0.13674438084601423</v>
      </c>
      <c r="BD48" s="89">
        <f t="shared" si="87"/>
        <v>0.1281210255037151</v>
      </c>
      <c r="BE48" s="89">
        <f t="shared" si="88"/>
        <v>0.12443226876216566</v>
      </c>
      <c r="BF48" s="89">
        <f t="shared" si="89"/>
        <v>0.1140230932847159</v>
      </c>
      <c r="BG48" s="89">
        <f t="shared" si="90"/>
        <v>0.12611012433392541</v>
      </c>
      <c r="BH48" s="89">
        <f t="shared" si="90"/>
        <v>0.12676056338028169</v>
      </c>
      <c r="BI48" s="89">
        <f t="shared" si="90"/>
        <v>0.12784588441330999</v>
      </c>
      <c r="BJ48" s="89">
        <f t="shared" si="90"/>
        <v>0.12869565217391304</v>
      </c>
      <c r="BK48" s="89">
        <f t="shared" si="90"/>
        <v>0.12975778546712802</v>
      </c>
      <c r="BL48" s="89"/>
      <c r="BM48" s="89">
        <f t="shared" si="91"/>
        <v>0.11882998171846434</v>
      </c>
      <c r="BN48" s="89">
        <f t="shared" si="91"/>
        <v>0.11882998171846434</v>
      </c>
      <c r="BO48" s="89">
        <f t="shared" si="91"/>
        <v>0.10892857142857143</v>
      </c>
      <c r="BP48" s="89"/>
      <c r="BQ48" s="89">
        <f t="shared" si="92"/>
        <v>0.10902255639097744</v>
      </c>
      <c r="BX48" s="2328">
        <v>0.13674438084601423</v>
      </c>
      <c r="BY48" s="2328">
        <v>0.1281210255037151</v>
      </c>
      <c r="BZ48" s="2328">
        <v>0.11068702290076336</v>
      </c>
      <c r="CA48" s="2328">
        <v>9.315393747526711E-2</v>
      </c>
      <c r="CB48" s="2328">
        <v>0.11818181818181818</v>
      </c>
      <c r="CC48" s="2328">
        <v>0.11891891891891893</v>
      </c>
      <c r="CD48" s="2328">
        <v>0.11985688729874776</v>
      </c>
      <c r="CE48" s="2328">
        <v>0.12099644128113879</v>
      </c>
      <c r="CF48" s="2328">
        <v>0.12212389380530973</v>
      </c>
    </row>
    <row r="49" spans="1:84">
      <c r="B49" s="79" t="str">
        <f t="shared" si="69"/>
        <v>　加工食品事業</v>
      </c>
      <c r="C49" s="74"/>
      <c r="D49" s="89">
        <f t="shared" ref="D49:L49" si="129">+D41/D29</f>
        <v>3.3072010799023936E-2</v>
      </c>
      <c r="E49" s="89">
        <f t="shared" si="129"/>
        <v>2.9618720340369824E-2</v>
      </c>
      <c r="F49" s="89">
        <f t="shared" si="129"/>
        <v>3.3536408471134323E-2</v>
      </c>
      <c r="G49" s="89">
        <f t="shared" si="129"/>
        <v>-4.7898117885720728E-3</v>
      </c>
      <c r="H49" s="89" t="e">
        <f t="shared" si="129"/>
        <v>#DIV/0!</v>
      </c>
      <c r="I49" s="89">
        <f t="shared" si="129"/>
        <v>1.1162286643186128E-2</v>
      </c>
      <c r="J49" s="89" t="e">
        <f t="shared" si="129"/>
        <v>#DIV/0!</v>
      </c>
      <c r="K49" s="89">
        <f t="shared" si="129"/>
        <v>2.6656470202654721E-2</v>
      </c>
      <c r="L49" s="89">
        <f t="shared" si="129"/>
        <v>4.4636538267111517E-2</v>
      </c>
      <c r="M49" s="89">
        <f t="shared" ref="M49:N49" si="130">+M41/M29</f>
        <v>3.3863615220020467E-2</v>
      </c>
      <c r="N49" s="89">
        <f t="shared" si="130"/>
        <v>6.2356416147029865E-3</v>
      </c>
      <c r="O49" s="89">
        <f t="shared" ref="O49:P49" si="131">+O41/O29</f>
        <v>-4.3102307319010012E-2</v>
      </c>
      <c r="P49" s="89">
        <f t="shared" si="131"/>
        <v>-5.4043996030433347E-2</v>
      </c>
      <c r="Q49" s="89">
        <f t="shared" ref="Q49:R49" si="132">+Q41/Q29</f>
        <v>-2.6006482096138078E-2</v>
      </c>
      <c r="R49" s="89">
        <f t="shared" si="132"/>
        <v>-3.5806451612903224E-2</v>
      </c>
      <c r="S49" s="89">
        <f t="shared" ref="S49" si="133">+S41/S29</f>
        <v>1.1794871794871795E-2</v>
      </c>
      <c r="T49" s="89">
        <f t="shared" ref="T49:X49" si="134">+T41/T29</f>
        <v>6.0999606454151907E-3</v>
      </c>
      <c r="U49" s="89">
        <f t="shared" si="134"/>
        <v>-4.674977738201247E-3</v>
      </c>
      <c r="V49" s="89">
        <f t="shared" si="134"/>
        <v>3.6714770797962648E-2</v>
      </c>
      <c r="W49" s="89">
        <f t="shared" ref="W49" si="135">+W41/W29</f>
        <v>7.4758135444151275E-2</v>
      </c>
      <c r="X49" s="89">
        <f t="shared" si="134"/>
        <v>-1.4776434465553637E-2</v>
      </c>
      <c r="Y49" s="89">
        <f t="shared" ref="Y49:Z49" si="136">+Y41/Y29</f>
        <v>2.4875621890547265E-2</v>
      </c>
      <c r="Z49" s="89">
        <f t="shared" si="136"/>
        <v>2.8846153846153848E-2</v>
      </c>
      <c r="AA49" s="89">
        <f t="shared" ref="AA49:AI49" si="137">+AA41/AA29</f>
        <v>3.3018867924528301E-2</v>
      </c>
      <c r="AB49" s="89">
        <f t="shared" ref="AB49:AC49" si="138">+AB41/AB29</f>
        <v>3.7209302325581395E-2</v>
      </c>
      <c r="AC49" s="89">
        <f t="shared" si="138"/>
        <v>4.1284403669724773E-2</v>
      </c>
      <c r="AD49" s="89"/>
      <c r="AE49" s="89">
        <f t="shared" ref="AE49:AF49" si="139">+AE41/AE29</f>
        <v>1.3698630136986301E-2</v>
      </c>
      <c r="AF49" s="89">
        <f t="shared" si="139"/>
        <v>1.3698630136986301E-2</v>
      </c>
      <c r="AG49" s="89">
        <f t="shared" ref="AG49" si="140">+AG41/AG29</f>
        <v>2.2727272727272728E-2</v>
      </c>
      <c r="AH49" s="89"/>
      <c r="AI49" s="89">
        <f t="shared" si="137"/>
        <v>2.5000000000000001E-2</v>
      </c>
      <c r="AJ49" s="1308"/>
      <c r="AK49" s="79"/>
      <c r="AL49" s="79" t="str">
        <f t="shared" si="82"/>
        <v xml:space="preserve">  Processed Foods</v>
      </c>
      <c r="AM49" s="74"/>
      <c r="AN49" s="89">
        <f t="shared" si="83"/>
        <v>3.3072010799023936E-2</v>
      </c>
      <c r="AO49" s="89">
        <f t="shared" si="83"/>
        <v>2.9618720340369824E-2</v>
      </c>
      <c r="AP49" s="89">
        <f t="shared" si="83"/>
        <v>3.3536408471134323E-2</v>
      </c>
      <c r="AQ49" s="89">
        <f t="shared" si="83"/>
        <v>-4.7898117885720728E-3</v>
      </c>
      <c r="AR49" s="89">
        <f t="shared" si="84"/>
        <v>1.1162286643186128E-2</v>
      </c>
      <c r="AS49" s="89">
        <f t="shared" si="85"/>
        <v>2.6656470202654721E-2</v>
      </c>
      <c r="AT49" s="89">
        <f t="shared" si="85"/>
        <v>4.4636538267111517E-2</v>
      </c>
      <c r="AU49" s="89">
        <f t="shared" si="85"/>
        <v>3.3863615220020467E-2</v>
      </c>
      <c r="AV49" s="89">
        <f t="shared" si="85"/>
        <v>6.2356416147029865E-3</v>
      </c>
      <c r="AW49" s="89">
        <f t="shared" si="85"/>
        <v>-4.3102307319010012E-2</v>
      </c>
      <c r="AX49" s="89">
        <f t="shared" si="85"/>
        <v>-5.4043996030433347E-2</v>
      </c>
      <c r="AY49" s="89">
        <f t="shared" si="85"/>
        <v>-2.6006482096138078E-2</v>
      </c>
      <c r="AZ49" s="89">
        <f t="shared" si="85"/>
        <v>-3.5806451612903224E-2</v>
      </c>
      <c r="BA49" s="89">
        <f t="shared" si="85"/>
        <v>1.1794871794871795E-2</v>
      </c>
      <c r="BB49" s="89">
        <f t="shared" si="85"/>
        <v>6.0999606454151907E-3</v>
      </c>
      <c r="BC49" s="89">
        <f t="shared" si="86"/>
        <v>-4.674977738201247E-3</v>
      </c>
      <c r="BD49" s="89">
        <f t="shared" si="87"/>
        <v>3.6714770797962648E-2</v>
      </c>
      <c r="BE49" s="89">
        <f t="shared" si="88"/>
        <v>7.4758135444151275E-2</v>
      </c>
      <c r="BF49" s="89">
        <f t="shared" si="89"/>
        <v>-1.4776434465553637E-2</v>
      </c>
      <c r="BG49" s="89">
        <f t="shared" si="90"/>
        <v>2.4875621890547265E-2</v>
      </c>
      <c r="BH49" s="89">
        <f t="shared" si="90"/>
        <v>2.8846153846153848E-2</v>
      </c>
      <c r="BI49" s="89">
        <f t="shared" si="90"/>
        <v>3.3018867924528301E-2</v>
      </c>
      <c r="BJ49" s="89">
        <f t="shared" si="90"/>
        <v>3.7209302325581395E-2</v>
      </c>
      <c r="BK49" s="89">
        <f t="shared" si="90"/>
        <v>4.1284403669724773E-2</v>
      </c>
      <c r="BL49" s="89"/>
      <c r="BM49" s="89">
        <f t="shared" si="91"/>
        <v>1.3698630136986301E-2</v>
      </c>
      <c r="BN49" s="89">
        <f t="shared" si="91"/>
        <v>1.3698630136986301E-2</v>
      </c>
      <c r="BO49" s="89">
        <f t="shared" si="91"/>
        <v>2.2727272727272728E-2</v>
      </c>
      <c r="BP49" s="89"/>
      <c r="BQ49" s="89">
        <f t="shared" si="92"/>
        <v>2.5000000000000001E-2</v>
      </c>
      <c r="BX49" s="2328">
        <v>-4.674977738201247E-3</v>
      </c>
      <c r="BY49" s="2328">
        <v>3.6714770797962648E-2</v>
      </c>
      <c r="BZ49" s="2328">
        <v>2.4590163934426229E-2</v>
      </c>
      <c r="CA49" s="2328">
        <v>-3.176620076238882E-4</v>
      </c>
      <c r="CB49" s="2328">
        <v>1.3888888888888888E-2</v>
      </c>
      <c r="CC49" s="2328">
        <v>1.7857142857142856E-2</v>
      </c>
      <c r="CD49" s="2328">
        <v>2.1929824561403508E-2</v>
      </c>
      <c r="CE49" s="2328">
        <v>2.5974025974025976E-2</v>
      </c>
      <c r="CF49" s="2328">
        <v>2.9914529914529916E-2</v>
      </c>
    </row>
    <row r="50" spans="1:84">
      <c r="B50" s="79" t="str">
        <f t="shared" si="69"/>
        <v>　冷蔵事業</v>
      </c>
      <c r="C50" s="74"/>
      <c r="D50" s="89">
        <f t="shared" ref="D50:L50" si="141">+D42/D34</f>
        <v>6.8108108108108106E-2</v>
      </c>
      <c r="E50" s="89">
        <f t="shared" si="141"/>
        <v>4.2828219903441829E-2</v>
      </c>
      <c r="F50" s="89">
        <f t="shared" si="141"/>
        <v>7.773279352226721E-2</v>
      </c>
      <c r="G50" s="89">
        <f t="shared" si="141"/>
        <v>7.6819949054833081E-2</v>
      </c>
      <c r="H50" s="89" t="e">
        <f t="shared" si="141"/>
        <v>#DIV/0!</v>
      </c>
      <c r="I50" s="89">
        <f t="shared" si="141"/>
        <v>8.0214955108460578E-2</v>
      </c>
      <c r="J50" s="89" t="e">
        <f t="shared" si="141"/>
        <v>#DIV/0!</v>
      </c>
      <c r="K50" s="89">
        <f t="shared" si="141"/>
        <v>7.7752808988764049E-2</v>
      </c>
      <c r="L50" s="89">
        <f t="shared" si="141"/>
        <v>0.1021226706158213</v>
      </c>
      <c r="M50" s="89">
        <f t="shared" ref="M50:N50" si="142">+M42/M34</f>
        <v>9.9976294891549133E-2</v>
      </c>
      <c r="N50" s="89">
        <f t="shared" si="142"/>
        <v>0.11520163117353874</v>
      </c>
      <c r="O50" s="89">
        <f t="shared" ref="O50:P50" si="143">+O42/O34</f>
        <v>8.7147267507988957E-2</v>
      </c>
      <c r="P50" s="89">
        <f t="shared" si="143"/>
        <v>6.1471018022406232E-2</v>
      </c>
      <c r="Q50" s="89">
        <f t="shared" ref="Q50:R50" si="144">+Q42/Q34</f>
        <v>5.8687002652519894E-2</v>
      </c>
      <c r="R50" s="89">
        <f t="shared" si="144"/>
        <v>5.8720379146919431E-2</v>
      </c>
      <c r="S50" s="89">
        <f t="shared" ref="S50" si="145">+S42/S34</f>
        <v>0.10597285067873304</v>
      </c>
      <c r="T50" s="89">
        <f t="shared" ref="T50:X50" si="146">+T42/T34</f>
        <v>8.0872072701852496E-2</v>
      </c>
      <c r="U50" s="89">
        <f t="shared" si="146"/>
        <v>0.10867013248364917</v>
      </c>
      <c r="V50" s="89">
        <f t="shared" si="146"/>
        <v>0.10099042052281214</v>
      </c>
      <c r="W50" s="89">
        <f t="shared" ref="W50" si="147">+W42/W34</f>
        <v>0.10927471116816431</v>
      </c>
      <c r="X50" s="89">
        <f t="shared" si="146"/>
        <v>2.6866209880995313E-2</v>
      </c>
      <c r="Y50" s="89">
        <f t="shared" ref="Y50:Z50" si="148">+Y42/Y34</f>
        <v>8.7866108786610872E-2</v>
      </c>
      <c r="Z50" s="89">
        <f t="shared" si="148"/>
        <v>8.9068825910931168E-2</v>
      </c>
      <c r="AA50" s="89">
        <f t="shared" ref="AA50:AI50" si="149">+AA42/AA34</f>
        <v>9.1269841269841265E-2</v>
      </c>
      <c r="AB50" s="89">
        <f t="shared" ref="AB50:AC50" si="150">+AB42/AB34</f>
        <v>9.3385214007782102E-2</v>
      </c>
      <c r="AC50" s="89">
        <f t="shared" si="150"/>
        <v>9.5419847328244281E-2</v>
      </c>
      <c r="AD50" s="89"/>
      <c r="AE50" s="89">
        <f t="shared" ref="AE50:AF50" si="151">+AE42/AE34</f>
        <v>7.5630252100840331E-2</v>
      </c>
      <c r="AF50" s="89">
        <f t="shared" si="151"/>
        <v>7.5630252100840331E-2</v>
      </c>
      <c r="AG50" s="89">
        <f t="shared" ref="AG50" si="152">+AG42/AG34</f>
        <v>9.1304347826086957E-2</v>
      </c>
      <c r="AH50" s="89"/>
      <c r="AI50" s="89">
        <f t="shared" si="149"/>
        <v>9.2105263157894732E-2</v>
      </c>
      <c r="AJ50" s="1308"/>
      <c r="AK50" s="79"/>
      <c r="AL50" s="79" t="str">
        <f t="shared" si="82"/>
        <v xml:space="preserve">  Cold-Storage</v>
      </c>
      <c r="AM50" s="74"/>
      <c r="AN50" s="89">
        <f t="shared" si="83"/>
        <v>6.8108108108108106E-2</v>
      </c>
      <c r="AO50" s="89">
        <f t="shared" si="83"/>
        <v>4.2828219903441829E-2</v>
      </c>
      <c r="AP50" s="89">
        <f t="shared" si="83"/>
        <v>7.773279352226721E-2</v>
      </c>
      <c r="AQ50" s="89">
        <f t="shared" si="83"/>
        <v>7.6819949054833081E-2</v>
      </c>
      <c r="AR50" s="89">
        <f t="shared" si="84"/>
        <v>8.0214955108460578E-2</v>
      </c>
      <c r="AS50" s="89">
        <f t="shared" si="85"/>
        <v>7.7752808988764049E-2</v>
      </c>
      <c r="AT50" s="89">
        <f t="shared" si="85"/>
        <v>0.1021226706158213</v>
      </c>
      <c r="AU50" s="89">
        <f t="shared" si="85"/>
        <v>9.9976294891549133E-2</v>
      </c>
      <c r="AV50" s="89">
        <f t="shared" si="85"/>
        <v>0.11520163117353874</v>
      </c>
      <c r="AW50" s="89">
        <f t="shared" si="85"/>
        <v>8.7147267507988957E-2</v>
      </c>
      <c r="AX50" s="89">
        <f t="shared" si="85"/>
        <v>6.1471018022406232E-2</v>
      </c>
      <c r="AY50" s="89">
        <f t="shared" si="85"/>
        <v>5.8687002652519894E-2</v>
      </c>
      <c r="AZ50" s="89">
        <f t="shared" si="85"/>
        <v>5.8720379146919431E-2</v>
      </c>
      <c r="BA50" s="89">
        <f t="shared" si="85"/>
        <v>0.10597285067873304</v>
      </c>
      <c r="BB50" s="89">
        <f t="shared" si="85"/>
        <v>8.0872072701852496E-2</v>
      </c>
      <c r="BC50" s="89">
        <f t="shared" si="86"/>
        <v>0.10867013248364917</v>
      </c>
      <c r="BD50" s="89">
        <f t="shared" si="87"/>
        <v>0.10099042052281214</v>
      </c>
      <c r="BE50" s="89">
        <f t="shared" si="88"/>
        <v>0.10927471116816431</v>
      </c>
      <c r="BF50" s="89">
        <f t="shared" si="89"/>
        <v>2.6866209880995313E-2</v>
      </c>
      <c r="BG50" s="89">
        <f t="shared" si="90"/>
        <v>8.7866108786610872E-2</v>
      </c>
      <c r="BH50" s="89">
        <f t="shared" si="90"/>
        <v>8.9068825910931168E-2</v>
      </c>
      <c r="BI50" s="89">
        <f t="shared" si="90"/>
        <v>9.1269841269841265E-2</v>
      </c>
      <c r="BJ50" s="89">
        <f t="shared" si="90"/>
        <v>9.3385214007782102E-2</v>
      </c>
      <c r="BK50" s="89">
        <f t="shared" si="90"/>
        <v>9.5419847328244281E-2</v>
      </c>
      <c r="BL50" s="89"/>
      <c r="BM50" s="89">
        <f t="shared" si="91"/>
        <v>7.5630252100840331E-2</v>
      </c>
      <c r="BN50" s="89">
        <f t="shared" si="91"/>
        <v>7.5630252100840331E-2</v>
      </c>
      <c r="BO50" s="89">
        <f t="shared" si="91"/>
        <v>9.1304347826086957E-2</v>
      </c>
      <c r="BP50" s="89"/>
      <c r="BQ50" s="89">
        <f t="shared" si="92"/>
        <v>9.2105263157894732E-2</v>
      </c>
      <c r="BX50" s="2328">
        <v>0.10867013248364917</v>
      </c>
      <c r="BY50" s="2328">
        <v>0.10099042052281214</v>
      </c>
      <c r="BZ50" s="2328">
        <v>6.4516129032258063E-2</v>
      </c>
      <c r="CA50" s="2328">
        <v>6.1361100780959466E-2</v>
      </c>
      <c r="CB50" s="2328">
        <v>8.4388185654008435E-2</v>
      </c>
      <c r="CC50" s="2328">
        <v>8.5714285714285715E-2</v>
      </c>
      <c r="CD50" s="2328">
        <v>8.7999999999999995E-2</v>
      </c>
      <c r="CE50" s="2328">
        <v>9.0196078431372548E-2</v>
      </c>
      <c r="CF50" s="2328">
        <v>9.2307692307692313E-2</v>
      </c>
    </row>
    <row r="51" spans="1:84">
      <c r="B51" s="82" t="s">
        <v>628</v>
      </c>
      <c r="C51" s="83"/>
      <c r="D51" s="90">
        <f t="shared" ref="D51:AI51" si="153">+D36/D19</f>
        <v>9.8691241433767687E-2</v>
      </c>
      <c r="E51" s="90">
        <f t="shared" si="153"/>
        <v>8.4374213415012861E-2</v>
      </c>
      <c r="F51" s="90">
        <f t="shared" si="153"/>
        <v>7.9485837476790416E-2</v>
      </c>
      <c r="G51" s="90">
        <f t="shared" si="153"/>
        <v>8.5981650204483243E-2</v>
      </c>
      <c r="H51" s="90" t="e">
        <f t="shared" si="153"/>
        <v>#DIV/0!</v>
      </c>
      <c r="I51" s="90">
        <f t="shared" si="153"/>
        <v>8.2193584091599034E-2</v>
      </c>
      <c r="J51" s="90" t="e">
        <f t="shared" si="153"/>
        <v>#DIV/0!</v>
      </c>
      <c r="K51" s="90">
        <f t="shared" si="153"/>
        <v>6.5771562113943541E-2</v>
      </c>
      <c r="L51" s="90">
        <f t="shared" si="153"/>
        <v>7.3873657625314393E-2</v>
      </c>
      <c r="M51" s="90">
        <f t="shared" ref="M51:N51" si="154">+M36/M19</f>
        <v>7.7054338111937445E-2</v>
      </c>
      <c r="N51" s="90">
        <f t="shared" si="154"/>
        <v>6.8552483686859719E-2</v>
      </c>
      <c r="O51" s="90">
        <f t="shared" ref="O51:P51" si="155">+O36/O19</f>
        <v>5.8998065146709751E-2</v>
      </c>
      <c r="P51" s="90">
        <f t="shared" si="155"/>
        <v>6.8141556758991514E-2</v>
      </c>
      <c r="Q51" s="90">
        <f t="shared" ref="Q51:R51" si="156">+Q36/Q19</f>
        <v>8.7327040485160864E-2</v>
      </c>
      <c r="R51" s="90">
        <f t="shared" si="156"/>
        <v>0.10697069894760314</v>
      </c>
      <c r="S51" s="90">
        <f t="shared" ref="S51" si="157">+S36/S19</f>
        <v>8.2263931727963036E-2</v>
      </c>
      <c r="T51" s="90">
        <f t="shared" ref="T51:X51" si="158">+T36/T19</f>
        <v>9.2545423671251487E-2</v>
      </c>
      <c r="U51" s="90">
        <f t="shared" si="158"/>
        <v>0.11863537834701972</v>
      </c>
      <c r="V51" s="90">
        <f t="shared" si="158"/>
        <v>0.13446071021510156</v>
      </c>
      <c r="W51" s="90">
        <f t="shared" ref="W51" si="159">+W36/W19</f>
        <v>0.14725242694864341</v>
      </c>
      <c r="X51" s="90">
        <f t="shared" si="158"/>
        <v>9.4094233462461402E-2</v>
      </c>
      <c r="Y51" s="90">
        <f t="shared" ref="Y51:Z51" si="160">+Y36/Y19</f>
        <v>0.12382934443288242</v>
      </c>
      <c r="Z51" s="90">
        <f t="shared" si="160"/>
        <v>0.12900624874017336</v>
      </c>
      <c r="AA51" s="90">
        <f t="shared" ref="AA51:AB51" si="161">+AA36/AA19</f>
        <v>0.12935420743639922</v>
      </c>
      <c r="AB51" s="90">
        <f t="shared" si="161"/>
        <v>0.12895884695619192</v>
      </c>
      <c r="AC51" s="90">
        <f t="shared" ref="AC51" si="162">+AC36/AC19</f>
        <v>0.12942477876106195</v>
      </c>
      <c r="AD51" s="90"/>
      <c r="AE51" s="90">
        <f t="shared" ref="AE51:AF51" si="163">+AE36/AE19</f>
        <v>0.11158798283261803</v>
      </c>
      <c r="AF51" s="90">
        <f t="shared" si="163"/>
        <v>0.1072961373390558</v>
      </c>
      <c r="AG51" s="90">
        <f t="shared" ref="AG51" si="164">+AG36/AG19</f>
        <v>9.7674418604651161E-2</v>
      </c>
      <c r="AH51" s="90"/>
      <c r="AI51" s="90">
        <f t="shared" si="153"/>
        <v>9.2550790067720087E-2</v>
      </c>
      <c r="AJ51" s="1308"/>
      <c r="AK51" s="79"/>
      <c r="AL51" s="82" t="s">
        <v>627</v>
      </c>
      <c r="AM51" s="83"/>
      <c r="AN51" s="90">
        <f t="shared" si="83"/>
        <v>9.8691241433767687E-2</v>
      </c>
      <c r="AO51" s="90">
        <f t="shared" si="83"/>
        <v>8.4374213415012861E-2</v>
      </c>
      <c r="AP51" s="90">
        <f t="shared" si="83"/>
        <v>7.9485837476790416E-2</v>
      </c>
      <c r="AQ51" s="90">
        <f t="shared" si="83"/>
        <v>8.5981650204483243E-2</v>
      </c>
      <c r="AR51" s="90">
        <f t="shared" si="84"/>
        <v>8.2193584091599034E-2</v>
      </c>
      <c r="AS51" s="90">
        <f t="shared" si="85"/>
        <v>6.5771562113943541E-2</v>
      </c>
      <c r="AT51" s="90">
        <f t="shared" si="85"/>
        <v>7.3873657625314393E-2</v>
      </c>
      <c r="AU51" s="90">
        <f t="shared" si="85"/>
        <v>7.7054338111937445E-2</v>
      </c>
      <c r="AV51" s="90">
        <f t="shared" si="85"/>
        <v>6.8552483686859719E-2</v>
      </c>
      <c r="AW51" s="90">
        <f t="shared" si="85"/>
        <v>5.8998065146709751E-2</v>
      </c>
      <c r="AX51" s="90">
        <f t="shared" si="85"/>
        <v>6.8141556758991514E-2</v>
      </c>
      <c r="AY51" s="90">
        <f t="shared" si="85"/>
        <v>8.7327040485160864E-2</v>
      </c>
      <c r="AZ51" s="90">
        <f t="shared" si="85"/>
        <v>0.10697069894760314</v>
      </c>
      <c r="BA51" s="90">
        <f t="shared" si="85"/>
        <v>8.2263931727963036E-2</v>
      </c>
      <c r="BB51" s="90">
        <f t="shared" si="85"/>
        <v>9.2545423671251487E-2</v>
      </c>
      <c r="BC51" s="90">
        <f t="shared" si="86"/>
        <v>0.11863537834701972</v>
      </c>
      <c r="BD51" s="90">
        <f t="shared" si="87"/>
        <v>0.13446071021510156</v>
      </c>
      <c r="BE51" s="90">
        <f t="shared" si="88"/>
        <v>0.14725242694864341</v>
      </c>
      <c r="BF51" s="90">
        <f t="shared" si="89"/>
        <v>9.4094233462461402E-2</v>
      </c>
      <c r="BG51" s="90">
        <f t="shared" si="90"/>
        <v>0.12382934443288242</v>
      </c>
      <c r="BH51" s="90">
        <f t="shared" si="90"/>
        <v>0.12900624874017336</v>
      </c>
      <c r="BI51" s="90">
        <f t="shared" si="90"/>
        <v>0.12935420743639922</v>
      </c>
      <c r="BJ51" s="90">
        <f t="shared" si="90"/>
        <v>0.12895884695619192</v>
      </c>
      <c r="BK51" s="90">
        <f t="shared" si="90"/>
        <v>0.12942477876106195</v>
      </c>
      <c r="BL51" s="89"/>
      <c r="BM51" s="90">
        <f t="shared" si="91"/>
        <v>0.11158798283261803</v>
      </c>
      <c r="BN51" s="90">
        <f t="shared" si="91"/>
        <v>0.1072961373390558</v>
      </c>
      <c r="BO51" s="90">
        <f t="shared" si="91"/>
        <v>9.7674418604651161E-2</v>
      </c>
      <c r="BP51" s="89"/>
      <c r="BQ51" s="90">
        <f t="shared" si="92"/>
        <v>9.2550790067720087E-2</v>
      </c>
      <c r="BX51" s="2333">
        <v>0.11863537834701972</v>
      </c>
      <c r="BY51" s="2333">
        <v>0.13446071021510156</v>
      </c>
      <c r="BZ51" s="2333">
        <v>0.12835249042145594</v>
      </c>
      <c r="CA51" s="2333">
        <v>7.3802095832333409E-2</v>
      </c>
      <c r="CB51" s="2333">
        <v>0.11378466557911909</v>
      </c>
      <c r="CC51" s="2333">
        <v>0.11883142518752468</v>
      </c>
      <c r="CD51" s="2333">
        <v>0.1192801072180739</v>
      </c>
      <c r="CE51" s="2333">
        <v>0.11908736783528102</v>
      </c>
      <c r="CF51" s="2333">
        <v>0.11966120021625518</v>
      </c>
    </row>
    <row r="52" spans="1:84">
      <c r="A52" s="91"/>
      <c r="B52" s="79"/>
      <c r="K52" s="92">
        <f>K21/K19</f>
        <v>0.2256864755979531</v>
      </c>
      <c r="Q52" s="92">
        <f>Q38/Q36</f>
        <v>0.44166209544706525</v>
      </c>
      <c r="R52" s="92">
        <f>R38/R36</f>
        <v>0.44166209544706525</v>
      </c>
      <c r="S52" s="92">
        <f>S38/S36</f>
        <v>0.33818683166319186</v>
      </c>
      <c r="T52" s="92"/>
      <c r="U52" s="92"/>
      <c r="V52" s="92"/>
      <c r="W52" s="92"/>
      <c r="X52" s="92"/>
      <c r="AJ52" s="93"/>
      <c r="AK52" s="93"/>
      <c r="AL52" s="79"/>
      <c r="BX52" s="2334"/>
      <c r="BY52" s="2334"/>
      <c r="BZ52" s="2334"/>
      <c r="CA52" s="2334"/>
    </row>
    <row r="53" spans="1:84">
      <c r="K53" s="94"/>
      <c r="L53" s="94"/>
      <c r="M53" s="94"/>
      <c r="AL53" s="37"/>
    </row>
    <row r="54" spans="1:84"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BX54" s="2335"/>
      <c r="BY54" s="2335"/>
      <c r="BZ54" s="2335"/>
      <c r="CA54" s="2335"/>
      <c r="CB54" s="2335"/>
      <c r="CC54" s="2335"/>
      <c r="CD54" s="2335"/>
      <c r="CE54" s="2335"/>
      <c r="CF54" s="2335"/>
    </row>
    <row r="55" spans="1:84" s="98" customFormat="1" ht="12">
      <c r="A55" s="96"/>
      <c r="B55" s="96" t="s">
        <v>626</v>
      </c>
      <c r="C55" s="96"/>
      <c r="D55" s="97">
        <f t="shared" ref="D55:AI55" si="165">+SUM(D20:D22,D25,D29,D34,D35)-D19</f>
        <v>0</v>
      </c>
      <c r="E55" s="97">
        <f t="shared" si="165"/>
        <v>-20</v>
      </c>
      <c r="F55" s="97">
        <f t="shared" si="165"/>
        <v>-4</v>
      </c>
      <c r="G55" s="97">
        <f t="shared" si="165"/>
        <v>-4</v>
      </c>
      <c r="H55" s="97">
        <f t="shared" si="165"/>
        <v>0</v>
      </c>
      <c r="I55" s="97">
        <f t="shared" si="165"/>
        <v>-3</v>
      </c>
      <c r="J55" s="97">
        <f t="shared" si="165"/>
        <v>0</v>
      </c>
      <c r="K55" s="97">
        <f t="shared" si="165"/>
        <v>-3</v>
      </c>
      <c r="L55" s="97">
        <f t="shared" si="165"/>
        <v>-45</v>
      </c>
      <c r="M55" s="97">
        <f t="shared" ref="M55:N55" si="166">+SUM(M20:M22,M25,M29,M34,M35)-M19</f>
        <v>-3</v>
      </c>
      <c r="N55" s="97">
        <f t="shared" si="166"/>
        <v>-3</v>
      </c>
      <c r="O55" s="97">
        <f t="shared" ref="O55:S55" si="167">+SUM(O20:O22,O25,O29,O34,O35)-O19</f>
        <v>-3</v>
      </c>
      <c r="P55" s="97">
        <f t="shared" ref="P55" si="168">+SUM(P20:P22,P25,P29,P34,P35)-P19</f>
        <v>-2</v>
      </c>
      <c r="Q55" s="97">
        <f t="shared" si="167"/>
        <v>-4</v>
      </c>
      <c r="R55" s="97">
        <f>+SUM(R20:R22,R25,R29,R34,R35)-R19</f>
        <v>-141</v>
      </c>
      <c r="S55" s="97">
        <f t="shared" si="167"/>
        <v>5</v>
      </c>
      <c r="T55" s="97">
        <f t="shared" ref="T55:Y55" si="169">+SUM(T20:T22,T25,T29,T34,T35)-T19</f>
        <v>-2</v>
      </c>
      <c r="U55" s="97"/>
      <c r="V55" s="97"/>
      <c r="W55" s="97"/>
      <c r="X55" s="97"/>
      <c r="Y55" s="97">
        <f t="shared" si="169"/>
        <v>0</v>
      </c>
      <c r="Z55" s="97">
        <f t="shared" ref="Z55" si="170">+SUM(Z20:Z22,Z25,Z29,Z34,Z35)-Z19</f>
        <v>0</v>
      </c>
      <c r="AA55" s="97">
        <f t="shared" ref="AA55:AB55" si="171">+SUM(AA20:AA22,AA25,AA29,AA34,AA35)-AA19</f>
        <v>0</v>
      </c>
      <c r="AB55" s="97">
        <f t="shared" si="171"/>
        <v>0</v>
      </c>
      <c r="AC55" s="97">
        <f t="shared" ref="AC55" si="172">+SUM(AC20:AC22,AC25,AC29,AC34,AC35)-AC19</f>
        <v>0</v>
      </c>
      <c r="AD55" s="97"/>
      <c r="AE55" s="97">
        <f t="shared" ref="AE55:AF55" si="173">+SUM(AE20:AE22,AE25,AE29,AE34,AE35)-AE19</f>
        <v>0</v>
      </c>
      <c r="AF55" s="97">
        <f t="shared" si="173"/>
        <v>0</v>
      </c>
      <c r="AG55" s="97">
        <f t="shared" ref="AG55" si="174">+SUM(AG20:AG22,AG25,AG29,AG34,AG35)-AG19</f>
        <v>0</v>
      </c>
      <c r="AH55" s="97"/>
      <c r="AI55" s="97">
        <f t="shared" si="165"/>
        <v>0</v>
      </c>
      <c r="AL55" s="96" t="s">
        <v>626</v>
      </c>
      <c r="AM55" s="96"/>
      <c r="AN55" s="97">
        <f t="shared" ref="AN55:BQ55" si="175">+SUM(AN20:AN22,AN25,AN29,AN34,AN35)-AN19</f>
        <v>0</v>
      </c>
      <c r="AO55" s="97">
        <f t="shared" si="175"/>
        <v>-20</v>
      </c>
      <c r="AP55" s="97">
        <f t="shared" si="175"/>
        <v>-4</v>
      </c>
      <c r="AQ55" s="97">
        <f t="shared" si="175"/>
        <v>-4</v>
      </c>
      <c r="AR55" s="97">
        <f t="shared" si="175"/>
        <v>-3</v>
      </c>
      <c r="AS55" s="97">
        <f t="shared" si="175"/>
        <v>-3</v>
      </c>
      <c r="AT55" s="97">
        <f t="shared" si="175"/>
        <v>-45</v>
      </c>
      <c r="AU55" s="97">
        <f t="shared" ref="AU55:AY55" si="176">+SUM(AU20:AU22,AU25,AU29,AU34,AU35)-AU19</f>
        <v>-3</v>
      </c>
      <c r="AV55" s="97">
        <f t="shared" si="176"/>
        <v>-3</v>
      </c>
      <c r="AW55" s="97">
        <f t="shared" si="176"/>
        <v>-3</v>
      </c>
      <c r="AX55" s="97">
        <f t="shared" si="176"/>
        <v>-2</v>
      </c>
      <c r="AY55" s="97">
        <f t="shared" si="176"/>
        <v>-4</v>
      </c>
      <c r="AZ55" s="97">
        <f t="shared" ref="AZ55" si="177">+SUM(AZ20:AZ22,AZ25,AZ29,AZ34,AZ35)-AZ19</f>
        <v>-141</v>
      </c>
      <c r="BA55" s="97">
        <f t="shared" ref="BA55" si="178">+SUM(BA20:BA22,BA25,BA29,BA34,BA35)-BA19</f>
        <v>5</v>
      </c>
      <c r="BB55" s="97">
        <f t="shared" ref="BB55:BG55" si="179">+SUM(BB20:BB22,BB25,BB29,BB34,BB35)-BB19</f>
        <v>-2</v>
      </c>
      <c r="BC55" s="97"/>
      <c r="BD55" s="97"/>
      <c r="BE55" s="97"/>
      <c r="BF55" s="97"/>
      <c r="BG55" s="97">
        <f t="shared" si="179"/>
        <v>0</v>
      </c>
      <c r="BH55" s="97">
        <f t="shared" ref="BH55:BI55" si="180">+SUM(BH20:BH22,BH25,BH29,BH34,BH35)-BH19</f>
        <v>0</v>
      </c>
      <c r="BI55" s="97">
        <f t="shared" si="180"/>
        <v>0</v>
      </c>
      <c r="BJ55" s="97">
        <f t="shared" ref="BJ55:BK55" si="181">+SUM(BJ20:BJ22,BJ25,BJ29,BJ34,BJ35)-BJ19</f>
        <v>0</v>
      </c>
      <c r="BK55" s="97">
        <f t="shared" si="181"/>
        <v>0</v>
      </c>
      <c r="BL55" s="97"/>
      <c r="BM55" s="97">
        <f t="shared" ref="BM55:BN55" si="182">+SUM(BM20:BM22,BM25,BM29,BM34,BM35)-BM19</f>
        <v>0</v>
      </c>
      <c r="BN55" s="97">
        <f t="shared" si="182"/>
        <v>0</v>
      </c>
      <c r="BO55" s="97">
        <f t="shared" ref="BO55" si="183">+SUM(BO20:BO22,BO25,BO29,BO34,BO35)-BO19</f>
        <v>0</v>
      </c>
      <c r="BP55" s="97"/>
      <c r="BQ55" s="97">
        <f t="shared" si="175"/>
        <v>0</v>
      </c>
      <c r="BX55" s="2336"/>
      <c r="BY55" s="2336"/>
      <c r="BZ55" s="2336"/>
      <c r="CA55" s="2336"/>
      <c r="CB55" s="2336">
        <v>0</v>
      </c>
      <c r="CC55" s="2336">
        <v>0</v>
      </c>
      <c r="CD55" s="2336">
        <v>0</v>
      </c>
      <c r="CE55" s="2336">
        <v>0</v>
      </c>
      <c r="CF55" s="2336">
        <v>0</v>
      </c>
    </row>
    <row r="56" spans="1:84">
      <c r="A56" s="87"/>
      <c r="B56" s="87"/>
      <c r="C56" s="99"/>
      <c r="D56" s="97">
        <f t="shared" ref="D56:AI56" si="184">+SUM(D37:D43)-D36</f>
        <v>0</v>
      </c>
      <c r="E56" s="97">
        <f t="shared" si="184"/>
        <v>-2</v>
      </c>
      <c r="F56" s="97">
        <f t="shared" si="184"/>
        <v>-2</v>
      </c>
      <c r="G56" s="97">
        <f t="shared" si="184"/>
        <v>-1</v>
      </c>
      <c r="H56" s="97">
        <f t="shared" si="184"/>
        <v>0</v>
      </c>
      <c r="I56" s="97">
        <f t="shared" si="184"/>
        <v>0</v>
      </c>
      <c r="J56" s="97">
        <f>+SUM(J37:J43)-J36</f>
        <v>0</v>
      </c>
      <c r="K56" s="97">
        <f>+SUM(K37:K43)-K36</f>
        <v>-2</v>
      </c>
      <c r="L56" s="97">
        <f t="shared" si="184"/>
        <v>-1</v>
      </c>
      <c r="M56" s="97">
        <f t="shared" ref="M56:N56" si="185">+SUM(M37:M43)-M36</f>
        <v>-4</v>
      </c>
      <c r="N56" s="97">
        <f t="shared" si="185"/>
        <v>-5</v>
      </c>
      <c r="O56" s="97">
        <f t="shared" ref="O56:S56" si="186">+SUM(O37:O43)-O36</f>
        <v>-3</v>
      </c>
      <c r="P56" s="97">
        <f t="shared" ref="P56" si="187">+SUM(P37:P43)-P36</f>
        <v>-1</v>
      </c>
      <c r="Q56" s="97">
        <f t="shared" si="186"/>
        <v>-2</v>
      </c>
      <c r="R56" s="97">
        <f t="shared" ref="R56" si="188">+SUM(R37:R43)-R36</f>
        <v>-2</v>
      </c>
      <c r="S56" s="97">
        <f t="shared" si="186"/>
        <v>-4</v>
      </c>
      <c r="T56" s="97">
        <f t="shared" ref="T56:Y56" si="189">+SUM(T37:T43)-T36</f>
        <v>-1</v>
      </c>
      <c r="U56" s="97"/>
      <c r="V56" s="97"/>
      <c r="W56" s="97"/>
      <c r="X56" s="97"/>
      <c r="Y56" s="97">
        <f t="shared" si="189"/>
        <v>0</v>
      </c>
      <c r="Z56" s="97">
        <f t="shared" ref="Z56" si="190">+SUM(Z37:Z43)-Z36</f>
        <v>0</v>
      </c>
      <c r="AA56" s="97">
        <f t="shared" ref="AA56:AB56" si="191">+SUM(AA37:AA43)-AA36</f>
        <v>0</v>
      </c>
      <c r="AB56" s="97">
        <f t="shared" si="191"/>
        <v>0</v>
      </c>
      <c r="AC56" s="97">
        <f t="shared" ref="AC56" si="192">+SUM(AC37:AC43)-AC36</f>
        <v>0</v>
      </c>
      <c r="AD56" s="97"/>
      <c r="AE56" s="97">
        <f t="shared" ref="AE56:AF56" si="193">+SUM(AE37:AE43)-AE36</f>
        <v>0</v>
      </c>
      <c r="AF56" s="97">
        <f t="shared" si="193"/>
        <v>0</v>
      </c>
      <c r="AG56" s="97">
        <f>+SUM(AG37:AG43)-AG36</f>
        <v>0</v>
      </c>
      <c r="AH56" s="97"/>
      <c r="AI56" s="97">
        <f t="shared" si="184"/>
        <v>0</v>
      </c>
      <c r="AL56" s="87"/>
      <c r="AM56" s="99"/>
      <c r="AN56" s="97">
        <f t="shared" ref="AN56:BQ56" si="194">+SUM(AN37:AN43)-AN36</f>
        <v>0</v>
      </c>
      <c r="AO56" s="97">
        <f t="shared" si="194"/>
        <v>-2</v>
      </c>
      <c r="AP56" s="97">
        <f t="shared" si="194"/>
        <v>-2</v>
      </c>
      <c r="AQ56" s="97">
        <f t="shared" si="194"/>
        <v>-1</v>
      </c>
      <c r="AR56" s="97">
        <f t="shared" si="194"/>
        <v>0</v>
      </c>
      <c r="AS56" s="97">
        <f t="shared" si="194"/>
        <v>-2</v>
      </c>
      <c r="AT56" s="97">
        <f t="shared" si="194"/>
        <v>-1</v>
      </c>
      <c r="AU56" s="97">
        <f t="shared" ref="AU56:AY56" si="195">+SUM(AU37:AU43)-AU36</f>
        <v>-4</v>
      </c>
      <c r="AV56" s="97">
        <f t="shared" si="195"/>
        <v>-5</v>
      </c>
      <c r="AW56" s="97">
        <f t="shared" si="195"/>
        <v>-3</v>
      </c>
      <c r="AX56" s="97">
        <f t="shared" si="195"/>
        <v>-1</v>
      </c>
      <c r="AY56" s="97">
        <f t="shared" si="195"/>
        <v>-2</v>
      </c>
      <c r="AZ56" s="97">
        <f t="shared" ref="AZ56" si="196">+SUM(AZ37:AZ43)-AZ36</f>
        <v>-2</v>
      </c>
      <c r="BA56" s="97">
        <f t="shared" ref="BA56" si="197">+SUM(BA37:BA43)-BA36</f>
        <v>-4</v>
      </c>
      <c r="BB56" s="97">
        <f t="shared" ref="BB56:BG56" si="198">+SUM(BB37:BB43)-BB36</f>
        <v>-1</v>
      </c>
      <c r="BC56" s="97"/>
      <c r="BD56" s="97"/>
      <c r="BE56" s="97"/>
      <c r="BF56" s="97"/>
      <c r="BG56" s="97">
        <f t="shared" si="198"/>
        <v>0</v>
      </c>
      <c r="BH56" s="97">
        <f t="shared" ref="BH56:BI56" si="199">+SUM(BH37:BH43)-BH36</f>
        <v>0</v>
      </c>
      <c r="BI56" s="97">
        <f t="shared" si="199"/>
        <v>0</v>
      </c>
      <c r="BJ56" s="97">
        <f t="shared" ref="BJ56:BK56" si="200">+SUM(BJ37:BJ43)-BJ36</f>
        <v>0</v>
      </c>
      <c r="BK56" s="97">
        <f t="shared" si="200"/>
        <v>0</v>
      </c>
      <c r="BL56" s="97"/>
      <c r="BM56" s="97">
        <f t="shared" ref="BM56:BN56" si="201">+SUM(BM37:BM43)-BM36</f>
        <v>0</v>
      </c>
      <c r="BN56" s="97">
        <f t="shared" si="201"/>
        <v>0</v>
      </c>
      <c r="BO56" s="97">
        <f t="shared" ref="BO56" si="202">+SUM(BO37:BO43)-BO36</f>
        <v>0</v>
      </c>
      <c r="BP56" s="97"/>
      <c r="BQ56" s="97">
        <f t="shared" si="194"/>
        <v>0</v>
      </c>
      <c r="BX56" s="2336"/>
      <c r="BY56" s="2336"/>
      <c r="BZ56" s="2336"/>
      <c r="CA56" s="2336"/>
      <c r="CB56" s="2336">
        <v>0</v>
      </c>
      <c r="CC56" s="2336">
        <v>0</v>
      </c>
      <c r="CD56" s="2336">
        <v>0</v>
      </c>
      <c r="CE56" s="2336">
        <v>0</v>
      </c>
      <c r="CF56" s="2336">
        <v>0</v>
      </c>
    </row>
    <row r="61" spans="1:84">
      <c r="AZ61" s="2240"/>
      <c r="BA61" s="2240"/>
      <c r="BB61" s="2240"/>
      <c r="BC61" s="2240"/>
      <c r="BD61" s="2240"/>
      <c r="BE61" s="2240"/>
      <c r="BF61" s="2240"/>
      <c r="BG61" s="2240"/>
      <c r="BH61" s="2240"/>
      <c r="BI61" s="2240"/>
      <c r="BJ61" s="2240"/>
      <c r="BK61" s="2240"/>
    </row>
    <row r="62" spans="1:84">
      <c r="AZ62" s="2240"/>
      <c r="BA62" s="2240"/>
      <c r="BB62" s="2240"/>
      <c r="BC62" s="2240"/>
      <c r="BD62" s="2240"/>
      <c r="BE62" s="2240"/>
      <c r="BF62" s="2240"/>
      <c r="BG62" s="2240"/>
      <c r="BH62" s="2240"/>
      <c r="BI62" s="2240"/>
      <c r="BJ62" s="2240"/>
      <c r="BK62" s="2240"/>
    </row>
    <row r="64" spans="1:84">
      <c r="BG64" s="2240"/>
      <c r="BH64" s="2240"/>
      <c r="BI64" s="2240"/>
    </row>
    <row r="65" spans="59:61">
      <c r="BG65" s="2240"/>
      <c r="BH65" s="2240"/>
      <c r="BI65" s="2240"/>
    </row>
    <row r="66" spans="59:61">
      <c r="BG66" s="2240"/>
      <c r="BH66" s="2240"/>
      <c r="BI66" s="2240"/>
    </row>
    <row r="67" spans="59:61">
      <c r="BG67" s="2240"/>
      <c r="BH67" s="2240"/>
      <c r="BI67" s="2240"/>
    </row>
    <row r="68" spans="59:61">
      <c r="BG68" s="2240"/>
      <c r="BH68" s="2240"/>
      <c r="BI68" s="2240"/>
    </row>
    <row r="69" spans="59:61">
      <c r="BG69" s="2240"/>
      <c r="BH69" s="2240"/>
      <c r="BI69" s="2240"/>
    </row>
    <row r="70" spans="59:61">
      <c r="BG70" s="2240"/>
      <c r="BH70" s="2240"/>
      <c r="BI70" s="2240"/>
    </row>
    <row r="71" spans="59:61">
      <c r="BG71" s="2240"/>
      <c r="BH71" s="2240"/>
      <c r="BI71" s="2240"/>
    </row>
    <row r="72" spans="59:61">
      <c r="BG72" s="2240"/>
      <c r="BH72" s="2240"/>
      <c r="BI72" s="2240"/>
    </row>
    <row r="73" spans="59:61">
      <c r="BG73" s="2240"/>
      <c r="BH73" s="2240"/>
      <c r="BI73" s="2240"/>
    </row>
  </sheetData>
  <phoneticPr fontId="96"/>
  <dataValidations count="1">
    <dataValidation allowBlank="1" sqref="AL1 A1:B1" xr:uid="{00000000-0002-0000-0600-000000000000}"/>
  </dataValidations>
  <printOptions horizontalCentered="1" verticalCentered="1"/>
  <pageMargins left="0.7" right="0.7" top="0.75" bottom="0.75" header="0.3" footer="0.3"/>
  <pageSetup scale="74" orientation="portrait" r:id="rId1"/>
  <colBreaks count="1" manualBreakCount="1">
    <brk id="37" max="1048575" man="1"/>
  </colBreaks>
  <customProperties>
    <customPr name="Qube.Worksheet.Visibility" r:id="rId2"/>
    <customPr name="QXL_SHEET_ID" r:id="rId3"/>
  </customProperties>
  <ignoredErrors>
    <ignoredError sqref="L14:O14 Y14:Y20 S14:T14 AI18:AI19 Q14 AD14:AD20" formula="1"/>
    <ignoredError sqref="B45:J50" evalError="1"/>
  </ignoredErrors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pageSetUpPr fitToPage="1"/>
  </sheetPr>
  <dimension ref="A1:LK180"/>
  <sheetViews>
    <sheetView showGridLines="0" zoomScaleNormal="100" zoomScaleSheetLayoutView="72" workbookViewId="0">
      <pane xSplit="4" ySplit="3" topLeftCell="E4" activePane="bottomRight" state="frozen"/>
      <selection activeCell="AA88" sqref="AA88"/>
      <selection pane="topRight" activeCell="AA88" sqref="AA88"/>
      <selection pane="bottomLeft" activeCell="AA88" sqref="AA88"/>
      <selection pane="bottomRight"/>
    </sheetView>
  </sheetViews>
  <sheetFormatPr defaultColWidth="9" defaultRowHeight="11.5" outlineLevelRow="1" outlineLevelCol="1"/>
  <cols>
    <col min="1" max="1" width="1.75" style="1" customWidth="1"/>
    <col min="2" max="2" width="23.25" style="1261" customWidth="1" outlineLevel="1"/>
    <col min="3" max="3" width="24.08203125" style="356" customWidth="1"/>
    <col min="4" max="4" width="0.25" style="813" customWidth="1"/>
    <col min="5" max="5" width="9.25" style="810" hidden="1" customWidth="1"/>
    <col min="6" max="6" width="10" style="810" hidden="1" customWidth="1"/>
    <col min="7" max="7" width="10" style="811" hidden="1" customWidth="1"/>
    <col min="8" max="9" width="10" style="810" hidden="1" customWidth="1"/>
    <col min="10" max="10" width="10" style="811" hidden="1" customWidth="1"/>
    <col min="11" max="18" width="8.25" style="1" hidden="1" customWidth="1" outlineLevel="1"/>
    <col min="19" max="19" width="0.25" style="813" hidden="1" customWidth="1" outlineLevel="1"/>
    <col min="20" max="27" width="8.25" style="1" hidden="1" customWidth="1" outlineLevel="1"/>
    <col min="28" max="28" width="0.25" style="813" hidden="1" customWidth="1" outlineLevel="1"/>
    <col min="29" max="36" width="8.25" style="1" hidden="1" customWidth="1" outlineLevel="1"/>
    <col min="37" max="37" width="2.83203125" style="813" hidden="1" customWidth="1" outlineLevel="1"/>
    <col min="38" max="38" width="6.58203125" style="1" hidden="1" customWidth="1" outlineLevel="1" collapsed="1"/>
    <col min="39" max="41" width="6.58203125" style="1" hidden="1" customWidth="1" outlineLevel="1"/>
    <col min="42" max="42" width="8.25" style="1" hidden="1" customWidth="1" outlineLevel="1"/>
    <col min="43" max="43" width="8.25" style="1" hidden="1" customWidth="1" outlineLevel="1" collapsed="1"/>
    <col min="44" max="45" width="8.25" style="1" hidden="1" customWidth="1" outlineLevel="1"/>
    <col min="46" max="46" width="0.25" style="813" hidden="1" customWidth="1" outlineLevel="1"/>
    <col min="47" max="48" width="8.25" style="1" hidden="1" customWidth="1" outlineLevel="1"/>
    <col min="49" max="49" width="6.58203125" style="1" hidden="1" customWidth="1" outlineLevel="1"/>
    <col min="50" max="50" width="8.25" style="1" hidden="1" customWidth="1" outlineLevel="1"/>
    <col min="51" max="51" width="8.25" style="1" hidden="1" customWidth="1" outlineLevel="1" collapsed="1"/>
    <col min="52" max="52" width="8.25" style="1" hidden="1" customWidth="1" outlineLevel="1"/>
    <col min="53" max="53" width="9.75" style="1" hidden="1" customWidth="1" outlineLevel="1" collapsed="1"/>
    <col min="54" max="55" width="8.75" style="261" hidden="1" customWidth="1" outlineLevel="1"/>
    <col min="56" max="56" width="8.25" style="384" hidden="1" customWidth="1" outlineLevel="1"/>
    <col min="57" max="57" width="7.5" style="1" hidden="1" customWidth="1" outlineLevel="1"/>
    <col min="58" max="58" width="7.5" style="813" hidden="1" customWidth="1" outlineLevel="1"/>
    <col min="59" max="59" width="7.5" style="1" hidden="1" customWidth="1" outlineLevel="1"/>
    <col min="60" max="61" width="8.25" style="1" hidden="1" customWidth="1" outlineLevel="1"/>
    <col min="62" max="62" width="5.25" style="813" hidden="1" customWidth="1" outlineLevel="1"/>
    <col min="63" max="65" width="9.25" style="1" hidden="1" customWidth="1" outlineLevel="1"/>
    <col min="66" max="66" width="1.25" style="1" hidden="1" customWidth="1" outlineLevel="1"/>
    <col min="67" max="67" width="0.25" style="813" hidden="1" customWidth="1" outlineLevel="1"/>
    <col min="68" max="68" width="8.25" style="1" hidden="1" customWidth="1" outlineLevel="1" collapsed="1"/>
    <col min="69" max="69" width="8.25" style="384" hidden="1" customWidth="1" outlineLevel="1" collapsed="1"/>
    <col min="70" max="70" width="8.25" style="1" hidden="1" customWidth="1" outlineLevel="1"/>
    <col min="71" max="71" width="8.25" style="384" hidden="1" customWidth="1" outlineLevel="1"/>
    <col min="72" max="72" width="9.75" style="1" hidden="1" customWidth="1" outlineLevel="1"/>
    <col min="73" max="74" width="8.25" style="1" hidden="1" customWidth="1" outlineLevel="1"/>
    <col min="75" max="75" width="8.25" style="384" hidden="1" customWidth="1" outlineLevel="1"/>
    <col min="76" max="77" width="9.75" style="1" hidden="1" customWidth="1" outlineLevel="1"/>
    <col min="78" max="79" width="8.25" style="384" hidden="1" customWidth="1" outlineLevel="1"/>
    <col min="80" max="80" width="8.25" style="384" hidden="1" customWidth="1" outlineLevel="1" collapsed="1"/>
    <col min="81" max="81" width="9.75" style="1" hidden="1" customWidth="1" outlineLevel="1"/>
    <col min="82" max="82" width="8.25" style="1" hidden="1" customWidth="1" outlineLevel="1"/>
    <col min="83" max="83" width="11.58203125" style="1" hidden="1" customWidth="1" outlineLevel="1"/>
    <col min="84" max="84" width="0.25" style="813" hidden="1" customWidth="1" outlineLevel="1"/>
    <col min="85" max="85" width="9.75" style="814" hidden="1" customWidth="1" outlineLevel="1"/>
    <col min="86" max="87" width="7.75" style="810" hidden="1" customWidth="1" outlineLevel="1"/>
    <col min="88" max="88" width="9.75" style="810" hidden="1" customWidth="1" outlineLevel="1"/>
    <col min="89" max="89" width="9.08203125" style="810" hidden="1" customWidth="1" outlineLevel="1"/>
    <col min="90" max="92" width="8.75" style="810" hidden="1" customWidth="1" outlineLevel="1"/>
    <col min="93" max="93" width="10" style="810" hidden="1" customWidth="1" outlineLevel="1"/>
    <col min="94" max="95" width="9.25" style="810" hidden="1" customWidth="1" outlineLevel="1"/>
    <col min="96" max="97" width="8.75" style="810" hidden="1" customWidth="1" outlineLevel="1"/>
    <col min="98" max="100" width="9.25" style="810" hidden="1" customWidth="1" outlineLevel="1"/>
    <col min="101" max="101" width="9.25" style="811" hidden="1" customWidth="1" outlineLevel="1"/>
    <col min="102" max="102" width="6.83203125" style="1" hidden="1" customWidth="1" outlineLevel="1" collapsed="1"/>
    <col min="103" max="103" width="9.58203125" style="1" hidden="1" customWidth="1" outlineLevel="1"/>
    <col min="104" max="104" width="9.75" style="1" hidden="1" customWidth="1" outlineLevel="1"/>
    <col min="105" max="105" width="7.58203125" style="1" hidden="1" customWidth="1" outlineLevel="1"/>
    <col min="106" max="107" width="9.75" style="1" hidden="1" customWidth="1" outlineLevel="1"/>
    <col min="108" max="108" width="8.25" style="1" hidden="1" customWidth="1" outlineLevel="1"/>
    <col min="109" max="109" width="9.25" style="1" hidden="1" customWidth="1" outlineLevel="1"/>
    <col min="110" max="110" width="8.58203125" style="1" hidden="1" customWidth="1" outlineLevel="1"/>
    <col min="111" max="111" width="10.58203125" style="1" hidden="1" customWidth="1" outlineLevel="1"/>
    <col min="112" max="112" width="7.58203125" style="1" hidden="1" customWidth="1" outlineLevel="1"/>
    <col min="113" max="113" width="9.58203125" style="1" hidden="1" customWidth="1" outlineLevel="1"/>
    <col min="114" max="114" width="7.58203125" style="1" hidden="1" customWidth="1" outlineLevel="1"/>
    <col min="115" max="115" width="10.25" style="1" hidden="1" customWidth="1" outlineLevel="1"/>
    <col min="116" max="116" width="9.75" style="356" hidden="1" customWidth="1" outlineLevel="1"/>
    <col min="117" max="117" width="0.75" style="356" hidden="1" customWidth="1" outlineLevel="1"/>
    <col min="118" max="119" width="6.25" style="1" hidden="1" customWidth="1" outlineLevel="1"/>
    <col min="120" max="120" width="6.75" style="1" hidden="1" customWidth="1" outlineLevel="1"/>
    <col min="121" max="121" width="8.75" style="1" hidden="1" customWidth="1" outlineLevel="1"/>
    <col min="122" max="122" width="9.75" style="1" hidden="1" customWidth="1" outlineLevel="1"/>
    <col min="123" max="123" width="9.75" style="356" hidden="1" customWidth="1" outlineLevel="1"/>
    <col min="124" max="124" width="0.75" style="356" hidden="1" customWidth="1" outlineLevel="1"/>
    <col min="125" max="125" width="8.25" style="1" hidden="1" customWidth="1" outlineLevel="1"/>
    <col min="126" max="126" width="11.75" style="1" hidden="1" customWidth="1" outlineLevel="1"/>
    <col min="127" max="127" width="9.75" style="1261" hidden="1" customWidth="1" outlineLevel="1" collapsed="1"/>
    <col min="128" max="129" width="9.75" style="1" hidden="1" customWidth="1" outlineLevel="1"/>
    <col min="130" max="130" width="5.08203125" style="357" hidden="1" customWidth="1" outlineLevel="1"/>
    <col min="131" max="132" width="9.75" style="1261" hidden="1" customWidth="1" outlineLevel="1"/>
    <col min="133" max="133" width="9.75" style="1" hidden="1" customWidth="1" outlineLevel="1"/>
    <col min="134" max="134" width="9.75" style="356" hidden="1" customWidth="1" outlineLevel="1"/>
    <col min="135" max="135" width="0.25" style="813" hidden="1" customWidth="1" outlineLevel="1"/>
    <col min="136" max="136" width="1.25" style="1" hidden="1" customWidth="1" outlineLevel="1" collapsed="1"/>
    <col min="137" max="137" width="9.25" style="770" hidden="1" customWidth="1" outlineLevel="1"/>
    <col min="138" max="140" width="9.25" style="1" hidden="1" customWidth="1" outlineLevel="1"/>
    <col min="141" max="141" width="8.08203125" style="1" hidden="1" customWidth="1" outlineLevel="1"/>
    <col min="142" max="142" width="9.25" style="1" hidden="1" customWidth="1" outlineLevel="1"/>
    <col min="143" max="143" width="8.08203125" style="1" hidden="1" customWidth="1" outlineLevel="1" collapsed="1"/>
    <col min="144" max="144" width="10.58203125" style="1" hidden="1" customWidth="1" outlineLevel="1"/>
    <col min="145" max="145" width="9.08203125" style="1" hidden="1" customWidth="1" outlineLevel="1"/>
    <col min="146" max="146" width="7.08203125" style="1" hidden="1" customWidth="1" outlineLevel="1"/>
    <col min="147" max="147" width="8.08203125" style="1" hidden="1" customWidth="1" outlineLevel="1"/>
    <col min="148" max="148" width="8" style="1" hidden="1" customWidth="1" outlineLevel="1"/>
    <col min="149" max="149" width="8.08203125" style="1" hidden="1" customWidth="1" outlineLevel="1"/>
    <col min="150" max="150" width="7" style="1" hidden="1" customWidth="1" outlineLevel="1"/>
    <col min="151" max="151" width="9.08203125" style="356" customWidth="1" collapsed="1"/>
    <col min="152" max="152" width="0.75" style="1" customWidth="1"/>
    <col min="153" max="158" width="10.08203125" style="1" hidden="1" customWidth="1" outlineLevel="1"/>
    <col min="159" max="160" width="11.25" style="1" hidden="1" customWidth="1" outlineLevel="1"/>
    <col min="161" max="163" width="9.75" style="1" hidden="1" customWidth="1" outlineLevel="1"/>
    <col min="164" max="165" width="10.08203125" style="1" hidden="1" customWidth="1" outlineLevel="1"/>
    <col min="166" max="166" width="10.08203125" style="1" hidden="1" customWidth="1" outlineLevel="1" collapsed="1"/>
    <col min="167" max="167" width="10.08203125" style="356" hidden="1" customWidth="1" outlineLevel="1"/>
    <col min="168" max="169" width="10.08203125" style="1" hidden="1" customWidth="1" outlineLevel="1"/>
    <col min="170" max="171" width="9.75" style="1" hidden="1" customWidth="1" outlineLevel="1"/>
    <col min="172" max="172" width="12" style="1" hidden="1" customWidth="1" outlineLevel="1"/>
    <col min="173" max="173" width="2.08203125" style="1" hidden="1" customWidth="1" outlineLevel="1"/>
    <col min="174" max="174" width="4.25" style="356" hidden="1" customWidth="1" outlineLevel="1"/>
    <col min="175" max="175" width="11.08203125" style="1" hidden="1" customWidth="1" outlineLevel="1"/>
    <col min="176" max="177" width="9.75" style="1" hidden="1" customWidth="1" outlineLevel="1"/>
    <col min="178" max="178" width="10.08203125" style="1" hidden="1" customWidth="1" outlineLevel="1"/>
    <col min="179" max="180" width="9.75" style="1" hidden="1" customWidth="1" outlineLevel="1"/>
    <col min="181" max="181" width="10.08203125" style="1" hidden="1" customWidth="1" outlineLevel="1"/>
    <col min="182" max="182" width="11.25" style="1" hidden="1" customWidth="1" outlineLevel="1"/>
    <col min="183" max="183" width="9.75" style="1" hidden="1" customWidth="1" outlineLevel="1"/>
    <col min="184" max="184" width="10.08203125" style="1" hidden="1" customWidth="1" outlineLevel="1"/>
    <col min="185" max="185" width="11.25" style="1" hidden="1" customWidth="1" outlineLevel="1"/>
    <col min="186" max="186" width="10.08203125" style="356" customWidth="1" collapsed="1"/>
    <col min="187" max="187" width="9.75" style="1" hidden="1" customWidth="1"/>
    <col min="188" max="189" width="10.08203125" style="1" hidden="1" customWidth="1"/>
    <col min="190" max="191" width="10.75" style="1" hidden="1" customWidth="1"/>
    <col min="192" max="192" width="1.58203125" style="357" customWidth="1"/>
    <col min="193" max="193" width="11.08203125" style="1" hidden="1" customWidth="1"/>
    <col min="194" max="199" width="11.08203125" style="1" hidden="1" customWidth="1" outlineLevel="1"/>
    <col min="200" max="200" width="11.25" style="1" hidden="1" customWidth="1" outlineLevel="1"/>
    <col min="201" max="201" width="9.75" style="1" hidden="1" customWidth="1" outlineLevel="1"/>
    <col min="202" max="202" width="10.08203125" style="1" hidden="1" customWidth="1" outlineLevel="1"/>
    <col min="203" max="203" width="11.25" style="1" hidden="1" customWidth="1" outlineLevel="1"/>
    <col min="204" max="204" width="11.25" style="356" customWidth="1" collapsed="1"/>
    <col min="205" max="205" width="11.58203125" style="1" hidden="1" customWidth="1"/>
    <col min="206" max="208" width="11.08203125" style="1" hidden="1" customWidth="1"/>
    <col min="209" max="209" width="0.25" style="357" hidden="1" customWidth="1"/>
    <col min="210" max="210" width="10.25" style="1" hidden="1" customWidth="1"/>
    <col min="211" max="211" width="0.83203125" style="1" customWidth="1"/>
    <col min="212" max="212" width="10.25" style="1" hidden="1" customWidth="1" outlineLevel="1"/>
    <col min="213" max="217" width="11.08203125" style="1" hidden="1" customWidth="1" outlineLevel="1"/>
    <col min="218" max="218" width="10.25" style="1" hidden="1" customWidth="1" outlineLevel="1"/>
    <col min="219" max="219" width="10.83203125" style="1" hidden="1" customWidth="1" outlineLevel="1"/>
    <col min="220" max="221" width="11.08203125" style="1" hidden="1" customWidth="1" outlineLevel="1"/>
    <col min="222" max="223" width="11.25" style="1" hidden="1" customWidth="1" outlineLevel="1"/>
    <col min="224" max="225" width="11.08203125" style="1" hidden="1" customWidth="1" outlineLevel="1"/>
    <col min="226" max="227" width="10.08203125" style="1" hidden="1" customWidth="1" outlineLevel="1"/>
    <col min="228" max="229" width="11.25" style="1" hidden="1" customWidth="1" outlineLevel="1"/>
    <col min="230" max="230" width="9.33203125" style="1" customWidth="1" collapsed="1"/>
    <col min="231" max="231" width="10.25" style="1" hidden="1" customWidth="1"/>
    <col min="232" max="233" width="9.08203125" style="1" hidden="1" customWidth="1"/>
    <col min="234" max="234" width="11.25" style="1" customWidth="1"/>
    <col min="235" max="235" width="11" style="1" hidden="1" customWidth="1" outlineLevel="1"/>
    <col min="236" max="236" width="10.83203125" style="1" hidden="1" customWidth="1" outlineLevel="1"/>
    <col min="237" max="237" width="0.5" style="357" hidden="1" customWidth="1" outlineLevel="1"/>
    <col min="238" max="238" width="10.25" style="1" hidden="1" customWidth="1" outlineLevel="1"/>
    <col min="239" max="239" width="9.75" style="770" customWidth="1" collapsed="1"/>
    <col min="240" max="242" width="9.75" style="1" customWidth="1"/>
    <col min="243" max="243" width="10.25" style="1" hidden="1" customWidth="1"/>
    <col min="244" max="244" width="9" style="1" customWidth="1"/>
    <col min="245" max="246" width="10.25" style="1" hidden="1" customWidth="1"/>
    <col min="247" max="247" width="9.33203125" style="1" customWidth="1"/>
    <col min="248" max="248" width="10.83203125" style="1" hidden="1" customWidth="1"/>
    <col min="249" max="249" width="9.58203125" style="1" customWidth="1"/>
    <col min="250" max="250" width="10.83203125" style="356" hidden="1" customWidth="1" outlineLevel="1"/>
    <col min="251" max="251" width="9" style="1" hidden="1" customWidth="1" collapsed="1"/>
    <col min="252" max="252" width="9.25" style="356" customWidth="1"/>
    <col min="253" max="253" width="2" style="770" customWidth="1" collapsed="1"/>
    <col min="254" max="254" width="7.75" style="1" hidden="1" customWidth="1"/>
    <col min="255" max="256" width="9.08203125" style="1" customWidth="1"/>
    <col min="257" max="257" width="9.5" style="1" hidden="1" customWidth="1"/>
    <col min="258" max="258" width="10.08203125" style="1" customWidth="1"/>
    <col min="259" max="259" width="10.83203125" style="1" hidden="1" customWidth="1"/>
    <col min="260" max="260" width="9.5" style="1" customWidth="1"/>
    <col min="261" max="261" width="9.5" style="1" hidden="1" customWidth="1" outlineLevel="1"/>
    <col min="262" max="262" width="9.5" style="1" customWidth="1" collapsed="1"/>
    <col min="263" max="264" width="9.5" style="1" customWidth="1"/>
    <col min="265" max="265" width="9.5" style="1" hidden="1" customWidth="1" outlineLevel="1"/>
    <col min="266" max="267" width="8.83203125" style="1" hidden="1" customWidth="1" outlineLevel="1"/>
    <col min="268" max="268" width="8.83203125" style="356" hidden="1" customWidth="1" outlineLevel="1"/>
    <col min="269" max="269" width="3.33203125" style="770" customWidth="1" collapsed="1"/>
    <col min="270" max="270" width="9" style="770" hidden="1" customWidth="1"/>
    <col min="271" max="271" width="9" style="1" hidden="1" customWidth="1" collapsed="1"/>
    <col min="272" max="274" width="9" style="1" customWidth="1"/>
    <col min="275" max="275" width="9" style="1" hidden="1" customWidth="1" outlineLevel="1"/>
    <col min="276" max="276" width="9" style="1" customWidth="1" collapsed="1"/>
    <col min="277" max="278" width="9" style="1" hidden="1" customWidth="1" outlineLevel="1"/>
    <col min="279" max="279" width="9" style="1" customWidth="1" collapsed="1"/>
    <col min="280" max="280" width="9" style="1" hidden="1" customWidth="1"/>
    <col min="281" max="281" width="9" style="1" customWidth="1"/>
    <col min="282" max="282" width="9" style="1" hidden="1" customWidth="1" outlineLevel="1"/>
    <col min="283" max="283" width="9" style="1" customWidth="1" collapsed="1"/>
    <col min="284" max="284" width="9" style="1" customWidth="1"/>
    <col min="285" max="285" width="9" style="1" hidden="1" customWidth="1"/>
    <col min="286" max="286" width="7.75" style="1" customWidth="1"/>
    <col min="287" max="287" width="2.58203125" style="356" customWidth="1"/>
    <col min="288" max="289" width="9" style="1" hidden="1" customWidth="1" outlineLevel="1"/>
    <col min="290" max="290" width="9" style="1" hidden="1" customWidth="1" outlineLevel="1" collapsed="1"/>
    <col min="291" max="291" width="9" style="1" hidden="1" customWidth="1" outlineLevel="1"/>
    <col min="292" max="292" width="9" style="1" customWidth="1" collapsed="1"/>
    <col min="293" max="294" width="9" style="1" customWidth="1"/>
    <col min="295" max="295" width="2.58203125" style="356" customWidth="1"/>
    <col min="296" max="296" width="13.58203125" style="1" customWidth="1"/>
    <col min="297" max="297" width="9" style="1" customWidth="1"/>
    <col min="298" max="298" width="9" style="1" hidden="1" customWidth="1" outlineLevel="1"/>
    <col min="299" max="299" width="9" style="1" customWidth="1" collapsed="1"/>
    <col min="300" max="300" width="2.58203125" style="1" customWidth="1"/>
    <col min="301" max="302" width="9" style="1" customWidth="1"/>
    <col min="303" max="303" width="9" style="356" customWidth="1"/>
    <col min="304" max="304" width="9" style="1" customWidth="1"/>
    <col min="305" max="305" width="9" style="356" customWidth="1"/>
    <col min="306" max="308" width="9" style="1" customWidth="1"/>
    <col min="309" max="309" width="9" style="356" customWidth="1"/>
    <col min="310" max="311" width="11.25" style="1" customWidth="1"/>
    <col min="312" max="312" width="11.25" style="356" customWidth="1"/>
    <col min="313" max="314" width="11.25" style="1" customWidth="1"/>
    <col min="315" max="315" width="11.25" style="356" customWidth="1"/>
    <col min="316" max="316" width="11.25" style="356" hidden="1" customWidth="1"/>
    <col min="317" max="318" width="11.25" style="1" hidden="1" customWidth="1"/>
    <col min="319" max="319" width="11.25" style="356" hidden="1" customWidth="1"/>
    <col min="320" max="320" width="9" style="1" customWidth="1"/>
    <col min="321" max="16384" width="9" style="1"/>
  </cols>
  <sheetData>
    <row r="1" spans="1:319">
      <c r="B1" s="100"/>
      <c r="D1" s="382"/>
      <c r="E1" s="1"/>
      <c r="F1" s="1"/>
      <c r="G1" s="356"/>
      <c r="H1" s="1"/>
      <c r="I1" s="1"/>
      <c r="J1" s="356"/>
      <c r="S1" s="382"/>
      <c r="AB1" s="382"/>
      <c r="AK1" s="382"/>
      <c r="AT1" s="382"/>
      <c r="AX1" s="1" t="s">
        <v>687</v>
      </c>
      <c r="AZ1" s="1" t="s">
        <v>687</v>
      </c>
      <c r="BB1" s="31"/>
      <c r="BC1" s="31"/>
      <c r="BD1" s="1" t="s">
        <v>687</v>
      </c>
      <c r="BF1" s="382"/>
      <c r="BJ1" s="382"/>
      <c r="BO1" s="383" t="s">
        <v>991</v>
      </c>
      <c r="BP1" s="383" t="s">
        <v>694</v>
      </c>
      <c r="BQ1" s="384" t="s">
        <v>687</v>
      </c>
      <c r="BR1" s="383" t="s">
        <v>694</v>
      </c>
      <c r="BS1" s="384" t="s">
        <v>687</v>
      </c>
      <c r="BT1" s="383" t="s">
        <v>694</v>
      </c>
      <c r="BU1" s="1" t="s">
        <v>687</v>
      </c>
      <c r="BV1" s="383" t="s">
        <v>694</v>
      </c>
      <c r="BW1" s="384" t="s">
        <v>687</v>
      </c>
      <c r="BX1" s="383" t="s">
        <v>694</v>
      </c>
      <c r="BY1" s="383" t="s">
        <v>694</v>
      </c>
      <c r="BZ1" s="384" t="s">
        <v>1410</v>
      </c>
      <c r="CA1" s="384" t="s">
        <v>687</v>
      </c>
      <c r="CB1" s="1" t="s">
        <v>687</v>
      </c>
      <c r="CC1" s="383" t="s">
        <v>694</v>
      </c>
      <c r="CD1" s="1" t="s">
        <v>687</v>
      </c>
      <c r="CE1" s="383" t="s">
        <v>694</v>
      </c>
      <c r="CF1" s="382"/>
      <c r="CG1" s="385" t="s">
        <v>1106</v>
      </c>
      <c r="CH1" s="386" t="s">
        <v>687</v>
      </c>
      <c r="CI1" s="386" t="s">
        <v>1094</v>
      </c>
      <c r="CJ1" s="387" t="s">
        <v>1106</v>
      </c>
      <c r="CK1" s="386" t="s">
        <v>687</v>
      </c>
      <c r="CL1" s="387" t="s">
        <v>1106</v>
      </c>
      <c r="CM1" s="386" t="s">
        <v>687</v>
      </c>
      <c r="CN1" s="386" t="s">
        <v>687</v>
      </c>
      <c r="CO1" s="387" t="s">
        <v>1106</v>
      </c>
      <c r="CP1" s="387" t="s">
        <v>1106</v>
      </c>
      <c r="CQ1" s="386" t="s">
        <v>687</v>
      </c>
      <c r="CR1" s="387" t="s">
        <v>1106</v>
      </c>
      <c r="CS1" s="386" t="s">
        <v>687</v>
      </c>
      <c r="CT1" s="386" t="s">
        <v>687</v>
      </c>
      <c r="CU1" s="387" t="s">
        <v>1106</v>
      </c>
      <c r="CV1" s="386" t="s">
        <v>687</v>
      </c>
      <c r="CW1" s="388" t="s">
        <v>1106</v>
      </c>
      <c r="CX1" s="386"/>
      <c r="CY1" s="387" t="s">
        <v>1106</v>
      </c>
      <c r="CZ1" s="387" t="s">
        <v>694</v>
      </c>
      <c r="DA1" s="389">
        <v>42272</v>
      </c>
      <c r="DB1" s="387" t="s">
        <v>694</v>
      </c>
      <c r="DC1" s="387" t="s">
        <v>694</v>
      </c>
      <c r="DD1" s="386" t="s">
        <v>687</v>
      </c>
      <c r="DE1" s="387" t="s">
        <v>694</v>
      </c>
      <c r="DF1" s="386" t="s">
        <v>687</v>
      </c>
      <c r="DG1" s="387" t="s">
        <v>694</v>
      </c>
      <c r="DH1" s="386" t="s">
        <v>687</v>
      </c>
      <c r="DI1" s="387" t="s">
        <v>694</v>
      </c>
      <c r="DJ1" s="386" t="s">
        <v>687</v>
      </c>
      <c r="DK1" s="387" t="s">
        <v>694</v>
      </c>
      <c r="DL1" s="386" t="s">
        <v>687</v>
      </c>
      <c r="DM1" s="390"/>
      <c r="DN1" s="391"/>
      <c r="DO1" s="391"/>
      <c r="DP1" s="391"/>
      <c r="DQ1" s="391"/>
      <c r="DR1" s="2376">
        <v>42307</v>
      </c>
      <c r="DS1" s="2377"/>
      <c r="DT1" s="390"/>
      <c r="DU1" s="391"/>
      <c r="DV1" s="391"/>
      <c r="DW1" s="1"/>
      <c r="EA1" s="392" t="s">
        <v>1105</v>
      </c>
      <c r="EB1" s="1"/>
      <c r="ED1" s="390" t="s">
        <v>1107</v>
      </c>
      <c r="EE1" s="382"/>
      <c r="EG1" s="385" t="s">
        <v>694</v>
      </c>
      <c r="EH1" s="386" t="s">
        <v>687</v>
      </c>
      <c r="EI1" s="387" t="s">
        <v>694</v>
      </c>
      <c r="EJ1" s="386" t="s">
        <v>687</v>
      </c>
      <c r="EK1" s="387" t="s">
        <v>694</v>
      </c>
      <c r="EL1" s="386" t="s">
        <v>687</v>
      </c>
      <c r="EM1" s="387" t="s">
        <v>694</v>
      </c>
      <c r="EN1" s="386" t="s">
        <v>687</v>
      </c>
      <c r="EO1" s="387" t="s">
        <v>694</v>
      </c>
      <c r="EP1" s="386" t="s">
        <v>687</v>
      </c>
      <c r="EQ1" s="387" t="s">
        <v>694</v>
      </c>
      <c r="ER1" s="386" t="s">
        <v>687</v>
      </c>
      <c r="ES1" s="387" t="s">
        <v>694</v>
      </c>
      <c r="ET1" s="386" t="s">
        <v>687</v>
      </c>
      <c r="EU1" s="388" t="s">
        <v>694</v>
      </c>
      <c r="EW1" s="386" t="s">
        <v>687</v>
      </c>
      <c r="EX1" s="387" t="s">
        <v>694</v>
      </c>
      <c r="EY1" s="386" t="s">
        <v>687</v>
      </c>
      <c r="EZ1" s="387" t="s">
        <v>694</v>
      </c>
      <c r="FA1" s="386" t="s">
        <v>687</v>
      </c>
      <c r="FB1" s="387" t="s">
        <v>694</v>
      </c>
      <c r="FC1" s="387" t="s">
        <v>694</v>
      </c>
      <c r="FD1" s="386" t="s">
        <v>687</v>
      </c>
      <c r="FE1" s="387" t="s">
        <v>694</v>
      </c>
      <c r="FF1" s="386" t="s">
        <v>687</v>
      </c>
      <c r="FG1" s="387" t="s">
        <v>694</v>
      </c>
      <c r="FH1" s="386" t="s">
        <v>687</v>
      </c>
      <c r="FI1" s="387" t="s">
        <v>694</v>
      </c>
      <c r="FJ1" s="386" t="s">
        <v>687</v>
      </c>
      <c r="FK1" s="388" t="s">
        <v>694</v>
      </c>
      <c r="FL1" s="386" t="s">
        <v>687</v>
      </c>
      <c r="FM1" s="386"/>
      <c r="FN1" s="393"/>
      <c r="FO1" s="393"/>
      <c r="FP1" s="393"/>
      <c r="FQ1" s="356"/>
      <c r="FR1" s="394"/>
      <c r="FS1" s="387" t="s">
        <v>694</v>
      </c>
      <c r="FT1" s="386"/>
      <c r="FU1" s="386"/>
      <c r="FV1" s="387" t="s">
        <v>694</v>
      </c>
      <c r="FW1" s="386"/>
      <c r="FX1" s="386"/>
      <c r="FY1" s="387" t="s">
        <v>694</v>
      </c>
      <c r="FZ1" s="387" t="s">
        <v>694</v>
      </c>
      <c r="GA1" s="387" t="s">
        <v>694</v>
      </c>
      <c r="GB1" s="387" t="s">
        <v>694</v>
      </c>
      <c r="GC1" s="387" t="s">
        <v>694</v>
      </c>
      <c r="GD1" s="388" t="s">
        <v>694</v>
      </c>
      <c r="GE1" s="387"/>
      <c r="GF1" s="386"/>
      <c r="GG1" s="386"/>
      <c r="GH1" s="386"/>
      <c r="GI1" s="386"/>
      <c r="GJ1" s="395"/>
      <c r="GK1" s="386"/>
      <c r="GL1" s="387" t="s">
        <v>694</v>
      </c>
      <c r="GM1" s="386"/>
      <c r="GN1" s="386"/>
      <c r="GO1" s="387" t="s">
        <v>694</v>
      </c>
      <c r="GP1" s="387" t="s">
        <v>694</v>
      </c>
      <c r="GQ1" s="386"/>
      <c r="GR1" s="387" t="s">
        <v>694</v>
      </c>
      <c r="GS1" s="387" t="s">
        <v>694</v>
      </c>
      <c r="GT1" s="387" t="s">
        <v>694</v>
      </c>
      <c r="GU1" s="387" t="s">
        <v>694</v>
      </c>
      <c r="GV1" s="388" t="s">
        <v>694</v>
      </c>
      <c r="GW1" s="386"/>
      <c r="GX1" s="386"/>
      <c r="GY1" s="386"/>
      <c r="GZ1" s="386"/>
      <c r="HA1" s="395"/>
      <c r="HB1" s="386"/>
      <c r="HC1" s="386"/>
      <c r="HD1" s="387" t="s">
        <v>694</v>
      </c>
      <c r="HE1" s="396" t="s">
        <v>1356</v>
      </c>
      <c r="HF1" s="387" t="s">
        <v>694</v>
      </c>
      <c r="HG1" s="386" t="s">
        <v>1356</v>
      </c>
      <c r="HH1" s="396" t="s">
        <v>1356</v>
      </c>
      <c r="HI1" s="387" t="s">
        <v>694</v>
      </c>
      <c r="HJ1" s="386"/>
      <c r="HK1" s="386"/>
      <c r="HL1" s="386" t="s">
        <v>1356</v>
      </c>
      <c r="HM1" s="396" t="s">
        <v>1356</v>
      </c>
      <c r="HN1" s="387" t="s">
        <v>694</v>
      </c>
      <c r="HO1" s="396" t="s">
        <v>1356</v>
      </c>
      <c r="HP1" s="387" t="s">
        <v>694</v>
      </c>
      <c r="HQ1" s="396" t="s">
        <v>1356</v>
      </c>
      <c r="HR1" s="387" t="s">
        <v>694</v>
      </c>
      <c r="HS1" s="396" t="s">
        <v>1356</v>
      </c>
      <c r="HT1" s="387" t="s">
        <v>694</v>
      </c>
      <c r="HU1" s="396" t="s">
        <v>1356</v>
      </c>
      <c r="HV1" s="387" t="s">
        <v>694</v>
      </c>
      <c r="HW1" s="386"/>
      <c r="HX1" s="386"/>
      <c r="HY1" s="386"/>
      <c r="HZ1" s="396" t="s">
        <v>1356</v>
      </c>
      <c r="IA1" s="386"/>
      <c r="IB1" s="386"/>
      <c r="IC1" s="397"/>
      <c r="ID1" s="386"/>
      <c r="IE1" s="385" t="s">
        <v>694</v>
      </c>
      <c r="IF1" s="387" t="s">
        <v>694</v>
      </c>
      <c r="IG1" s="387" t="s">
        <v>694</v>
      </c>
      <c r="IH1" s="387" t="s">
        <v>694</v>
      </c>
      <c r="II1" s="386" t="s">
        <v>687</v>
      </c>
      <c r="IJ1" s="387" t="s">
        <v>694</v>
      </c>
      <c r="IK1" s="386" t="s">
        <v>687</v>
      </c>
      <c r="IL1" s="386" t="s">
        <v>687</v>
      </c>
      <c r="IM1" s="387" t="s">
        <v>694</v>
      </c>
      <c r="IN1" s="386" t="s">
        <v>687</v>
      </c>
      <c r="IO1" s="387" t="s">
        <v>694</v>
      </c>
      <c r="IP1" s="394" t="s">
        <v>687</v>
      </c>
      <c r="IQ1" s="386" t="s">
        <v>687</v>
      </c>
      <c r="IR1" s="387" t="s">
        <v>694</v>
      </c>
      <c r="IS1" s="1280"/>
      <c r="IT1" s="386" t="s">
        <v>687</v>
      </c>
      <c r="IU1" s="1299" t="s">
        <v>694</v>
      </c>
      <c r="IV1" s="1299" t="s">
        <v>694</v>
      </c>
      <c r="IW1" s="386" t="s">
        <v>687</v>
      </c>
      <c r="IX1" s="1299" t="s">
        <v>694</v>
      </c>
      <c r="IY1" s="386" t="s">
        <v>687</v>
      </c>
      <c r="IZ1" s="1299" t="s">
        <v>694</v>
      </c>
      <c r="JA1" s="1299" t="s">
        <v>694</v>
      </c>
      <c r="JB1" s="1299" t="s">
        <v>694</v>
      </c>
      <c r="JC1" s="1299" t="s">
        <v>694</v>
      </c>
      <c r="JD1" s="1299" t="s">
        <v>694</v>
      </c>
      <c r="JE1" s="1297" t="s">
        <v>687</v>
      </c>
      <c r="JF1" s="1297" t="s">
        <v>687</v>
      </c>
      <c r="JG1" s="1297" t="s">
        <v>687</v>
      </c>
      <c r="JH1" s="1298" t="s">
        <v>687</v>
      </c>
      <c r="JI1" s="1280"/>
      <c r="JJ1" s="1301" t="s">
        <v>687</v>
      </c>
      <c r="JK1" s="1297" t="s">
        <v>687</v>
      </c>
      <c r="JL1" s="1299" t="s">
        <v>694</v>
      </c>
      <c r="JM1" s="1299" t="s">
        <v>694</v>
      </c>
      <c r="JN1" s="1299" t="s">
        <v>694</v>
      </c>
      <c r="JO1" s="1299" t="s">
        <v>694</v>
      </c>
      <c r="JP1" s="1299" t="s">
        <v>694</v>
      </c>
      <c r="JQ1" s="1299" t="s">
        <v>694</v>
      </c>
      <c r="JR1" s="1299" t="s">
        <v>694</v>
      </c>
      <c r="JS1" s="1299" t="s">
        <v>694</v>
      </c>
      <c r="JT1" s="1297" t="s">
        <v>687</v>
      </c>
      <c r="JU1" s="1297" t="s">
        <v>687</v>
      </c>
      <c r="JV1" s="1297" t="s">
        <v>687</v>
      </c>
      <c r="JW1" s="1297" t="s">
        <v>687</v>
      </c>
      <c r="JX1" s="1297" t="s">
        <v>687</v>
      </c>
      <c r="JY1" s="1297" t="s">
        <v>687</v>
      </c>
      <c r="JZ1" s="1643"/>
      <c r="KA1" s="1269"/>
      <c r="KB1" s="1300" t="s">
        <v>1434</v>
      </c>
      <c r="KC1" s="1300" t="s">
        <v>1434</v>
      </c>
      <c r="KD1" s="1300" t="s">
        <v>1434</v>
      </c>
      <c r="KE1" s="1300" t="s">
        <v>1552</v>
      </c>
      <c r="KF1" s="1300"/>
      <c r="KG1" s="1300" t="s">
        <v>1552</v>
      </c>
      <c r="KH1" s="1300" t="s">
        <v>1434</v>
      </c>
      <c r="KI1" s="1269"/>
      <c r="KJ1" s="1643"/>
      <c r="KK1" s="386"/>
      <c r="KL1" s="2364" t="s">
        <v>1406</v>
      </c>
      <c r="KM1" s="2365"/>
      <c r="KN1" s="1643"/>
      <c r="KO1" s="2363" t="s">
        <v>1404</v>
      </c>
      <c r="KP1" s="2364"/>
      <c r="KQ1" s="2365"/>
      <c r="KR1" s="393"/>
      <c r="KS1" s="398"/>
      <c r="KT1" s="393"/>
      <c r="KU1" s="393"/>
      <c r="KV1" s="393"/>
      <c r="KX1" s="393"/>
      <c r="KY1" s="393"/>
      <c r="LA1" s="393"/>
      <c r="LB1" s="393"/>
      <c r="LD1" s="356" t="s">
        <v>1321</v>
      </c>
      <c r="LE1" s="393" t="s">
        <v>1283</v>
      </c>
      <c r="LF1" s="393" t="s">
        <v>1283</v>
      </c>
      <c r="LG1" s="356" t="s">
        <v>1283</v>
      </c>
    </row>
    <row r="2" spans="1:319" s="377" customFormat="1">
      <c r="B2" s="399" t="s">
        <v>9</v>
      </c>
      <c r="C2" s="400" t="s">
        <v>8</v>
      </c>
      <c r="D2" s="401"/>
      <c r="E2" s="2366" t="s">
        <v>1115</v>
      </c>
      <c r="F2" s="2367"/>
      <c r="G2" s="2368"/>
      <c r="H2" s="2367" t="s">
        <v>1114</v>
      </c>
      <c r="I2" s="2367"/>
      <c r="J2" s="2367"/>
      <c r="K2" s="2372">
        <f>+'Raw Data'!Q6</f>
        <v>39903</v>
      </c>
      <c r="L2" s="2372"/>
      <c r="M2" s="2372"/>
      <c r="N2" s="2372"/>
      <c r="O2" s="2372"/>
      <c r="P2" s="2372"/>
      <c r="Q2" s="2372"/>
      <c r="R2" s="2372"/>
      <c r="S2" s="401"/>
      <c r="T2" s="2372">
        <f>+'Raw Data'!R6</f>
        <v>40268</v>
      </c>
      <c r="U2" s="2372"/>
      <c r="V2" s="2372"/>
      <c r="W2" s="2372"/>
      <c r="X2" s="2372"/>
      <c r="Y2" s="2372"/>
      <c r="Z2" s="2372"/>
      <c r="AA2" s="2372"/>
      <c r="AB2" s="401"/>
      <c r="AC2" s="2372">
        <f>+'Raw Data'!S6</f>
        <v>40633</v>
      </c>
      <c r="AD2" s="2372"/>
      <c r="AE2" s="2372"/>
      <c r="AF2" s="2372"/>
      <c r="AG2" s="2372"/>
      <c r="AH2" s="2372"/>
      <c r="AI2" s="2372"/>
      <c r="AJ2" s="2372"/>
      <c r="AK2" s="401"/>
      <c r="AL2" s="2372">
        <f>+'Raw Data'!T6</f>
        <v>40999</v>
      </c>
      <c r="AM2" s="2372"/>
      <c r="AN2" s="2372"/>
      <c r="AO2" s="2372"/>
      <c r="AP2" s="2372"/>
      <c r="AQ2" s="2372"/>
      <c r="AR2" s="2372"/>
      <c r="AS2" s="2372"/>
      <c r="AT2" s="401"/>
      <c r="AU2" s="2371">
        <v>41364</v>
      </c>
      <c r="AV2" s="2372"/>
      <c r="AW2" s="2372"/>
      <c r="AX2" s="2372"/>
      <c r="AY2" s="2372"/>
      <c r="AZ2" s="2372"/>
      <c r="BA2" s="2372"/>
      <c r="BB2" s="2372"/>
      <c r="BC2" s="2372"/>
      <c r="BD2" s="2372"/>
      <c r="BE2" s="2372"/>
      <c r="BF2" s="401"/>
      <c r="BG2" s="2373" t="s">
        <v>982</v>
      </c>
      <c r="BH2" s="2374"/>
      <c r="BI2" s="2375"/>
      <c r="BJ2" s="401"/>
      <c r="BK2" s="2373" t="s">
        <v>981</v>
      </c>
      <c r="BL2" s="2374"/>
      <c r="BM2" s="2374"/>
      <c r="BO2" s="401"/>
      <c r="BP2" s="2371" t="s">
        <v>293</v>
      </c>
      <c r="BQ2" s="2372"/>
      <c r="BR2" s="2372"/>
      <c r="BS2" s="2372"/>
      <c r="BT2" s="2372"/>
      <c r="BU2" s="2372"/>
      <c r="BV2" s="2372"/>
      <c r="BW2" s="2372"/>
      <c r="BX2" s="2372"/>
      <c r="BY2" s="2372"/>
      <c r="BZ2" s="2372"/>
      <c r="CA2" s="2372"/>
      <c r="CB2" s="2372"/>
      <c r="CC2" s="2372"/>
      <c r="CD2" s="2372"/>
      <c r="CE2" s="2372"/>
      <c r="CF2" s="401"/>
      <c r="CG2" s="2378" t="s">
        <v>1219</v>
      </c>
      <c r="CH2" s="2369"/>
      <c r="CI2" s="2369"/>
      <c r="CJ2" s="2369"/>
      <c r="CK2" s="2369"/>
      <c r="CL2" s="2369"/>
      <c r="CM2" s="2369"/>
      <c r="CN2" s="2369"/>
      <c r="CO2" s="2369"/>
      <c r="CP2" s="2369"/>
      <c r="CQ2" s="2369"/>
      <c r="CR2" s="2369"/>
      <c r="CS2" s="2369"/>
      <c r="CT2" s="2369"/>
      <c r="CU2" s="2369"/>
      <c r="CV2" s="2369"/>
      <c r="CW2" s="2370"/>
      <c r="CX2" s="109"/>
      <c r="CY2" s="2369" t="s">
        <v>292</v>
      </c>
      <c r="CZ2" s="2369"/>
      <c r="DA2" s="2369"/>
      <c r="DB2" s="2369"/>
      <c r="DC2" s="2369"/>
      <c r="DD2" s="2369"/>
      <c r="DE2" s="2369"/>
      <c r="DF2" s="2369"/>
      <c r="DG2" s="2369"/>
      <c r="DH2" s="2369"/>
      <c r="DI2" s="2369"/>
      <c r="DJ2" s="2369"/>
      <c r="DK2" s="2369"/>
      <c r="DL2" s="2370"/>
      <c r="DM2" s="402"/>
      <c r="DN2" s="403" t="s">
        <v>1117</v>
      </c>
      <c r="DO2" s="399"/>
      <c r="DP2" s="399"/>
      <c r="DQ2" s="399"/>
      <c r="DR2" s="399"/>
      <c r="DS2" s="400"/>
      <c r="DT2" s="399"/>
      <c r="DU2" s="2378" t="s">
        <v>1209</v>
      </c>
      <c r="DV2" s="2369"/>
      <c r="DW2" s="2369"/>
      <c r="DX2" s="2369"/>
      <c r="DY2" s="2370"/>
      <c r="DZ2" s="404"/>
      <c r="EA2" s="2373" t="s">
        <v>1208</v>
      </c>
      <c r="EB2" s="2374"/>
      <c r="EC2" s="2374"/>
      <c r="ED2" s="2375"/>
      <c r="EE2" s="401"/>
      <c r="EG2" s="2381" t="s">
        <v>1220</v>
      </c>
      <c r="EH2" s="2381"/>
      <c r="EI2" s="2381"/>
      <c r="EJ2" s="2381"/>
      <c r="EK2" s="2381"/>
      <c r="EL2" s="2381"/>
      <c r="EM2" s="2381"/>
      <c r="EN2" s="2381"/>
      <c r="EO2" s="2381"/>
      <c r="EP2" s="2381"/>
      <c r="EQ2" s="2381"/>
      <c r="ER2" s="2381"/>
      <c r="ES2" s="2381"/>
      <c r="ET2" s="2381"/>
      <c r="EU2" s="2381"/>
      <c r="EV2" s="109"/>
      <c r="EW2" s="2378" t="s">
        <v>1232</v>
      </c>
      <c r="EX2" s="2369"/>
      <c r="EY2" s="2369"/>
      <c r="EZ2" s="2369"/>
      <c r="FA2" s="2369"/>
      <c r="FB2" s="2369"/>
      <c r="FC2" s="2369"/>
      <c r="FD2" s="2369"/>
      <c r="FE2" s="2369"/>
      <c r="FF2" s="2369"/>
      <c r="FG2" s="2369"/>
      <c r="FH2" s="2369"/>
      <c r="FI2" s="2369"/>
      <c r="FJ2" s="2369"/>
      <c r="FK2" s="2369"/>
      <c r="FL2" s="2370"/>
      <c r="FM2" s="405"/>
      <c r="FN2" s="2369" t="s">
        <v>1247</v>
      </c>
      <c r="FO2" s="2369"/>
      <c r="FP2" s="2369"/>
      <c r="FQ2" s="2370"/>
      <c r="FR2" s="400"/>
      <c r="FS2" s="2378" t="s">
        <v>1205</v>
      </c>
      <c r="FT2" s="2369"/>
      <c r="FU2" s="2369"/>
      <c r="FV2" s="2369"/>
      <c r="FW2" s="2369"/>
      <c r="FX2" s="2369"/>
      <c r="FY2" s="2369"/>
      <c r="FZ2" s="2369"/>
      <c r="GA2" s="2369"/>
      <c r="GB2" s="2369"/>
      <c r="GC2" s="2369"/>
      <c r="GD2" s="2369"/>
      <c r="GE2" s="2369"/>
      <c r="GF2" s="2369"/>
      <c r="GG2" s="2369"/>
      <c r="GH2" s="2369"/>
      <c r="GI2" s="2370"/>
      <c r="GJ2" s="406"/>
      <c r="GK2" s="407"/>
      <c r="GL2" s="2369" t="s">
        <v>1289</v>
      </c>
      <c r="GM2" s="2369"/>
      <c r="GN2" s="2369"/>
      <c r="GO2" s="2369"/>
      <c r="GP2" s="2369"/>
      <c r="GQ2" s="2369"/>
      <c r="GR2" s="2369"/>
      <c r="GS2" s="2369"/>
      <c r="GT2" s="2369"/>
      <c r="GU2" s="2369"/>
      <c r="GV2" s="2369"/>
      <c r="GW2" s="2369"/>
      <c r="GX2" s="399"/>
      <c r="GY2" s="399"/>
      <c r="GZ2" s="400"/>
      <c r="HA2" s="408"/>
      <c r="HB2" s="407"/>
      <c r="HC2" s="407"/>
      <c r="HD2" s="399"/>
      <c r="HE2" s="399"/>
      <c r="HF2" s="399"/>
      <c r="HG2" s="399"/>
      <c r="HH2" s="399"/>
      <c r="HI2" s="399"/>
      <c r="HJ2" s="399"/>
      <c r="HK2" s="399"/>
      <c r="HL2" s="399"/>
      <c r="HM2" s="399"/>
      <c r="HN2" s="399"/>
      <c r="HO2" s="399"/>
      <c r="HP2" s="399" t="s">
        <v>1323</v>
      </c>
      <c r="HQ2" s="399"/>
      <c r="HR2" s="399"/>
      <c r="HS2" s="399"/>
      <c r="HT2" s="399"/>
      <c r="HU2" s="399"/>
      <c r="HV2" s="399"/>
      <c r="HW2" s="399"/>
      <c r="HX2" s="399"/>
      <c r="HY2" s="399"/>
      <c r="HZ2" s="399"/>
      <c r="IA2" s="399"/>
      <c r="IB2" s="399"/>
      <c r="IC2" s="408"/>
      <c r="ID2" s="407"/>
      <c r="IE2" s="409" t="s">
        <v>1233</v>
      </c>
      <c r="IF2" s="410"/>
      <c r="IG2" s="410"/>
      <c r="IH2" s="410"/>
      <c r="II2" s="410"/>
      <c r="IJ2" s="410"/>
      <c r="IK2" s="410"/>
      <c r="IL2" s="410"/>
      <c r="IM2" s="410"/>
      <c r="IN2" s="410"/>
      <c r="IO2" s="410"/>
      <c r="IP2" s="411"/>
      <c r="IQ2" s="410"/>
      <c r="IR2" s="411"/>
      <c r="IS2" s="1281"/>
      <c r="IT2" s="409"/>
      <c r="IU2" s="410"/>
      <c r="IV2" s="410" t="s">
        <v>1337</v>
      </c>
      <c r="IW2" s="410"/>
      <c r="IX2" s="410"/>
      <c r="IY2" s="410"/>
      <c r="IZ2" s="410"/>
      <c r="JA2" s="410"/>
      <c r="JB2" s="410"/>
      <c r="JC2" s="410"/>
      <c r="JD2" s="410"/>
      <c r="JE2" s="410"/>
      <c r="JF2" s="410"/>
      <c r="JG2" s="410"/>
      <c r="JH2" s="411"/>
      <c r="JI2" s="1281"/>
      <c r="JJ2" s="409"/>
      <c r="JK2" s="410"/>
      <c r="JL2" s="1650" t="s">
        <v>1507</v>
      </c>
      <c r="JM2" s="410"/>
      <c r="JN2" s="410"/>
      <c r="JO2" s="410"/>
      <c r="JP2" s="410"/>
      <c r="JQ2" s="410"/>
      <c r="JR2" s="410"/>
      <c r="JS2" s="410"/>
      <c r="JT2" s="410"/>
      <c r="JU2" s="410"/>
      <c r="JV2" s="410"/>
      <c r="JW2" s="410"/>
      <c r="JX2" s="410"/>
      <c r="JY2" s="410"/>
      <c r="JZ2" s="1644"/>
      <c r="KA2" s="1270"/>
      <c r="KB2" s="1650"/>
      <c r="KC2" s="410" t="s">
        <v>1433</v>
      </c>
      <c r="KD2" s="410"/>
      <c r="KE2" s="410"/>
      <c r="KF2" s="410"/>
      <c r="KG2" s="410"/>
      <c r="KH2" s="410"/>
      <c r="KI2" s="1270"/>
      <c r="KJ2" s="1644"/>
      <c r="KK2" s="410"/>
      <c r="KL2" s="410" t="s">
        <v>1385</v>
      </c>
      <c r="KM2" s="410"/>
      <c r="KN2" s="1644"/>
      <c r="KO2" s="410" t="s">
        <v>1385</v>
      </c>
      <c r="KP2" s="410"/>
      <c r="KQ2" s="411"/>
      <c r="KR2" s="410" t="s">
        <v>1322</v>
      </c>
      <c r="KS2" s="411"/>
      <c r="KT2" s="399"/>
      <c r="KU2" s="2369" t="s">
        <v>1322</v>
      </c>
      <c r="KV2" s="2369"/>
      <c r="KW2" s="2369"/>
      <c r="KX2" s="2369" t="s">
        <v>1320</v>
      </c>
      <c r="KY2" s="2369"/>
      <c r="KZ2" s="2369"/>
      <c r="LA2" s="2369" t="s">
        <v>1320</v>
      </c>
      <c r="LB2" s="2369"/>
      <c r="LC2" s="2369"/>
      <c r="LD2" s="407" t="s">
        <v>1322</v>
      </c>
      <c r="LE2" s="399"/>
      <c r="LF2" s="2379" t="s">
        <v>1287</v>
      </c>
      <c r="LG2" s="2380"/>
    </row>
    <row r="3" spans="1:319" s="377" customFormat="1">
      <c r="B3" s="399" t="s">
        <v>7</v>
      </c>
      <c r="C3" s="400" t="s">
        <v>6</v>
      </c>
      <c r="D3" s="401"/>
      <c r="E3" s="412" t="s">
        <v>1116</v>
      </c>
      <c r="F3" s="412" t="s">
        <v>1112</v>
      </c>
      <c r="G3" s="413" t="s">
        <v>1113</v>
      </c>
      <c r="H3" s="412" t="s">
        <v>1116</v>
      </c>
      <c r="I3" s="412" t="s">
        <v>1112</v>
      </c>
      <c r="J3" s="413" t="s">
        <v>1113</v>
      </c>
      <c r="K3" s="414" t="s">
        <v>980</v>
      </c>
      <c r="L3" s="414" t="s">
        <v>979</v>
      </c>
      <c r="M3" s="414" t="s">
        <v>978</v>
      </c>
      <c r="N3" s="414" t="s">
        <v>977</v>
      </c>
      <c r="O3" s="414" t="s">
        <v>976</v>
      </c>
      <c r="P3" s="414" t="s">
        <v>975</v>
      </c>
      <c r="Q3" s="414" t="s">
        <v>974</v>
      </c>
      <c r="R3" s="414" t="s">
        <v>973</v>
      </c>
      <c r="S3" s="401"/>
      <c r="T3" s="414" t="s">
        <v>980</v>
      </c>
      <c r="U3" s="414" t="s">
        <v>979</v>
      </c>
      <c r="V3" s="414" t="s">
        <v>978</v>
      </c>
      <c r="W3" s="414" t="s">
        <v>977</v>
      </c>
      <c r="X3" s="414" t="s">
        <v>976</v>
      </c>
      <c r="Y3" s="414" t="s">
        <v>975</v>
      </c>
      <c r="Z3" s="414" t="s">
        <v>974</v>
      </c>
      <c r="AA3" s="414" t="s">
        <v>973</v>
      </c>
      <c r="AB3" s="401"/>
      <c r="AC3" s="414" t="s">
        <v>980</v>
      </c>
      <c r="AD3" s="414" t="s">
        <v>979</v>
      </c>
      <c r="AE3" s="414" t="s">
        <v>978</v>
      </c>
      <c r="AF3" s="414" t="s">
        <v>977</v>
      </c>
      <c r="AG3" s="414" t="s">
        <v>976</v>
      </c>
      <c r="AH3" s="414" t="s">
        <v>975</v>
      </c>
      <c r="AI3" s="414" t="s">
        <v>974</v>
      </c>
      <c r="AJ3" s="414" t="s">
        <v>973</v>
      </c>
      <c r="AK3" s="401"/>
      <c r="AL3" s="414" t="s">
        <v>980</v>
      </c>
      <c r="AM3" s="414" t="s">
        <v>979</v>
      </c>
      <c r="AN3" s="414" t="s">
        <v>978</v>
      </c>
      <c r="AO3" s="414" t="s">
        <v>977</v>
      </c>
      <c r="AP3" s="414" t="s">
        <v>976</v>
      </c>
      <c r="AQ3" s="414" t="s">
        <v>975</v>
      </c>
      <c r="AR3" s="414" t="s">
        <v>974</v>
      </c>
      <c r="AS3" s="414" t="s">
        <v>973</v>
      </c>
      <c r="AT3" s="401"/>
      <c r="AU3" s="414" t="s">
        <v>980</v>
      </c>
      <c r="AV3" s="414" t="s">
        <v>979</v>
      </c>
      <c r="AW3" s="414" t="s">
        <v>978</v>
      </c>
      <c r="AX3" s="414" t="s">
        <v>978</v>
      </c>
      <c r="AY3" s="414" t="s">
        <v>977</v>
      </c>
      <c r="AZ3" s="414" t="s">
        <v>976</v>
      </c>
      <c r="BA3" s="414" t="s">
        <v>976</v>
      </c>
      <c r="BB3" s="415" t="s">
        <v>975</v>
      </c>
      <c r="BC3" s="415" t="s">
        <v>974</v>
      </c>
      <c r="BD3" s="416" t="s">
        <v>973</v>
      </c>
      <c r="BE3" s="414" t="s">
        <v>973</v>
      </c>
      <c r="BF3" s="401"/>
      <c r="BG3" s="414" t="s">
        <v>977</v>
      </c>
      <c r="BH3" s="414" t="s">
        <v>974</v>
      </c>
      <c r="BI3" s="414" t="s">
        <v>973</v>
      </c>
      <c r="BJ3" s="401"/>
      <c r="BK3" s="359" t="s">
        <v>975</v>
      </c>
      <c r="BL3" s="359" t="s">
        <v>974</v>
      </c>
      <c r="BM3" s="359" t="s">
        <v>973</v>
      </c>
      <c r="BO3" s="401"/>
      <c r="BP3" s="414" t="s">
        <v>980</v>
      </c>
      <c r="BQ3" s="416" t="s">
        <v>980</v>
      </c>
      <c r="BR3" s="414" t="s">
        <v>979</v>
      </c>
      <c r="BS3" s="416" t="s">
        <v>978</v>
      </c>
      <c r="BT3" s="414" t="s">
        <v>978</v>
      </c>
      <c r="BU3" s="414" t="s">
        <v>977</v>
      </c>
      <c r="BV3" s="414" t="s">
        <v>977</v>
      </c>
      <c r="BW3" s="416" t="s">
        <v>976</v>
      </c>
      <c r="BX3" s="414" t="s">
        <v>976</v>
      </c>
      <c r="BY3" s="414" t="s">
        <v>975</v>
      </c>
      <c r="BZ3" s="416" t="s">
        <v>975</v>
      </c>
      <c r="CA3" s="416" t="s">
        <v>975</v>
      </c>
      <c r="CB3" s="414" t="s">
        <v>974</v>
      </c>
      <c r="CC3" s="414" t="s">
        <v>974</v>
      </c>
      <c r="CD3" s="414" t="s">
        <v>973</v>
      </c>
      <c r="CE3" s="414" t="s">
        <v>973</v>
      </c>
      <c r="CF3" s="401"/>
      <c r="CG3" s="417" t="s">
        <v>1118</v>
      </c>
      <c r="CH3" s="414" t="s">
        <v>980</v>
      </c>
      <c r="CI3" s="414"/>
      <c r="CJ3" s="414" t="s">
        <v>979</v>
      </c>
      <c r="CK3" s="414" t="s">
        <v>979</v>
      </c>
      <c r="CL3" s="414" t="s">
        <v>978</v>
      </c>
      <c r="CM3" s="414" t="s">
        <v>978</v>
      </c>
      <c r="CN3" s="414" t="s">
        <v>977</v>
      </c>
      <c r="CO3" s="414" t="s">
        <v>977</v>
      </c>
      <c r="CP3" s="414" t="s">
        <v>976</v>
      </c>
      <c r="CQ3" s="414" t="s">
        <v>976</v>
      </c>
      <c r="CR3" s="414" t="s">
        <v>975</v>
      </c>
      <c r="CS3" s="414" t="s">
        <v>975</v>
      </c>
      <c r="CT3" s="414" t="s">
        <v>974</v>
      </c>
      <c r="CU3" s="414" t="s">
        <v>974</v>
      </c>
      <c r="CV3" s="414" t="s">
        <v>973</v>
      </c>
      <c r="CW3" s="418" t="s">
        <v>973</v>
      </c>
      <c r="CX3" s="419"/>
      <c r="CY3" s="420" t="s">
        <v>980</v>
      </c>
      <c r="CZ3" s="420" t="s">
        <v>1123</v>
      </c>
      <c r="DA3" s="420" t="s">
        <v>1124</v>
      </c>
      <c r="DB3" s="420" t="s">
        <v>1124</v>
      </c>
      <c r="DC3" s="420" t="s">
        <v>1103</v>
      </c>
      <c r="DD3" s="420" t="s">
        <v>1215</v>
      </c>
      <c r="DE3" s="420" t="s">
        <v>1104</v>
      </c>
      <c r="DF3" s="420" t="s">
        <v>1216</v>
      </c>
      <c r="DG3" s="421" t="s">
        <v>1116</v>
      </c>
      <c r="DH3" s="421" t="s">
        <v>1217</v>
      </c>
      <c r="DI3" s="420" t="s">
        <v>1125</v>
      </c>
      <c r="DJ3" s="420" t="s">
        <v>1125</v>
      </c>
      <c r="DK3" s="418" t="s">
        <v>973</v>
      </c>
      <c r="DL3" s="418" t="s">
        <v>973</v>
      </c>
      <c r="DM3" s="422"/>
      <c r="DN3" s="414" t="s">
        <v>1120</v>
      </c>
      <c r="DO3" s="414" t="s">
        <v>1121</v>
      </c>
      <c r="DP3" s="414" t="s">
        <v>1411</v>
      </c>
      <c r="DQ3" s="414" t="s">
        <v>977</v>
      </c>
      <c r="DR3" s="414" t="s">
        <v>974</v>
      </c>
      <c r="DS3" s="418" t="s">
        <v>973</v>
      </c>
      <c r="DT3" s="422"/>
      <c r="DU3" s="414" t="s">
        <v>1122</v>
      </c>
      <c r="DV3" s="414" t="s">
        <v>1123</v>
      </c>
      <c r="DW3" s="359" t="s">
        <v>975</v>
      </c>
      <c r="DX3" s="414" t="s">
        <v>974</v>
      </c>
      <c r="DY3" s="414" t="s">
        <v>973</v>
      </c>
      <c r="DZ3" s="404"/>
      <c r="EA3" s="359" t="s">
        <v>1103</v>
      </c>
      <c r="EB3" s="359" t="s">
        <v>1104</v>
      </c>
      <c r="EC3" s="414" t="s">
        <v>974</v>
      </c>
      <c r="ED3" s="418" t="s">
        <v>973</v>
      </c>
      <c r="EE3" s="401"/>
      <c r="EG3" s="423" t="s">
        <v>980</v>
      </c>
      <c r="EH3" s="420" t="s">
        <v>980</v>
      </c>
      <c r="EI3" s="420" t="s">
        <v>1121</v>
      </c>
      <c r="EJ3" s="420" t="s">
        <v>1121</v>
      </c>
      <c r="EK3" s="420" t="s">
        <v>1124</v>
      </c>
      <c r="EL3" s="420" t="s">
        <v>1124</v>
      </c>
      <c r="EM3" s="420" t="s">
        <v>1103</v>
      </c>
      <c r="EN3" s="420" t="s">
        <v>1103</v>
      </c>
      <c r="EO3" s="420" t="s">
        <v>1116</v>
      </c>
      <c r="EP3" s="421" t="s">
        <v>1116</v>
      </c>
      <c r="EQ3" s="420" t="s">
        <v>1104</v>
      </c>
      <c r="ER3" s="420" t="s">
        <v>1104</v>
      </c>
      <c r="ES3" s="420" t="s">
        <v>1125</v>
      </c>
      <c r="ET3" s="420" t="s">
        <v>1125</v>
      </c>
      <c r="EU3" s="418" t="s">
        <v>973</v>
      </c>
      <c r="EV3" s="422"/>
      <c r="EW3" s="420" t="s">
        <v>980</v>
      </c>
      <c r="EX3" s="420" t="s">
        <v>980</v>
      </c>
      <c r="EY3" s="420" t="s">
        <v>979</v>
      </c>
      <c r="EZ3" s="420" t="s">
        <v>979</v>
      </c>
      <c r="FA3" s="420" t="s">
        <v>975</v>
      </c>
      <c r="FB3" s="420" t="s">
        <v>975</v>
      </c>
      <c r="FC3" s="420" t="s">
        <v>978</v>
      </c>
      <c r="FD3" s="420" t="s">
        <v>978</v>
      </c>
      <c r="FE3" s="420" t="s">
        <v>976</v>
      </c>
      <c r="FF3" s="420" t="s">
        <v>976</v>
      </c>
      <c r="FG3" s="420" t="s">
        <v>977</v>
      </c>
      <c r="FH3" s="420" t="s">
        <v>977</v>
      </c>
      <c r="FI3" s="420" t="s">
        <v>974</v>
      </c>
      <c r="FJ3" s="420" t="s">
        <v>974</v>
      </c>
      <c r="FK3" s="418" t="s">
        <v>973</v>
      </c>
      <c r="FL3" s="418" t="s">
        <v>973</v>
      </c>
      <c r="FM3" s="414" t="s">
        <v>979</v>
      </c>
      <c r="FN3" s="414" t="s">
        <v>975</v>
      </c>
      <c r="FO3" s="414" t="s">
        <v>977</v>
      </c>
      <c r="FP3" s="414" t="s">
        <v>974</v>
      </c>
      <c r="FQ3" s="418" t="s">
        <v>973</v>
      </c>
      <c r="FR3" s="418"/>
      <c r="FS3" s="414" t="s">
        <v>1120</v>
      </c>
      <c r="FT3" s="414" t="s">
        <v>1265</v>
      </c>
      <c r="FU3" s="414" t="s">
        <v>1266</v>
      </c>
      <c r="FV3" s="420" t="s">
        <v>979</v>
      </c>
      <c r="FW3" s="414" t="s">
        <v>975</v>
      </c>
      <c r="FX3" s="414" t="s">
        <v>976</v>
      </c>
      <c r="FY3" s="420" t="s">
        <v>975</v>
      </c>
      <c r="FZ3" s="420" t="s">
        <v>978</v>
      </c>
      <c r="GA3" s="420" t="s">
        <v>976</v>
      </c>
      <c r="GB3" s="420" t="s">
        <v>977</v>
      </c>
      <c r="GC3" s="420" t="s">
        <v>974</v>
      </c>
      <c r="GD3" s="424" t="s">
        <v>973</v>
      </c>
      <c r="GE3" s="420" t="s">
        <v>973</v>
      </c>
      <c r="GF3" s="420" t="s">
        <v>1284</v>
      </c>
      <c r="GG3" s="420" t="s">
        <v>1285</v>
      </c>
      <c r="GH3" s="414" t="s">
        <v>974</v>
      </c>
      <c r="GI3" s="414" t="s">
        <v>1113</v>
      </c>
      <c r="GJ3" s="425"/>
      <c r="GK3" s="414" t="s">
        <v>1265</v>
      </c>
      <c r="GL3" s="414" t="s">
        <v>1120</v>
      </c>
      <c r="GM3" s="414" t="s">
        <v>1266</v>
      </c>
      <c r="GN3" s="414" t="s">
        <v>975</v>
      </c>
      <c r="GO3" s="414" t="s">
        <v>979</v>
      </c>
      <c r="GP3" s="414" t="s">
        <v>975</v>
      </c>
      <c r="GQ3" s="414" t="s">
        <v>978</v>
      </c>
      <c r="GR3" s="420" t="s">
        <v>978</v>
      </c>
      <c r="GS3" s="420" t="s">
        <v>976</v>
      </c>
      <c r="GT3" s="420" t="s">
        <v>977</v>
      </c>
      <c r="GU3" s="420" t="s">
        <v>974</v>
      </c>
      <c r="GV3" s="424" t="s">
        <v>973</v>
      </c>
      <c r="GW3" s="420" t="s">
        <v>973</v>
      </c>
      <c r="GX3" s="414" t="s">
        <v>977</v>
      </c>
      <c r="GY3" s="414" t="s">
        <v>974</v>
      </c>
      <c r="GZ3" s="414" t="s">
        <v>1113</v>
      </c>
      <c r="HA3" s="425"/>
      <c r="HB3" s="414" t="s">
        <v>1265</v>
      </c>
      <c r="HC3" s="414"/>
      <c r="HD3" s="414" t="s">
        <v>1120</v>
      </c>
      <c r="HE3" s="414" t="s">
        <v>980</v>
      </c>
      <c r="HF3" s="414" t="s">
        <v>979</v>
      </c>
      <c r="HG3" s="414" t="s">
        <v>979</v>
      </c>
      <c r="HH3" s="414" t="s">
        <v>979</v>
      </c>
      <c r="HI3" s="414" t="s">
        <v>975</v>
      </c>
      <c r="HJ3" s="414" t="s">
        <v>1266</v>
      </c>
      <c r="HK3" s="414" t="s">
        <v>975</v>
      </c>
      <c r="HL3" s="414" t="s">
        <v>975</v>
      </c>
      <c r="HM3" s="414" t="s">
        <v>975</v>
      </c>
      <c r="HN3" s="420" t="s">
        <v>978</v>
      </c>
      <c r="HO3" s="420" t="s">
        <v>978</v>
      </c>
      <c r="HP3" s="420" t="s">
        <v>976</v>
      </c>
      <c r="HQ3" s="420" t="s">
        <v>976</v>
      </c>
      <c r="HR3" s="420" t="s">
        <v>977</v>
      </c>
      <c r="HS3" s="420" t="s">
        <v>977</v>
      </c>
      <c r="HT3" s="420" t="s">
        <v>974</v>
      </c>
      <c r="HU3" s="420" t="s">
        <v>974</v>
      </c>
      <c r="HV3" s="420" t="s">
        <v>973</v>
      </c>
      <c r="HW3" s="414" t="s">
        <v>978</v>
      </c>
      <c r="HX3" s="414" t="s">
        <v>977</v>
      </c>
      <c r="HY3" s="414" t="s">
        <v>974</v>
      </c>
      <c r="HZ3" s="420" t="s">
        <v>973</v>
      </c>
      <c r="IA3" s="414" t="s">
        <v>973</v>
      </c>
      <c r="IB3" s="414" t="s">
        <v>1113</v>
      </c>
      <c r="IC3" s="425"/>
      <c r="ID3" s="414" t="s">
        <v>1120</v>
      </c>
      <c r="IE3" s="417" t="s">
        <v>1120</v>
      </c>
      <c r="IF3" s="414" t="s">
        <v>1121</v>
      </c>
      <c r="IG3" s="414" t="s">
        <v>975</v>
      </c>
      <c r="IH3" s="414" t="s">
        <v>978</v>
      </c>
      <c r="II3" s="414" t="s">
        <v>978</v>
      </c>
      <c r="IJ3" s="420" t="s">
        <v>976</v>
      </c>
      <c r="IK3" s="420" t="s">
        <v>976</v>
      </c>
      <c r="IL3" s="414" t="s">
        <v>977</v>
      </c>
      <c r="IM3" s="414" t="s">
        <v>977</v>
      </c>
      <c r="IN3" s="414" t="s">
        <v>974</v>
      </c>
      <c r="IO3" s="414" t="s">
        <v>974</v>
      </c>
      <c r="IP3" s="418" t="s">
        <v>1113</v>
      </c>
      <c r="IQ3" s="414" t="s">
        <v>973</v>
      </c>
      <c r="IR3" s="418" t="s">
        <v>973</v>
      </c>
      <c r="IS3" s="1282"/>
      <c r="IT3" s="414" t="s">
        <v>1120</v>
      </c>
      <c r="IU3" s="414" t="s">
        <v>980</v>
      </c>
      <c r="IV3" s="414" t="s">
        <v>1121</v>
      </c>
      <c r="IW3" s="414" t="s">
        <v>979</v>
      </c>
      <c r="IX3" s="414" t="s">
        <v>975</v>
      </c>
      <c r="IY3" s="414" t="s">
        <v>975</v>
      </c>
      <c r="IZ3" s="414" t="s">
        <v>978</v>
      </c>
      <c r="JA3" s="426" t="s">
        <v>976</v>
      </c>
      <c r="JB3" s="414" t="s">
        <v>977</v>
      </c>
      <c r="JC3" s="414" t="s">
        <v>974</v>
      </c>
      <c r="JD3" s="418" t="s">
        <v>1113</v>
      </c>
      <c r="JE3" s="426" t="s">
        <v>976</v>
      </c>
      <c r="JF3" s="414" t="s">
        <v>977</v>
      </c>
      <c r="JG3" s="414" t="s">
        <v>974</v>
      </c>
      <c r="JH3" s="418" t="s">
        <v>1113</v>
      </c>
      <c r="JI3" s="1282"/>
      <c r="JJ3" s="417" t="s">
        <v>980</v>
      </c>
      <c r="JK3" s="414" t="s">
        <v>1121</v>
      </c>
      <c r="JL3" s="414" t="s">
        <v>980</v>
      </c>
      <c r="JM3" s="414" t="s">
        <v>1121</v>
      </c>
      <c r="JN3" s="414" t="s">
        <v>978</v>
      </c>
      <c r="JO3" s="414" t="s">
        <v>977</v>
      </c>
      <c r="JP3" s="414" t="s">
        <v>975</v>
      </c>
      <c r="JQ3" s="414" t="s">
        <v>974</v>
      </c>
      <c r="JR3" s="414" t="s">
        <v>1113</v>
      </c>
      <c r="JS3" s="414" t="s">
        <v>976</v>
      </c>
      <c r="JT3" s="414" t="s">
        <v>978</v>
      </c>
      <c r="JU3" s="414" t="s">
        <v>977</v>
      </c>
      <c r="JV3" s="414" t="s">
        <v>975</v>
      </c>
      <c r="JW3" s="414" t="s">
        <v>974</v>
      </c>
      <c r="JX3" s="418" t="s">
        <v>1113</v>
      </c>
      <c r="JY3" s="414" t="s">
        <v>976</v>
      </c>
      <c r="JZ3" s="419"/>
      <c r="KA3" s="422"/>
      <c r="KB3" s="414" t="s">
        <v>979</v>
      </c>
      <c r="KC3" s="414" t="s">
        <v>975</v>
      </c>
      <c r="KD3" s="414" t="s">
        <v>974</v>
      </c>
      <c r="KE3" s="414" t="s">
        <v>974</v>
      </c>
      <c r="KF3" s="414"/>
      <c r="KG3" s="414" t="s">
        <v>973</v>
      </c>
      <c r="KH3" s="418" t="s">
        <v>1113</v>
      </c>
      <c r="KI3" s="422"/>
      <c r="KJ3" s="419"/>
      <c r="KK3" s="414" t="s">
        <v>977</v>
      </c>
      <c r="KL3" s="414" t="s">
        <v>974</v>
      </c>
      <c r="KM3" s="414" t="s">
        <v>1113</v>
      </c>
      <c r="KN3" s="419"/>
      <c r="KO3" s="414" t="s">
        <v>975</v>
      </c>
      <c r="KP3" s="414" t="s">
        <v>974</v>
      </c>
      <c r="KQ3" s="418" t="s">
        <v>973</v>
      </c>
      <c r="KR3" s="414" t="s">
        <v>974</v>
      </c>
      <c r="KS3" s="418" t="s">
        <v>973</v>
      </c>
      <c r="KT3" s="414" t="s">
        <v>979</v>
      </c>
      <c r="KU3" s="414" t="s">
        <v>975</v>
      </c>
      <c r="KV3" s="414" t="s">
        <v>974</v>
      </c>
      <c r="KW3" s="418" t="s">
        <v>1113</v>
      </c>
      <c r="KX3" s="414" t="s">
        <v>977</v>
      </c>
      <c r="KY3" s="414" t="s">
        <v>974</v>
      </c>
      <c r="KZ3" s="418" t="s">
        <v>1113</v>
      </c>
      <c r="LA3" s="414" t="s">
        <v>975</v>
      </c>
      <c r="LB3" s="414" t="s">
        <v>974</v>
      </c>
      <c r="LC3" s="418" t="s">
        <v>1113</v>
      </c>
      <c r="LD3" s="418" t="s">
        <v>1113</v>
      </c>
      <c r="LE3" s="414" t="s">
        <v>977</v>
      </c>
      <c r="LF3" s="414" t="s">
        <v>974</v>
      </c>
      <c r="LG3" s="418" t="s">
        <v>1113</v>
      </c>
    </row>
    <row r="4" spans="1:319" s="380" customFormat="1">
      <c r="A4" s="129"/>
      <c r="B4" s="427"/>
      <c r="C4" s="428"/>
      <c r="D4" s="429"/>
      <c r="E4" s="430"/>
      <c r="F4" s="431"/>
      <c r="G4" s="432"/>
      <c r="H4" s="431"/>
      <c r="I4" s="431"/>
      <c r="J4" s="432"/>
      <c r="K4" s="129"/>
      <c r="L4" s="129"/>
      <c r="M4" s="129"/>
      <c r="N4" s="129"/>
      <c r="O4" s="129"/>
      <c r="P4" s="129"/>
      <c r="Q4" s="129"/>
      <c r="R4" s="129"/>
      <c r="S4" s="429"/>
      <c r="T4" s="129"/>
      <c r="U4" s="129"/>
      <c r="V4" s="129"/>
      <c r="W4" s="129"/>
      <c r="X4" s="129"/>
      <c r="Y4" s="129"/>
      <c r="Z4" s="129"/>
      <c r="AA4" s="129"/>
      <c r="AB4" s="429"/>
      <c r="AC4" s="129"/>
      <c r="AD4" s="129"/>
      <c r="AE4" s="129"/>
      <c r="AF4" s="129"/>
      <c r="AG4" s="129"/>
      <c r="AH4" s="129"/>
      <c r="AI4" s="129"/>
      <c r="AJ4" s="129"/>
      <c r="AK4" s="429"/>
      <c r="AL4" s="129"/>
      <c r="AM4" s="129"/>
      <c r="AN4" s="129"/>
      <c r="AO4" s="129"/>
      <c r="AP4" s="129"/>
      <c r="AQ4" s="129"/>
      <c r="AR4" s="129"/>
      <c r="AS4" s="129"/>
      <c r="AT4" s="429"/>
      <c r="AU4" s="129"/>
      <c r="AV4" s="129"/>
      <c r="AW4" s="129"/>
      <c r="AX4" s="129"/>
      <c r="AY4" s="129"/>
      <c r="AZ4" s="129"/>
      <c r="BA4" s="129"/>
      <c r="BB4" s="433"/>
      <c r="BC4" s="433"/>
      <c r="BD4" s="434"/>
      <c r="BE4" s="129"/>
      <c r="BF4" s="429"/>
      <c r="BG4" s="129"/>
      <c r="BH4" s="129"/>
      <c r="BI4" s="129"/>
      <c r="BJ4" s="429"/>
      <c r="BK4" s="129"/>
      <c r="BL4" s="129"/>
      <c r="BM4" s="129"/>
      <c r="BN4" s="129"/>
      <c r="BO4" s="429"/>
      <c r="BP4" s="129"/>
      <c r="BQ4" s="434"/>
      <c r="BR4" s="129"/>
      <c r="BS4" s="434"/>
      <c r="BT4" s="129"/>
      <c r="BU4" s="129"/>
      <c r="BV4" s="129"/>
      <c r="BW4" s="434"/>
      <c r="BX4" s="129"/>
      <c r="BY4" s="129"/>
      <c r="BZ4" s="434"/>
      <c r="CA4" s="434"/>
      <c r="CB4" s="129"/>
      <c r="CC4" s="129"/>
      <c r="CD4" s="129"/>
      <c r="CE4" s="129"/>
      <c r="CF4" s="429"/>
      <c r="CG4" s="435"/>
      <c r="CH4" s="436"/>
      <c r="CI4" s="436"/>
      <c r="CJ4" s="436"/>
      <c r="CK4" s="436"/>
      <c r="CL4" s="436"/>
      <c r="CM4" s="436"/>
      <c r="CN4" s="436"/>
      <c r="CO4" s="436"/>
      <c r="CP4" s="436"/>
      <c r="CQ4" s="436"/>
      <c r="CR4" s="436"/>
      <c r="CS4" s="436"/>
      <c r="CT4" s="436"/>
      <c r="CU4" s="436"/>
      <c r="CV4" s="436"/>
      <c r="CW4" s="437"/>
      <c r="CX4" s="114"/>
      <c r="CY4" s="129"/>
      <c r="CZ4" s="129"/>
      <c r="DA4" s="129"/>
      <c r="DB4" s="129"/>
      <c r="DC4" s="129"/>
      <c r="DD4" s="129"/>
      <c r="DE4" s="129"/>
      <c r="DF4" s="129"/>
      <c r="DG4" s="129"/>
      <c r="DH4" s="129"/>
      <c r="DI4" s="129"/>
      <c r="DJ4" s="129"/>
      <c r="DK4" s="114"/>
      <c r="DL4" s="438"/>
      <c r="DM4" s="438"/>
      <c r="DN4" s="129"/>
      <c r="DO4" s="129"/>
      <c r="DP4" s="114"/>
      <c r="DQ4" s="114"/>
      <c r="DR4" s="114"/>
      <c r="DS4" s="438"/>
      <c r="DT4" s="438"/>
      <c r="DU4" s="129"/>
      <c r="DV4" s="129"/>
      <c r="DX4" s="114"/>
      <c r="DY4" s="114"/>
      <c r="DZ4" s="439"/>
      <c r="EC4" s="114"/>
      <c r="ED4" s="438"/>
      <c r="EE4" s="429"/>
      <c r="EF4" s="129"/>
      <c r="EG4" s="440"/>
      <c r="EH4" s="129"/>
      <c r="EI4" s="129"/>
      <c r="EJ4" s="129"/>
      <c r="EK4" s="129"/>
      <c r="EL4" s="129"/>
      <c r="EM4" s="129"/>
      <c r="EN4" s="129"/>
      <c r="EO4" s="129"/>
      <c r="EU4" s="381"/>
      <c r="EV4" s="114"/>
      <c r="FK4" s="381"/>
      <c r="FM4" s="441"/>
      <c r="FN4" s="114"/>
      <c r="FO4" s="114"/>
      <c r="FP4" s="114"/>
      <c r="FQ4" s="438"/>
      <c r="FR4" s="438"/>
      <c r="FS4" s="114"/>
      <c r="FT4" s="114"/>
      <c r="FU4" s="114"/>
      <c r="FW4" s="114"/>
      <c r="FX4" s="114"/>
      <c r="FY4" s="1"/>
      <c r="GD4" s="356"/>
      <c r="GE4" s="1" t="s">
        <v>1288</v>
      </c>
      <c r="GF4" s="1"/>
      <c r="GG4" s="1"/>
      <c r="GH4" s="114"/>
      <c r="GI4" s="114"/>
      <c r="GJ4" s="439"/>
      <c r="GK4" s="114"/>
      <c r="GL4" s="114"/>
      <c r="GM4" s="114"/>
      <c r="GN4" s="114"/>
      <c r="GO4" s="114"/>
      <c r="GP4" s="114"/>
      <c r="GQ4" s="114"/>
      <c r="GV4" s="381"/>
      <c r="GW4" s="1" t="s">
        <v>1319</v>
      </c>
      <c r="GX4" s="114"/>
      <c r="GY4" s="114"/>
      <c r="GZ4" s="114"/>
      <c r="HA4" s="439"/>
      <c r="HB4" s="114"/>
      <c r="HC4" s="114"/>
      <c r="HD4" s="114"/>
      <c r="HE4" s="114"/>
      <c r="HF4" s="114"/>
      <c r="HG4" s="114"/>
      <c r="HH4" s="114"/>
      <c r="HI4" s="114"/>
      <c r="HJ4" s="114"/>
      <c r="HK4" s="114"/>
      <c r="HL4" s="114"/>
      <c r="HM4" s="114"/>
      <c r="HW4" s="114"/>
      <c r="HX4" s="114"/>
      <c r="HY4" s="114"/>
      <c r="IA4" s="114" t="s">
        <v>1352</v>
      </c>
      <c r="IB4" s="114"/>
      <c r="IC4" s="439"/>
      <c r="ID4" s="114"/>
      <c r="IE4" s="442"/>
      <c r="IF4" s="114"/>
      <c r="IG4" s="114"/>
      <c r="IH4" s="114"/>
      <c r="II4" s="114"/>
      <c r="IJ4" s="114"/>
      <c r="IK4" s="114"/>
      <c r="IL4" s="114"/>
      <c r="IM4" s="114"/>
      <c r="IN4" s="114"/>
      <c r="IO4" s="114"/>
      <c r="IP4" s="438"/>
      <c r="IQ4" s="114"/>
      <c r="IR4" s="438"/>
      <c r="IS4" s="442"/>
      <c r="IT4" s="114"/>
      <c r="IU4" s="114"/>
      <c r="IV4" s="114"/>
      <c r="IW4" s="114"/>
      <c r="IX4" s="114"/>
      <c r="IY4" s="114"/>
      <c r="IZ4" s="114"/>
      <c r="JA4" s="114"/>
      <c r="JB4" s="114"/>
      <c r="JC4" s="114"/>
      <c r="JD4" s="114"/>
      <c r="JE4" s="114"/>
      <c r="JF4" s="114"/>
      <c r="JG4" s="114"/>
      <c r="JH4" s="438"/>
      <c r="JI4" s="442"/>
      <c r="JJ4" s="442"/>
      <c r="JK4" s="114"/>
      <c r="JL4" s="114"/>
      <c r="JM4" s="114"/>
      <c r="JN4" s="114"/>
      <c r="JO4" s="114"/>
      <c r="JP4" s="114"/>
      <c r="JQ4" s="114"/>
      <c r="JR4" s="114"/>
      <c r="JS4" s="114"/>
      <c r="JT4" s="114"/>
      <c r="JU4" s="114"/>
      <c r="JV4" s="114"/>
      <c r="JW4" s="114"/>
      <c r="JX4" s="114"/>
      <c r="JY4" s="114"/>
      <c r="JZ4" s="114"/>
      <c r="KA4" s="438"/>
      <c r="KB4" s="114"/>
      <c r="KC4" s="114"/>
      <c r="KD4" s="114"/>
      <c r="KE4" s="114"/>
      <c r="KF4" s="114"/>
      <c r="KG4" s="114"/>
      <c r="KH4" s="114"/>
      <c r="KI4" s="438"/>
      <c r="KJ4" s="114"/>
      <c r="KK4" s="114"/>
      <c r="KL4" s="114"/>
      <c r="KM4" s="114"/>
      <c r="KN4" s="114"/>
      <c r="KO4" s="114"/>
      <c r="KP4" s="114"/>
      <c r="KQ4" s="438"/>
      <c r="KR4" s="114" t="s">
        <v>1351</v>
      </c>
      <c r="KS4" s="438" t="s">
        <v>1351</v>
      </c>
      <c r="KT4" s="129" t="s">
        <v>1351</v>
      </c>
      <c r="KU4" s="129" t="s">
        <v>1351</v>
      </c>
      <c r="KV4" s="129" t="s">
        <v>1351</v>
      </c>
      <c r="KW4" s="428" t="s">
        <v>1351</v>
      </c>
      <c r="KX4" s="114" t="s">
        <v>1283</v>
      </c>
      <c r="KY4" s="114" t="s">
        <v>1283</v>
      </c>
      <c r="KZ4" s="438" t="s">
        <v>1283</v>
      </c>
      <c r="LA4" s="114"/>
      <c r="LB4" s="114"/>
      <c r="LC4" s="438"/>
      <c r="LD4" s="438"/>
      <c r="LE4" s="114"/>
      <c r="LF4" s="114"/>
      <c r="LG4" s="438"/>
    </row>
    <row r="5" spans="1:319" s="464" customFormat="1">
      <c r="A5" s="443"/>
      <c r="B5" s="444" t="s">
        <v>882</v>
      </c>
      <c r="C5" s="445" t="s">
        <v>282</v>
      </c>
      <c r="D5" s="446"/>
      <c r="E5" s="447">
        <v>245703</v>
      </c>
      <c r="F5" s="443">
        <f>G5-E5</f>
        <v>75653</v>
      </c>
      <c r="G5" s="445">
        <v>321356</v>
      </c>
      <c r="H5" s="443">
        <v>245915</v>
      </c>
      <c r="I5" s="443">
        <f>J5-H5</f>
        <v>68829</v>
      </c>
      <c r="J5" s="445">
        <v>314744</v>
      </c>
      <c r="K5" s="448"/>
      <c r="L5" s="448"/>
      <c r="M5" s="448"/>
      <c r="N5" s="448"/>
      <c r="O5" s="448"/>
      <c r="P5" s="448"/>
      <c r="Q5" s="448"/>
      <c r="R5" s="448"/>
      <c r="S5" s="449"/>
      <c r="T5" s="448">
        <v>76992</v>
      </c>
      <c r="U5" s="448">
        <f>+Y5-T5</f>
        <v>77053</v>
      </c>
      <c r="V5" s="448">
        <f>+X5-Y5</f>
        <v>88072</v>
      </c>
      <c r="W5" s="448">
        <f>+Z5-V5</f>
        <v>73220</v>
      </c>
      <c r="X5" s="448">
        <v>242117</v>
      </c>
      <c r="Y5" s="448">
        <v>154045</v>
      </c>
      <c r="Z5" s="448">
        <v>161292</v>
      </c>
      <c r="AA5" s="448">
        <v>315337</v>
      </c>
      <c r="AB5" s="449"/>
      <c r="AC5" s="448">
        <v>73321</v>
      </c>
      <c r="AD5" s="448">
        <f>+AH5-AC5</f>
        <v>73053</v>
      </c>
      <c r="AE5" s="448">
        <f>+AG5-AH5</f>
        <v>84950</v>
      </c>
      <c r="AF5" s="448">
        <f>+AI5-AE5</f>
        <v>74587</v>
      </c>
      <c r="AG5" s="448">
        <v>231324</v>
      </c>
      <c r="AH5" s="448">
        <v>146374</v>
      </c>
      <c r="AI5" s="448">
        <f>+AJ5-AH5</f>
        <v>159537</v>
      </c>
      <c r="AJ5" s="448">
        <v>305911</v>
      </c>
      <c r="AK5" s="446"/>
      <c r="AL5" s="448">
        <v>74333</v>
      </c>
      <c r="AM5" s="448">
        <f>+AQ5-AL5</f>
        <v>75104</v>
      </c>
      <c r="AN5" s="448">
        <f>+AP5-AQ5</f>
        <v>90327</v>
      </c>
      <c r="AO5" s="448">
        <f>+AR5-AN5</f>
        <v>81224</v>
      </c>
      <c r="AP5" s="448">
        <v>239764</v>
      </c>
      <c r="AQ5" s="448">
        <v>149437</v>
      </c>
      <c r="AR5" s="448">
        <f>+AS5-AQ5</f>
        <v>171551</v>
      </c>
      <c r="AS5" s="448">
        <v>320988</v>
      </c>
      <c r="AT5" s="446"/>
      <c r="AU5" s="448">
        <v>77901</v>
      </c>
      <c r="AV5" s="448">
        <f>+BB5-AU5</f>
        <v>80390</v>
      </c>
      <c r="AW5" s="448">
        <f>+BA5-BB5</f>
        <v>99603</v>
      </c>
      <c r="AX5" s="448">
        <v>91409</v>
      </c>
      <c r="AY5" s="448">
        <f>+BC5-AW5</f>
        <v>86633</v>
      </c>
      <c r="AZ5" s="448">
        <v>249700</v>
      </c>
      <c r="BA5" s="448">
        <v>257894</v>
      </c>
      <c r="BB5" s="450">
        <v>158291</v>
      </c>
      <c r="BC5" s="450">
        <f>+BE5-BB5</f>
        <v>186236</v>
      </c>
      <c r="BD5" s="451">
        <v>345643.90519265761</v>
      </c>
      <c r="BE5" s="448">
        <v>344527</v>
      </c>
      <c r="BF5" s="446"/>
      <c r="BG5" s="448">
        <f>+BH5-AW5</f>
        <v>-257894</v>
      </c>
      <c r="BH5" s="448">
        <f>+BI5-BB5</f>
        <v>-158291</v>
      </c>
      <c r="BI5" s="448"/>
      <c r="BJ5" s="446"/>
      <c r="BK5" s="443">
        <v>159000</v>
      </c>
      <c r="BL5" s="443">
        <v>171000</v>
      </c>
      <c r="BM5" s="443">
        <v>330000</v>
      </c>
      <c r="BN5" s="443"/>
      <c r="BO5" s="446"/>
      <c r="BP5" s="448">
        <v>87866</v>
      </c>
      <c r="BQ5" s="451">
        <v>81796.149999999994</v>
      </c>
      <c r="BR5" s="448">
        <f>+BY5-BP5</f>
        <v>88444</v>
      </c>
      <c r="BS5" s="451">
        <v>101500</v>
      </c>
      <c r="BT5" s="448">
        <f>+BX5-BY5</f>
        <v>107430</v>
      </c>
      <c r="BU5" s="448">
        <v>85726</v>
      </c>
      <c r="BV5" s="448">
        <f>CC5-BT5</f>
        <v>88491</v>
      </c>
      <c r="BW5" s="451">
        <v>277831</v>
      </c>
      <c r="BX5" s="448">
        <v>283740</v>
      </c>
      <c r="BY5" s="448">
        <v>176310</v>
      </c>
      <c r="BZ5" s="451">
        <v>162626.9</v>
      </c>
      <c r="CA5" s="451">
        <f>CA8+CA10+CA27+CA41+CA50+CA57+CA59</f>
        <v>173765.32076264906</v>
      </c>
      <c r="CB5" s="448">
        <v>193169</v>
      </c>
      <c r="CC5" s="448">
        <f>CE5-BY5</f>
        <v>195921</v>
      </c>
      <c r="CD5" s="448">
        <v>369500</v>
      </c>
      <c r="CE5" s="448">
        <f>'Raw Data'!V9</f>
        <v>372231</v>
      </c>
      <c r="CF5" s="446"/>
      <c r="CG5" s="452">
        <v>86025</v>
      </c>
      <c r="CH5" s="453">
        <v>86100</v>
      </c>
      <c r="CI5" s="453"/>
      <c r="CJ5" s="453">
        <f>CR5-CG5</f>
        <v>94808</v>
      </c>
      <c r="CK5" s="453">
        <v>93736.98836753417</v>
      </c>
      <c r="CL5" s="453">
        <f>CP5-CR5</f>
        <v>111811</v>
      </c>
      <c r="CM5" s="453">
        <v>111200</v>
      </c>
      <c r="CN5" s="453">
        <v>91556</v>
      </c>
      <c r="CO5" s="453">
        <f>CW5-CP5</f>
        <v>88615</v>
      </c>
      <c r="CP5" s="453">
        <v>292644</v>
      </c>
      <c r="CQ5" s="453">
        <v>292033</v>
      </c>
      <c r="CR5" s="453">
        <v>180833</v>
      </c>
      <c r="CS5" s="453">
        <v>179761.98836753418</v>
      </c>
      <c r="CT5" s="453">
        <v>203367</v>
      </c>
      <c r="CU5" s="453">
        <f>CW5-CR5</f>
        <v>200426</v>
      </c>
      <c r="CV5" s="453">
        <v>384200</v>
      </c>
      <c r="CW5" s="454">
        <v>381259</v>
      </c>
      <c r="CX5" s="455"/>
      <c r="CY5" s="456">
        <v>92136</v>
      </c>
      <c r="CZ5" s="456">
        <f>+DB5-CY5</f>
        <v>95887</v>
      </c>
      <c r="DA5" s="456" t="e">
        <f>DA8+DA10+DA27+DA41+DA50+DA57+DA59</f>
        <v>#REF!</v>
      </c>
      <c r="DB5" s="456">
        <v>188023</v>
      </c>
      <c r="DC5" s="456">
        <f>+DG5-DB5</f>
        <v>108557</v>
      </c>
      <c r="DD5" s="456">
        <f>DD8+DD10+DD27+DD41+DD50+DD57+DD59</f>
        <v>110158.943890775</v>
      </c>
      <c r="DE5" s="456">
        <f>+DK5-DG5</f>
        <v>86696</v>
      </c>
      <c r="DF5" s="456">
        <f>DF8+DF10+DF27+DF41+DF50+DF57+DF59</f>
        <v>93242</v>
      </c>
      <c r="DG5" s="456">
        <v>296580</v>
      </c>
      <c r="DH5" s="456">
        <f>+DD5+DB5</f>
        <v>298181.94389077497</v>
      </c>
      <c r="DI5" s="456">
        <f>+DK5-DB5</f>
        <v>195253</v>
      </c>
      <c r="DJ5" s="456">
        <f>DL5-DB5</f>
        <v>201777</v>
      </c>
      <c r="DK5" s="457">
        <v>383276</v>
      </c>
      <c r="DL5" s="458">
        <v>389800</v>
      </c>
      <c r="DM5" s="459"/>
      <c r="DN5" s="448"/>
      <c r="DO5" s="448"/>
      <c r="DP5" s="460"/>
      <c r="DQ5" s="460">
        <f>+DR5-DC5</f>
        <v>103420</v>
      </c>
      <c r="DR5" s="460">
        <f>+DS5-DB5</f>
        <v>211977</v>
      </c>
      <c r="DS5" s="461">
        <v>400000</v>
      </c>
      <c r="DT5" s="459"/>
      <c r="DU5" s="448"/>
      <c r="DV5" s="448">
        <f>DW5-CY5</f>
        <v>99864</v>
      </c>
      <c r="DW5" s="462">
        <v>192000</v>
      </c>
      <c r="DX5" s="460">
        <f>DY5-DB5</f>
        <v>211977</v>
      </c>
      <c r="DY5" s="460">
        <v>400000</v>
      </c>
      <c r="DZ5" s="463"/>
      <c r="EB5" s="462">
        <f>ED5-CP5</f>
        <v>90356</v>
      </c>
      <c r="EC5" s="460">
        <f>ED5-CR5</f>
        <v>202167</v>
      </c>
      <c r="ED5" s="458">
        <v>383000</v>
      </c>
      <c r="EE5" s="446"/>
      <c r="EF5" s="443"/>
      <c r="EG5" s="447">
        <v>91073</v>
      </c>
      <c r="EH5" s="456">
        <f>EH8+EH10+EH27+EH41+EH50+EH57+EH59</f>
        <v>67604.756999999998</v>
      </c>
      <c r="EI5" s="456">
        <f>+EK5-EG5</f>
        <v>91038</v>
      </c>
      <c r="EJ5" s="456">
        <f>EJ8+EJ10+EJ27+EJ41+EJ50+EJ57+EJ59</f>
        <v>93917.744631701629</v>
      </c>
      <c r="EK5" s="456">
        <v>182111</v>
      </c>
      <c r="EL5" s="456">
        <f>+EG5+EJ5</f>
        <v>184990.74463170161</v>
      </c>
      <c r="EM5" s="456">
        <f>+EO5-EK5</f>
        <v>112399</v>
      </c>
      <c r="EN5" s="456">
        <f>EN8+EN10+EN27+EN41+EN50+EN57+EN59</f>
        <v>111695.26526246735</v>
      </c>
      <c r="EO5" s="456">
        <v>294510</v>
      </c>
      <c r="EP5" s="456">
        <f>+EN5+EK5</f>
        <v>293806.26526246732</v>
      </c>
      <c r="EQ5" s="456">
        <f>+EU5-EO5</f>
        <v>88168</v>
      </c>
      <c r="ER5" s="456"/>
      <c r="ES5" s="456">
        <f>+EU5-EK5</f>
        <v>200567</v>
      </c>
      <c r="ET5" s="443"/>
      <c r="EU5" s="465">
        <v>382678</v>
      </c>
      <c r="EV5" s="466"/>
      <c r="EW5" s="456">
        <v>93598.338892773885</v>
      </c>
      <c r="EX5" s="456">
        <v>93249</v>
      </c>
      <c r="EY5" s="456">
        <v>96218.240144186042</v>
      </c>
      <c r="EZ5" s="456">
        <f>+FB5-EX5</f>
        <v>96725</v>
      </c>
      <c r="FA5" s="456">
        <v>189467.24014418604</v>
      </c>
      <c r="FB5" s="456">
        <v>189974</v>
      </c>
      <c r="FC5" s="456">
        <f>+FE5-FB5</f>
        <v>109505</v>
      </c>
      <c r="FD5" s="456">
        <v>109643.54957507085</v>
      </c>
      <c r="FE5" s="456">
        <v>299479</v>
      </c>
      <c r="FF5" s="456">
        <v>299617.54957507085</v>
      </c>
      <c r="FG5" s="456">
        <f>FK5-FE5</f>
        <v>89318</v>
      </c>
      <c r="FH5" s="456">
        <f>+FL5-FE5</f>
        <v>89318</v>
      </c>
      <c r="FI5" s="456">
        <f>FK5-FB5</f>
        <v>198823</v>
      </c>
      <c r="FJ5" s="456">
        <f>+FL5-FB5</f>
        <v>198823</v>
      </c>
      <c r="FK5" s="465">
        <v>388797</v>
      </c>
      <c r="FL5" s="458">
        <f>Driver!AD12</f>
        <v>388797</v>
      </c>
      <c r="FM5" s="467">
        <f>+FN5-EX5</f>
        <v>99751</v>
      </c>
      <c r="FN5" s="460">
        <v>193000</v>
      </c>
      <c r="FO5" s="460">
        <f>+FQ5-FE5</f>
        <v>100521</v>
      </c>
      <c r="FP5" s="460">
        <f>+FQ5-FB5</f>
        <v>210026</v>
      </c>
      <c r="FQ5" s="461">
        <v>400000</v>
      </c>
      <c r="FR5" s="461"/>
      <c r="FS5" s="457">
        <v>96749</v>
      </c>
      <c r="FT5" s="460">
        <f>FT8+FT10+FT27+FT41+FT50+FT57+FT59</f>
        <v>96599.328245802084</v>
      </c>
      <c r="FU5" s="460">
        <f>FU8+FU10+FU27+FU41+FU50+FU57+FU59</f>
        <v>99298.36</v>
      </c>
      <c r="FV5" s="456">
        <f>+FY5-FS5</f>
        <v>99702</v>
      </c>
      <c r="FW5" s="460">
        <f>FU5+FS5</f>
        <v>196047.35999999999</v>
      </c>
      <c r="FX5" s="460"/>
      <c r="FY5" s="457">
        <v>196451</v>
      </c>
      <c r="FZ5" s="456">
        <f>+GA5-FY5</f>
        <v>109670</v>
      </c>
      <c r="GA5" s="456">
        <v>306121</v>
      </c>
      <c r="GB5" s="456">
        <f>+GD5-GA5</f>
        <v>94943</v>
      </c>
      <c r="GC5" s="456">
        <f>+GD5-FY5</f>
        <v>204613</v>
      </c>
      <c r="GD5" s="468">
        <v>401064</v>
      </c>
      <c r="GE5" s="457">
        <v>405200</v>
      </c>
      <c r="GF5" s="457">
        <f>GF8+GF10+GF27+GF41+GF50+GF57+GF59</f>
        <v>112415.19106802244</v>
      </c>
      <c r="GG5" s="457" t="e">
        <f>GH5-FZ5</f>
        <v>#REF!</v>
      </c>
      <c r="GH5" s="460" t="e">
        <f>GI5-FY5</f>
        <v>#REF!</v>
      </c>
      <c r="GI5" s="460" t="e">
        <v>#REF!</v>
      </c>
      <c r="GJ5" s="469"/>
      <c r="GK5" s="460">
        <f>GK8+GK10+GK27+GK41+GK50+GK57+GK59</f>
        <v>99694.739626527837</v>
      </c>
      <c r="GL5" s="460">
        <v>97758</v>
      </c>
      <c r="GM5" s="460">
        <f>GM8+GM10+GM27+GM41+GM50+GM57+GM59</f>
        <v>101135.84733787489</v>
      </c>
      <c r="GN5" s="460">
        <f>GL5+GM5</f>
        <v>198893.84733787487</v>
      </c>
      <c r="GO5" s="460">
        <f>+GP5-GL5</f>
        <v>100587</v>
      </c>
      <c r="GP5" s="460">
        <v>198345</v>
      </c>
      <c r="GQ5" s="460">
        <f>GQ8+GQ10+GQ27+GQ41+GQ50+GQ57+GQ59+GQ61</f>
        <v>114662.89690748569</v>
      </c>
      <c r="GR5" s="456">
        <f>+GS5-GP5</f>
        <v>115553</v>
      </c>
      <c r="GS5" s="456">
        <v>313898</v>
      </c>
      <c r="GT5" s="456">
        <f>+GU5-GR5</f>
        <v>102133</v>
      </c>
      <c r="GU5" s="456">
        <f>+GV5-GP5</f>
        <v>217686</v>
      </c>
      <c r="GV5" s="465">
        <v>416031</v>
      </c>
      <c r="GW5" s="456">
        <v>420200</v>
      </c>
      <c r="GX5" s="460">
        <f>GY5-GR5</f>
        <v>102133</v>
      </c>
      <c r="GY5" s="460">
        <f>GZ5-GP5</f>
        <v>217686</v>
      </c>
      <c r="GZ5" s="460">
        <f>Segments!P19</f>
        <v>416031</v>
      </c>
      <c r="HA5" s="469"/>
      <c r="HB5" s="460">
        <f>HB8+HB10+HB27+HB41+HB50+HB57+HB59</f>
        <v>107046.33204176335</v>
      </c>
      <c r="HC5" s="460"/>
      <c r="HD5" s="460">
        <v>104304</v>
      </c>
      <c r="HE5" s="460">
        <v>85638</v>
      </c>
      <c r="HF5" s="460">
        <f>+HI5-HD5</f>
        <v>99290</v>
      </c>
      <c r="HG5" s="460">
        <f>+HL5-HE5</f>
        <v>79265.846153846156</v>
      </c>
      <c r="HH5" s="460">
        <f>HM5-HE5</f>
        <v>81155</v>
      </c>
      <c r="HI5" s="460">
        <v>203594</v>
      </c>
      <c r="HJ5" s="460">
        <f>HI8+HI10+HI27+HI41+HI50+HI57+HI59</f>
        <v>203591</v>
      </c>
      <c r="HK5" s="460">
        <f>HD5+HI5</f>
        <v>307898</v>
      </c>
      <c r="HL5" s="460">
        <f>KU5/1.04</f>
        <v>164903.84615384616</v>
      </c>
      <c r="HM5" s="470">
        <v>166793</v>
      </c>
      <c r="HN5" s="456">
        <f>+HP5-HI5</f>
        <v>111296</v>
      </c>
      <c r="HO5" s="456">
        <f>+HQ5-HM5</f>
        <v>89552</v>
      </c>
      <c r="HP5" s="456">
        <v>314890</v>
      </c>
      <c r="HQ5" s="471">
        <v>256345</v>
      </c>
      <c r="HR5" s="456">
        <f>+HT5-HN5</f>
        <v>102621</v>
      </c>
      <c r="HS5" s="456">
        <f>HU5-HO5</f>
        <v>84496</v>
      </c>
      <c r="HT5" s="456">
        <f>+HV5-HI5</f>
        <v>213917</v>
      </c>
      <c r="HU5" s="456">
        <f>HZ5-HM5</f>
        <v>174048</v>
      </c>
      <c r="HV5" s="456">
        <v>417511</v>
      </c>
      <c r="HW5" s="460">
        <f>HW8+HW10+HW27+HW41+HW50+HW57+HW59</f>
        <v>116387.55207216955</v>
      </c>
      <c r="HX5" s="460">
        <f>HY5-HN5</f>
        <v>102621</v>
      </c>
      <c r="HY5" s="460">
        <f>IB5-HI5</f>
        <v>213917</v>
      </c>
      <c r="HZ5" s="456">
        <v>340841</v>
      </c>
      <c r="IA5" s="460">
        <v>424900</v>
      </c>
      <c r="IB5" s="460">
        <f>Segments!Q19</f>
        <v>417511</v>
      </c>
      <c r="IC5" s="469"/>
      <c r="ID5" s="460">
        <f>ID8+ID10+ID27+ID41+ID50+ID57+ID59</f>
        <v>85334.933153839011</v>
      </c>
      <c r="IE5" s="472">
        <v>83640</v>
      </c>
      <c r="IF5" s="460">
        <f>IG5-IE5</f>
        <v>86858</v>
      </c>
      <c r="IG5" s="473">
        <v>170498</v>
      </c>
      <c r="IH5" s="460">
        <f>+IJ5-IG5</f>
        <v>97599</v>
      </c>
      <c r="II5" s="460">
        <f>II8+II10+II27+II41+II50+II57+II59</f>
        <v>101300</v>
      </c>
      <c r="IJ5" s="474">
        <v>268097</v>
      </c>
      <c r="IK5" s="460">
        <f>+IP5-IL5</f>
        <v>268097</v>
      </c>
      <c r="IL5" s="460">
        <f>IN5-IH5</f>
        <v>93398</v>
      </c>
      <c r="IM5" s="460">
        <f>+IO5-IH5</f>
        <v>93398</v>
      </c>
      <c r="IN5" s="460">
        <f>IP5-IG5</f>
        <v>190997</v>
      </c>
      <c r="IO5" s="460">
        <f>+IR5-IG5</f>
        <v>190997</v>
      </c>
      <c r="IP5" s="461">
        <f>Segments!S19</f>
        <v>361495</v>
      </c>
      <c r="IQ5" s="460">
        <v>359700</v>
      </c>
      <c r="IR5" s="475">
        <v>361495</v>
      </c>
      <c r="IS5" s="1283"/>
      <c r="IT5" s="460">
        <f>IT8+IT10+IT27+IT41+IT50+IT57+IT59+IT61</f>
        <v>98094.086167615955</v>
      </c>
      <c r="IU5" s="476">
        <v>103127</v>
      </c>
      <c r="IV5" s="460">
        <f>IX5-IU5</f>
        <v>109813</v>
      </c>
      <c r="IW5" s="460">
        <v>104457.25021155411</v>
      </c>
      <c r="IX5" s="460">
        <v>212940</v>
      </c>
      <c r="IY5" s="460">
        <v>207584.25021155411</v>
      </c>
      <c r="IZ5" s="460">
        <f>JA5-IX5</f>
        <v>112373</v>
      </c>
      <c r="JA5" s="460">
        <v>325313</v>
      </c>
      <c r="JB5" s="460">
        <f>+JC5-IZ5</f>
        <v>110473</v>
      </c>
      <c r="JC5" s="460">
        <f>+JD5-IX5</f>
        <v>222846</v>
      </c>
      <c r="JD5" s="460">
        <v>435786</v>
      </c>
      <c r="JE5" s="460">
        <v>319425</v>
      </c>
      <c r="JF5" s="460">
        <f>JG5-IZ5</f>
        <v>110473</v>
      </c>
      <c r="JG5" s="460">
        <f>JH5-IX5</f>
        <v>222846</v>
      </c>
      <c r="JH5" s="461">
        <f>Segments!T19</f>
        <v>435786</v>
      </c>
      <c r="JI5" s="1283"/>
      <c r="JJ5" s="1302">
        <f>+JJ8+JJ10+JJ27+JJ41+JJ50+JJ57+JJ59+JJ61</f>
        <v>115500</v>
      </c>
      <c r="JK5" s="476">
        <f>+JK8+JK10+JK27+JK41+JK50+JK57+JK59+JK61</f>
        <v>116600</v>
      </c>
      <c r="JL5" s="476">
        <v>111181</v>
      </c>
      <c r="JM5" s="460">
        <f>+JP5-JL5</f>
        <v>123709</v>
      </c>
      <c r="JN5" s="460">
        <f>JS5-JP5</f>
        <v>123509</v>
      </c>
      <c r="JO5" s="476"/>
      <c r="JP5" s="476">
        <v>234890</v>
      </c>
      <c r="JQ5" s="476"/>
      <c r="JR5" s="476"/>
      <c r="JS5" s="476">
        <v>358399</v>
      </c>
      <c r="JT5" s="476">
        <f>+JT8+JT10+JT27+JT41+JT50+JT57+JT59+JT61</f>
        <v>127100</v>
      </c>
      <c r="JU5" s="476">
        <f>+JW5-JN5</f>
        <v>122101</v>
      </c>
      <c r="JV5" s="1843">
        <f>+JL5+JK5</f>
        <v>227781</v>
      </c>
      <c r="JW5" s="1843">
        <f>+JX5-JP5</f>
        <v>245610</v>
      </c>
      <c r="JX5" s="476">
        <f>+Driver!AL12</f>
        <v>480500</v>
      </c>
      <c r="JY5" s="976">
        <f>+JP5+JT5</f>
        <v>361990</v>
      </c>
      <c r="JZ5" s="899"/>
      <c r="KA5" s="1271"/>
      <c r="KB5" s="476">
        <f>+KC5-JL5</f>
        <v>114819</v>
      </c>
      <c r="KC5" s="476">
        <v>226000</v>
      </c>
      <c r="KD5" s="476">
        <f>+KH5-KC5</f>
        <v>240000</v>
      </c>
      <c r="KE5" s="476">
        <f>+KG5-JP5</f>
        <v>231110</v>
      </c>
      <c r="KF5" s="476">
        <f>+KG5-JS5</f>
        <v>107601</v>
      </c>
      <c r="KG5" s="476">
        <v>466000</v>
      </c>
      <c r="KH5" s="476">
        <v>466000</v>
      </c>
      <c r="KI5" s="1271"/>
      <c r="KJ5" s="899"/>
      <c r="KK5" s="460">
        <f>KL5-IZ5</f>
        <v>117687</v>
      </c>
      <c r="KL5" s="476">
        <f>KM5-IX5</f>
        <v>230060</v>
      </c>
      <c r="KM5" s="476">
        <v>443000</v>
      </c>
      <c r="KN5" s="899"/>
      <c r="KO5" s="476">
        <v>194000</v>
      </c>
      <c r="KP5" s="460">
        <v>211000</v>
      </c>
      <c r="KQ5" s="461">
        <v>405000</v>
      </c>
      <c r="KR5" s="460">
        <v>189502</v>
      </c>
      <c r="KS5" s="461">
        <v>360000</v>
      </c>
      <c r="KT5" s="460">
        <f>+KU5-IE5</f>
        <v>87860</v>
      </c>
      <c r="KU5" s="460">
        <v>171500</v>
      </c>
      <c r="KV5" s="460">
        <f>+KW5-KU5</f>
        <v>182000</v>
      </c>
      <c r="KW5" s="461">
        <v>353500</v>
      </c>
      <c r="KX5" s="460">
        <f>+KY5-HN5</f>
        <v>111110</v>
      </c>
      <c r="KY5" s="460">
        <f>+KZ5-HI5</f>
        <v>222406</v>
      </c>
      <c r="KZ5" s="461">
        <v>426000</v>
      </c>
      <c r="LA5" s="460">
        <v>207000</v>
      </c>
      <c r="LB5" s="460">
        <f>+LC5-LA5</f>
        <v>219000</v>
      </c>
      <c r="LC5" s="461">
        <v>426000</v>
      </c>
      <c r="LD5" s="461">
        <v>450000</v>
      </c>
      <c r="LE5" s="460">
        <f>+LF5-GR5</f>
        <v>106102</v>
      </c>
      <c r="LF5" s="460">
        <f>+LG5-GP5</f>
        <v>221655</v>
      </c>
      <c r="LG5" s="461">
        <v>420000</v>
      </c>
    </row>
    <row r="6" spans="1:319" s="1019" customFormat="1" ht="12">
      <c r="A6" s="1007"/>
      <c r="B6" s="863" t="s">
        <v>669</v>
      </c>
      <c r="C6" s="1676" t="s">
        <v>1443</v>
      </c>
      <c r="D6" s="1009"/>
      <c r="E6" s="1007"/>
      <c r="F6" s="1007"/>
      <c r="G6" s="1008"/>
      <c r="H6" s="617">
        <f>(H5-E5)/E5</f>
        <v>8.6283032767202675E-4</v>
      </c>
      <c r="I6" s="617">
        <f>(I5-F5)/F5</f>
        <v>-9.0201313893698856E-2</v>
      </c>
      <c r="J6" s="1677">
        <f>(J5-G5)/G5</f>
        <v>-2.0575312114913057E-2</v>
      </c>
      <c r="K6" s="1010"/>
      <c r="L6" s="1010"/>
      <c r="M6" s="1010"/>
      <c r="N6" s="1010"/>
      <c r="O6" s="1010"/>
      <c r="P6" s="1010"/>
      <c r="Q6" s="1010"/>
      <c r="R6" s="1010"/>
      <c r="S6" s="1011"/>
      <c r="T6" s="1010"/>
      <c r="U6" s="1010"/>
      <c r="V6" s="1010"/>
      <c r="W6" s="1010"/>
      <c r="X6" s="1010"/>
      <c r="Y6" s="1010"/>
      <c r="Z6" s="1010"/>
      <c r="AA6" s="1010"/>
      <c r="AB6" s="1011"/>
      <c r="AC6" s="1678">
        <f t="shared" ref="AC6:AJ6" si="0">+AC5/T5-1</f>
        <v>-4.7680278470490389E-2</v>
      </c>
      <c r="AD6" s="1678">
        <f t="shared" si="0"/>
        <v>-5.1912320091365705E-2</v>
      </c>
      <c r="AE6" s="1678">
        <f t="shared" si="0"/>
        <v>-3.5448269597601945E-2</v>
      </c>
      <c r="AF6" s="1678">
        <f t="shared" si="0"/>
        <v>1.8669762360010944E-2</v>
      </c>
      <c r="AG6" s="1678">
        <f t="shared" si="0"/>
        <v>-4.4577621563128611E-2</v>
      </c>
      <c r="AH6" s="1678">
        <f t="shared" si="0"/>
        <v>-4.9797137200168762E-2</v>
      </c>
      <c r="AI6" s="1678">
        <f t="shared" si="0"/>
        <v>-1.088088683877686E-2</v>
      </c>
      <c r="AJ6" s="1678">
        <f t="shared" si="0"/>
        <v>-2.9891830010433273E-2</v>
      </c>
      <c r="AK6" s="1009"/>
      <c r="AL6" s="1678">
        <f t="shared" ref="AL6:AS6" si="1">+AL5/AC5-1</f>
        <v>1.3802321299491327E-2</v>
      </c>
      <c r="AM6" s="1678">
        <f t="shared" si="1"/>
        <v>2.8075506823812768E-2</v>
      </c>
      <c r="AN6" s="1678">
        <f t="shared" si="1"/>
        <v>6.3296056503825859E-2</v>
      </c>
      <c r="AO6" s="1678">
        <f t="shared" si="1"/>
        <v>8.8983334897502209E-2</v>
      </c>
      <c r="AP6" s="1678">
        <f t="shared" si="1"/>
        <v>3.6485621898289855E-2</v>
      </c>
      <c r="AQ6" s="1678">
        <f t="shared" si="1"/>
        <v>2.0925847486575444E-2</v>
      </c>
      <c r="AR6" s="1678">
        <f t="shared" si="1"/>
        <v>7.5305415044785828E-2</v>
      </c>
      <c r="AS6" s="1678">
        <f t="shared" si="1"/>
        <v>4.9285576523890873E-2</v>
      </c>
      <c r="AT6" s="1009"/>
      <c r="AU6" s="1678">
        <f>+AU5/AL5-1</f>
        <v>4.8000215247602007E-2</v>
      </c>
      <c r="AV6" s="1678">
        <f>+AV5/AM5-1</f>
        <v>7.0382403067746013E-2</v>
      </c>
      <c r="AW6" s="1678">
        <f>+AW5/AN5-1</f>
        <v>0.10269354678003251</v>
      </c>
      <c r="AX6" s="1678">
        <f>+AX5/AN5-1</f>
        <v>1.1978699613625965E-2</v>
      </c>
      <c r="AY6" s="1678">
        <f>+AY5/AO5-1</f>
        <v>6.659361764995575E-2</v>
      </c>
      <c r="AZ6" s="1678">
        <f>+AZ5/AP5-1</f>
        <v>4.1440750070903087E-2</v>
      </c>
      <c r="BA6" s="1678">
        <f>+BA5/AP5-1</f>
        <v>7.5616022422048346E-2</v>
      </c>
      <c r="BB6" s="1679">
        <f>+BB5/AQ5-1</f>
        <v>5.9249048093845458E-2</v>
      </c>
      <c r="BC6" s="1679">
        <f>+BC5/AR5-1</f>
        <v>8.5601366357526354E-2</v>
      </c>
      <c r="BD6" s="1680">
        <v>7.6812544994384835E-2</v>
      </c>
      <c r="BE6" s="1678">
        <f>+BE5/AS5-1</f>
        <v>7.3332959487582006E-2</v>
      </c>
      <c r="BF6" s="1009"/>
      <c r="BG6" s="1678">
        <f>+BG5/AO5-1</f>
        <v>-4.1750960307298337</v>
      </c>
      <c r="BH6" s="1678">
        <f>+BH5/AR5-1</f>
        <v>-1.9227052013686892</v>
      </c>
      <c r="BI6" s="1678">
        <f>+BI5/AS5-1</f>
        <v>-1</v>
      </c>
      <c r="BJ6" s="1009"/>
      <c r="BK6" s="1007"/>
      <c r="BL6" s="1007"/>
      <c r="BM6" s="1007"/>
      <c r="BN6" s="1007"/>
      <c r="BO6" s="1009"/>
      <c r="BP6" s="1678">
        <f>+BP5/AU5-1</f>
        <v>0.12791876869359831</v>
      </c>
      <c r="BQ6" s="1680">
        <v>5.0001283680568852E-2</v>
      </c>
      <c r="BR6" s="1678">
        <f>(BR5-AV5)/AV5</f>
        <v>0.10018659037193681</v>
      </c>
      <c r="BS6" s="1680">
        <v>1.9045611075971608E-2</v>
      </c>
      <c r="BT6" s="1678">
        <f>(BT5-AW5)/AW5</f>
        <v>7.8581970422577627E-2</v>
      </c>
      <c r="BU6" s="1678">
        <v>-1.0469451594657925E-2</v>
      </c>
      <c r="BV6" s="1678">
        <f>(BV5-AY5)/AY5</f>
        <v>2.1446792792584813E-2</v>
      </c>
      <c r="BW6" s="1680">
        <v>7.7306955570893468E-2</v>
      </c>
      <c r="BX6" s="1678">
        <f>+BX5/BA5-1</f>
        <v>0.10021947001481224</v>
      </c>
      <c r="BY6" s="1678">
        <f>+BY5/BB5-1</f>
        <v>0.1138346463159623</v>
      </c>
      <c r="BZ6" s="1680">
        <v>2.7391955322791532E-2</v>
      </c>
      <c r="CA6" s="1680">
        <f>(CA5-BD5)/BD5</f>
        <v>-0.49727069347340458</v>
      </c>
      <c r="CB6" s="1678">
        <v>3.7226959341910261E-2</v>
      </c>
      <c r="CC6" s="1678">
        <f>(CC5-BC5)/BC5</f>
        <v>5.2003909018664488E-2</v>
      </c>
      <c r="CD6" s="1678">
        <v>7.2484885074319286E-2</v>
      </c>
      <c r="CE6" s="1678">
        <f>(CE5-BE5)/BE5</f>
        <v>8.0411694874422041E-2</v>
      </c>
      <c r="CF6" s="1009"/>
      <c r="CG6" s="1681">
        <f>CG5/BP5-1</f>
        <v>-2.0952359274349575E-2</v>
      </c>
      <c r="CH6" s="1682">
        <v>-2.0098786788974143E-2</v>
      </c>
      <c r="CI6" s="1007"/>
      <c r="CJ6" s="1682">
        <f>CJ5/BR5-1</f>
        <v>7.1955135452941965E-2</v>
      </c>
      <c r="CK6" s="1682">
        <v>5.9845646595972246E-2</v>
      </c>
      <c r="CL6" s="1682">
        <f>CL5/BT5-1</f>
        <v>4.0780042818579609E-2</v>
      </c>
      <c r="CM6" s="1682">
        <v>3.5092618449222845E-2</v>
      </c>
      <c r="CN6" s="1682">
        <v>3.4636290696228977E-2</v>
      </c>
      <c r="CO6" s="1682">
        <f>CO5/BV5-1</f>
        <v>1.4012724457854731E-3</v>
      </c>
      <c r="CP6" s="1682">
        <f>CP5/BX5-1</f>
        <v>3.1380841615563648E-2</v>
      </c>
      <c r="CQ6" s="1682">
        <v>2.9227461760766849E-2</v>
      </c>
      <c r="CR6" s="1682">
        <f>CR5/BY5-1</f>
        <v>2.5653678180477479E-2</v>
      </c>
      <c r="CS6" s="1682">
        <v>1.9579084382815415E-2</v>
      </c>
      <c r="CT6" s="1682">
        <v>3.8005114306276511E-2</v>
      </c>
      <c r="CU6" s="1682">
        <f>CU5/CC5-1</f>
        <v>2.2993961851971001E-2</v>
      </c>
      <c r="CV6" s="1682">
        <v>3.2154764111532952E-2</v>
      </c>
      <c r="CW6" s="1683">
        <f>CW5/CE5-1</f>
        <v>2.4253756403953552E-2</v>
      </c>
      <c r="CX6" s="704"/>
      <c r="CY6" s="704">
        <f>(CY5-CG5)/CG5</f>
        <v>7.1037489102005233E-2</v>
      </c>
      <c r="CZ6" s="704">
        <f>(CZ5-CJ5)/CJ5</f>
        <v>1.1380896126909122E-2</v>
      </c>
      <c r="DA6" s="704" t="e">
        <f>+DA5/CR5-1</f>
        <v>#REF!</v>
      </c>
      <c r="DB6" s="704">
        <f>+DB5/CR5-1</f>
        <v>3.9760441954731718E-2</v>
      </c>
      <c r="DC6" s="704">
        <f>+DC5/CL5-1</f>
        <v>-2.9102682204792063E-2</v>
      </c>
      <c r="DD6" s="704">
        <f>(DD5-CL5)/CL5</f>
        <v>-1.4775434520977355E-2</v>
      </c>
      <c r="DE6" s="704">
        <f>+DE5/CO5-1</f>
        <v>-2.1655475935225432E-2</v>
      </c>
      <c r="DF6" s="704">
        <f>+DF5/CO5-1</f>
        <v>5.2214636348248078E-2</v>
      </c>
      <c r="DG6" s="704">
        <f>+DG5/CP5-1</f>
        <v>1.3449788821913389E-2</v>
      </c>
      <c r="DH6" s="704">
        <f>+DH5/CP5-1</f>
        <v>1.8923825162227681E-2</v>
      </c>
      <c r="DI6" s="704">
        <f>+DI5/CU5-1</f>
        <v>-2.5810024647500818E-2</v>
      </c>
      <c r="DJ6" s="704">
        <f>(DJ5-CU5)/CU5</f>
        <v>6.7406424316206479E-3</v>
      </c>
      <c r="DK6" s="704">
        <f>+DK5/CW5-1</f>
        <v>5.290366915928546E-3</v>
      </c>
      <c r="DL6" s="1684">
        <v>2.240209411449956E-2</v>
      </c>
      <c r="DM6" s="1685"/>
      <c r="DN6" s="1679"/>
      <c r="DO6" s="1679"/>
      <c r="DP6" s="1670"/>
      <c r="DQ6" s="1670">
        <f>+DQ5/CO5-1</f>
        <v>0.16707103763471198</v>
      </c>
      <c r="DR6" s="1670">
        <f>+DR5/CU5-1</f>
        <v>5.7632243321724674E-2</v>
      </c>
      <c r="DS6" s="1686">
        <f>DS5/CW5-1</f>
        <v>4.9155560917906183E-2</v>
      </c>
      <c r="DT6" s="1685"/>
      <c r="DU6" s="1679"/>
      <c r="DV6" s="1679">
        <f>(DV5-CJ5)/CJ5</f>
        <v>5.3328833009872588E-2</v>
      </c>
      <c r="DW6" s="1682">
        <f>DW5/CR5-1</f>
        <v>6.1753109222321134E-2</v>
      </c>
      <c r="DX6" s="1670">
        <f>DX5/CU5-1</f>
        <v>5.7632243321724674E-2</v>
      </c>
      <c r="DY6" s="1670">
        <f>DY5/CW5-1</f>
        <v>4.9155560917906183E-2</v>
      </c>
      <c r="DZ6" s="1020"/>
      <c r="EB6" s="1682">
        <f>EB5/BV5-1</f>
        <v>2.1075589607982836E-2</v>
      </c>
      <c r="EC6" s="1670">
        <f>EC5/CC5-1</f>
        <v>3.188019660985808E-2</v>
      </c>
      <c r="ED6" s="1687">
        <f>ED5/CE5-1</f>
        <v>2.8930959538566059E-2</v>
      </c>
      <c r="EE6" s="1009"/>
      <c r="EF6" s="1007"/>
      <c r="EG6" s="616">
        <f>+EG5/CY5-1</f>
        <v>-1.1537292697751167E-2</v>
      </c>
      <c r="EH6" s="617">
        <f>+EH5/CY5-1</f>
        <v>-0.26625035816618914</v>
      </c>
      <c r="EI6" s="617">
        <f>+EI5/CZ5-1</f>
        <v>-5.0569941702211962E-2</v>
      </c>
      <c r="EJ6" s="617">
        <f>+EJ5/CZ5-1</f>
        <v>-2.0537250808747465E-2</v>
      </c>
      <c r="EK6" s="617">
        <f>+EK5/DB5-1</f>
        <v>-3.1442961765315913E-2</v>
      </c>
      <c r="EL6" s="617">
        <f>+EL5/DB5-1</f>
        <v>-1.6127044926941836E-2</v>
      </c>
      <c r="EM6" s="617">
        <f>+EM5/DC5-1</f>
        <v>3.5391545455382811E-2</v>
      </c>
      <c r="EN6" s="617">
        <f>+EN5/DC5-1</f>
        <v>2.890891662875128E-2</v>
      </c>
      <c r="EO6" s="617">
        <f>+EO5/DG5-1</f>
        <v>-6.9795670645357299E-3</v>
      </c>
      <c r="EP6" s="617">
        <f>+EP5/DG5-1</f>
        <v>-9.3523998163486111E-3</v>
      </c>
      <c r="EQ6" s="617">
        <f>+EQ5/DE5-1</f>
        <v>1.6978868690596949E-2</v>
      </c>
      <c r="ER6" s="617"/>
      <c r="ES6" s="617">
        <f>+ES5/DI5-1</f>
        <v>2.721597107342788E-2</v>
      </c>
      <c r="ET6" s="617"/>
      <c r="EU6" s="1677">
        <f>+EU5/DK5-1</f>
        <v>-1.5602333566411275E-3</v>
      </c>
      <c r="EV6" s="1274"/>
      <c r="EW6" s="617">
        <v>2.7728732915066834E-2</v>
      </c>
      <c r="EX6" s="617">
        <f>+EX5/EG5-1</f>
        <v>2.3892921063322747E-2</v>
      </c>
      <c r="EY6" s="617">
        <v>5.6901954614403172E-2</v>
      </c>
      <c r="EZ6" s="617">
        <f>+EZ5/EI5-1</f>
        <v>6.2468419780750795E-2</v>
      </c>
      <c r="FA6" s="617">
        <v>4.0394265827907283E-2</v>
      </c>
      <c r="FB6" s="617">
        <f>+FB5/EK5-1</f>
        <v>4.3176963500282772E-2</v>
      </c>
      <c r="FC6" s="617">
        <f>+FC5/EM5-1</f>
        <v>-2.5747560031672889E-2</v>
      </c>
      <c r="FD6" s="617">
        <v>-2.4514901599917649E-2</v>
      </c>
      <c r="FE6" s="617">
        <f>+FE5/EO5-1</f>
        <v>1.6872092628433588E-2</v>
      </c>
      <c r="FF6" s="617">
        <v>1.7342533615398059E-2</v>
      </c>
      <c r="FG6" s="617">
        <f>+FG5/EQ5-1</f>
        <v>1.3043281008982888E-2</v>
      </c>
      <c r="FH6" s="1688">
        <f>+FH5/EQ5-1</f>
        <v>1.3043281008982888E-2</v>
      </c>
      <c r="FI6" s="1688">
        <f>+FI5/ES5-1</f>
        <v>-8.6953486864738139E-3</v>
      </c>
      <c r="FJ6" s="617">
        <f>+FJ5/ES5-1</f>
        <v>-8.6953486864738139E-3</v>
      </c>
      <c r="FK6" s="1677">
        <f>+FK5/EU5-1</f>
        <v>1.5989944548680635E-2</v>
      </c>
      <c r="FL6" s="1684">
        <f>+FL5/EU5-1</f>
        <v>1.5989944548680635E-2</v>
      </c>
      <c r="FM6" s="1679">
        <f>+FM5/EI5-1</f>
        <v>9.5707287066939095E-2</v>
      </c>
      <c r="FN6" s="1670">
        <f>+FN5/EK5-1</f>
        <v>5.9793203046493604E-2</v>
      </c>
      <c r="FO6" s="1670">
        <f>(FO5-EQ5)/EQ5</f>
        <v>0.14010752200344798</v>
      </c>
      <c r="FP6" s="1670">
        <f>+FP5/ES5-1</f>
        <v>4.7161297720961004E-2</v>
      </c>
      <c r="FQ6" s="1686">
        <f>+FQ5/EU5-1</f>
        <v>4.5265209915385851E-2</v>
      </c>
      <c r="FR6" s="1686"/>
      <c r="FS6" s="617">
        <f>+FS5/EX5-1</f>
        <v>3.7533914572810412E-2</v>
      </c>
      <c r="FT6" s="662">
        <f>(FT5-EX5)/EX5</f>
        <v>3.5928838333945501E-2</v>
      </c>
      <c r="FU6" s="662">
        <f>(FU5-EZ5)/EZ5</f>
        <v>2.6604910829671757E-2</v>
      </c>
      <c r="FV6" s="617">
        <f>+FV5/EZ5-1</f>
        <v>3.0777978805893058E-2</v>
      </c>
      <c r="FW6" s="662">
        <f>(FW5-FB5)/FB5</f>
        <v>3.196942739532771E-2</v>
      </c>
      <c r="FX6" s="662"/>
      <c r="FY6" s="617">
        <f>+FY5/FB5-1</f>
        <v>3.4094139197995421E-2</v>
      </c>
      <c r="FZ6" s="617">
        <f>+FZ5/FC5-1</f>
        <v>1.5067805123054612E-3</v>
      </c>
      <c r="GA6" s="617">
        <f>+GA5/FE5-1</f>
        <v>2.2178516690652739E-2</v>
      </c>
      <c r="GB6" s="617">
        <f>+GB5/FG5-1</f>
        <v>6.2977227434559691E-2</v>
      </c>
      <c r="GC6" s="617">
        <f>+GC5/FI5-1</f>
        <v>2.9121379317282203E-2</v>
      </c>
      <c r="GD6" s="1677">
        <f>+GD5/FK5-1</f>
        <v>3.1551169376306865E-2</v>
      </c>
      <c r="GE6" s="617">
        <v>4.2189111541498521E-2</v>
      </c>
      <c r="GF6" s="617">
        <f>(GF5-FC5)/FC5</f>
        <v>2.6575873868978028E-2</v>
      </c>
      <c r="GG6" s="617" t="e">
        <f>(GG5-FG5)/FG5</f>
        <v>#REF!</v>
      </c>
      <c r="GH6" s="662" t="e">
        <f>(GH5-FI5)/FI5</f>
        <v>#REF!</v>
      </c>
      <c r="GI6" s="662" t="e">
        <f>(GI5-FK5)/FK5</f>
        <v>#REF!</v>
      </c>
      <c r="GJ6" s="1689"/>
      <c r="GK6" s="662">
        <f>(GK5-FS5)/FS5</f>
        <v>3.0447235904534794E-2</v>
      </c>
      <c r="GL6" s="662">
        <f>+GL5/FS5-1</f>
        <v>1.0429048362256887E-2</v>
      </c>
      <c r="GM6" s="662">
        <f>(GM5-FV5)/FV5</f>
        <v>1.4381329741378202E-2</v>
      </c>
      <c r="GN6" s="662">
        <f>(GN5-FY5)/FY5</f>
        <v>1.2434893881298007E-2</v>
      </c>
      <c r="GO6" s="662">
        <f>+GO5/FV5-1</f>
        <v>8.8764518264428105E-3</v>
      </c>
      <c r="GP6" s="662">
        <f>+GP5/FY5-1</f>
        <v>9.6410809820259846E-3</v>
      </c>
      <c r="GQ6" s="662">
        <f>(GQ5-FZ5)/FZ5</f>
        <v>4.5526551540856088E-2</v>
      </c>
      <c r="GR6" s="617">
        <f>+GR5/FZ5-1</f>
        <v>5.3642746421081355E-2</v>
      </c>
      <c r="GS6" s="617">
        <f>+GS5/GA5-1</f>
        <v>2.5404986916938155E-2</v>
      </c>
      <c r="GT6" s="617">
        <f>+GT5/GB5-1</f>
        <v>7.5729648315304932E-2</v>
      </c>
      <c r="GU6" s="617">
        <f>+GU5/GC5-1</f>
        <v>6.3891346102153745E-2</v>
      </c>
      <c r="GV6" s="1677">
        <f>+GV5/GD5-1</f>
        <v>3.731823349889285E-2</v>
      </c>
      <c r="GW6" s="617">
        <v>4.7713083198691483E-2</v>
      </c>
      <c r="GX6" s="662">
        <f>(GX5-GB5)/GB5</f>
        <v>7.5729648315304973E-2</v>
      </c>
      <c r="GY6" s="662">
        <f>(GY5-GC5)/GC5</f>
        <v>6.3891346102153829E-2</v>
      </c>
      <c r="GZ6" s="662">
        <f>(GZ5-GD5)/GD5</f>
        <v>3.7318233498892947E-2</v>
      </c>
      <c r="HA6" s="1690"/>
      <c r="HB6" s="662">
        <f>(HB5-GL5)/GL5</f>
        <v>9.5013523617129558E-2</v>
      </c>
      <c r="HC6" s="662"/>
      <c r="HD6" s="662">
        <f>+HD5/GL5-1</f>
        <v>6.6961271711778014E-2</v>
      </c>
      <c r="HE6" s="662"/>
      <c r="HF6" s="662">
        <f>+HF5/GO5-1</f>
        <v>-1.289431039796396E-2</v>
      </c>
      <c r="HG6" s="662"/>
      <c r="HH6" s="662"/>
      <c r="HI6" s="662">
        <f>+HI5/GP5-1</f>
        <v>2.646398951322193E-2</v>
      </c>
      <c r="HJ6" s="662">
        <f>(HI5-GO5)/GO5</f>
        <v>1.0240587749908039</v>
      </c>
      <c r="HK6" s="662">
        <f>(HK5-GP5)/GP5</f>
        <v>0.55233557689883783</v>
      </c>
      <c r="HL6" s="662"/>
      <c r="HM6" s="662"/>
      <c r="HN6" s="617">
        <f>+HN5/GR5-1</f>
        <v>-3.6840237812951648E-2</v>
      </c>
      <c r="HO6" s="617">
        <f>+HO5/GS5-1</f>
        <v>-0.71470987390808483</v>
      </c>
      <c r="HP6" s="617">
        <f>+HP5/GS5-1</f>
        <v>3.1602622507949096E-3</v>
      </c>
      <c r="HQ6" s="617">
        <f>+HQ5/GS5-1</f>
        <v>-0.18334936826612469</v>
      </c>
      <c r="HR6" s="617">
        <f>+HR5/GT5-1</f>
        <v>4.7780834793846871E-3</v>
      </c>
      <c r="HS6" s="617"/>
      <c r="HT6" s="617">
        <f>+HT5/GU5-1</f>
        <v>-1.7313929237525616E-2</v>
      </c>
      <c r="HU6" s="617"/>
      <c r="HV6" s="617">
        <f>+HV5/GV5-1</f>
        <v>3.5574272109530902E-3</v>
      </c>
      <c r="HW6" s="662">
        <f>(HW5-GR5)/GR5</f>
        <v>7.2222449626539358E-3</v>
      </c>
      <c r="HX6" s="662">
        <f>(HX5-GT5)/GT5</f>
        <v>4.7780834793847236E-3</v>
      </c>
      <c r="HY6" s="662">
        <f>(HY5-GU5)/GU5</f>
        <v>-1.7313929237525609E-2</v>
      </c>
      <c r="HZ6" s="617"/>
      <c r="IA6" s="662">
        <v>2.1318122928339473E-2</v>
      </c>
      <c r="IB6" s="662">
        <f>(IB5-GV5)/GV5</f>
        <v>3.5574272109530299E-3</v>
      </c>
      <c r="IC6" s="1690"/>
      <c r="ID6" s="662">
        <f>(ID5-HD5)/HD5</f>
        <v>-0.18186327318378001</v>
      </c>
      <c r="IE6" s="1288">
        <f>+IE5/HE5-1</f>
        <v>-2.3330764380298463E-2</v>
      </c>
      <c r="IF6" s="662">
        <f>IF5/HH5-1</f>
        <v>7.0272934508040175E-2</v>
      </c>
      <c r="IG6" s="662">
        <f>IG5/HM5-1</f>
        <v>2.2213162422883403E-2</v>
      </c>
      <c r="IH6" s="662">
        <f>+IH5/HO5-1</f>
        <v>8.9858406289083481E-2</v>
      </c>
      <c r="II6" s="662"/>
      <c r="IJ6" s="662">
        <f>+IJ5/HQ5-1</f>
        <v>4.5844467416957579E-2</v>
      </c>
      <c r="IK6" s="662"/>
      <c r="IL6" s="662">
        <f>(IL5-HS5)/HS5</f>
        <v>0.10535409960234804</v>
      </c>
      <c r="IM6" s="662">
        <f>+IM5/HS5-1</f>
        <v>0.10535409960234809</v>
      </c>
      <c r="IN6" s="662">
        <f>IN5/HU5-1</f>
        <v>9.7381182202610717E-2</v>
      </c>
      <c r="IO6" s="662">
        <f>+IO5/HU5-1</f>
        <v>9.7381182202610717E-2</v>
      </c>
      <c r="IP6" s="1274">
        <f>(IP5-HZ5)/HZ5</f>
        <v>6.059716994140963E-2</v>
      </c>
      <c r="IQ6" s="662">
        <v>5.5457746478873242E-2</v>
      </c>
      <c r="IR6" s="1274">
        <f>+IR5/HZ5-1</f>
        <v>6.0597169941409623E-2</v>
      </c>
      <c r="IS6" s="1288"/>
      <c r="IT6" s="662">
        <f>(IT5-IE5)/IE5</f>
        <v>0.17281308187010946</v>
      </c>
      <c r="IU6" s="662">
        <f>+IU5/IE5-1</f>
        <v>0.23298660927785741</v>
      </c>
      <c r="IV6" s="662">
        <f>(IV5-IF5)/IF5</f>
        <v>0.26428193142830825</v>
      </c>
      <c r="IW6" s="662">
        <v>0.20262094696578453</v>
      </c>
      <c r="IX6" s="662">
        <f>(IX5-IG5)/IG5</f>
        <v>0.24892960621238958</v>
      </c>
      <c r="IY6" s="662">
        <v>0.21751721551897449</v>
      </c>
      <c r="IZ6" s="662">
        <f>(IZ5-IH5)/IH5</f>
        <v>0.15137450178792816</v>
      </c>
      <c r="JA6" s="662">
        <f>(JA5-IJ5)/IJ5</f>
        <v>0.21341529371831838</v>
      </c>
      <c r="JB6" s="662">
        <f>(JB5-IM5)/IM5</f>
        <v>0.18281976059444527</v>
      </c>
      <c r="JC6" s="662">
        <f>(JC5-IO5)/IO5</f>
        <v>0.16675131023000361</v>
      </c>
      <c r="JD6" s="662">
        <f>(JD5-IR5)/IR5</f>
        <v>0.20551044966043791</v>
      </c>
      <c r="JE6" s="662">
        <v>0.19145309346990083</v>
      </c>
      <c r="JF6" s="662">
        <f>(JF5-IM5)/IM5</f>
        <v>0.18281976059444527</v>
      </c>
      <c r="JG6" s="662">
        <f>(JG5-IO5)/IO5</f>
        <v>0.16675131023000361</v>
      </c>
      <c r="JH6" s="1274">
        <f>(JH5-IR5)/IR5</f>
        <v>0.20551044966043791</v>
      </c>
      <c r="JI6" s="1288"/>
      <c r="JJ6" s="1671">
        <f>+JJ5/IU5-1</f>
        <v>0.1199782792091304</v>
      </c>
      <c r="JK6" s="1670">
        <f>+JK5/IV5-1</f>
        <v>6.1805068616648251E-2</v>
      </c>
      <c r="JL6" s="1670">
        <f>+JL5/IU5-1</f>
        <v>7.8097879313855811E-2</v>
      </c>
      <c r="JM6" s="1670">
        <f t="shared" ref="JM6" si="2">+JM5/IV5-1</f>
        <v>0.1265423947984301</v>
      </c>
      <c r="JN6" s="1670">
        <f>+JN5/IZ5-1</f>
        <v>9.9098537905012662E-2</v>
      </c>
      <c r="JO6" s="1670">
        <f>+JO5/JB5-1</f>
        <v>-1</v>
      </c>
      <c r="JP6" s="1670">
        <f>+JP5/IX5-1</f>
        <v>0.10308068000375692</v>
      </c>
      <c r="JQ6" s="1670">
        <f>+JQ5/JC5-1</f>
        <v>-1</v>
      </c>
      <c r="JR6" s="1670">
        <f>+JR5/JD5-1</f>
        <v>-1</v>
      </c>
      <c r="JS6" s="1670">
        <f>+JS5/JA5-1</f>
        <v>0.10170512706224466</v>
      </c>
      <c r="JT6" s="1670">
        <f>+JT5/IZ5-1</f>
        <v>0.13105461276285224</v>
      </c>
      <c r="JU6" s="1670">
        <f>+JU5/JB5-1</f>
        <v>0.10525648801064524</v>
      </c>
      <c r="JV6" s="1670">
        <f>+JV5/IX5-1</f>
        <v>6.9695688926458166E-2</v>
      </c>
      <c r="JW6" s="1670">
        <f>+JW5/JC5-1</f>
        <v>0.10215126140922437</v>
      </c>
      <c r="JX6" s="1670">
        <f>+JX5/JD5-1</f>
        <v>0.10260540724116884</v>
      </c>
      <c r="JY6" s="1670">
        <f>+JY5/JA5-1</f>
        <v>0.11274372681079448</v>
      </c>
      <c r="JZ6" s="662"/>
      <c r="KA6" s="1274"/>
      <c r="KB6" s="1670"/>
      <c r="KC6" s="1670">
        <f>+KC5/IX5-1</f>
        <v>6.1331830562599832E-2</v>
      </c>
      <c r="KD6" s="1670">
        <f>+KD5/JC5-1</f>
        <v>7.6976925769365323E-2</v>
      </c>
      <c r="KE6" s="1670">
        <f>+KE5/JC5-1</f>
        <v>3.7083905477325096E-2</v>
      </c>
      <c r="KF6" s="1670">
        <f>+KF5/JB5-1</f>
        <v>-2.5997302508305231E-2</v>
      </c>
      <c r="KG6" s="1670">
        <f>+KG5/JD5-1</f>
        <v>6.9332195160009658E-2</v>
      </c>
      <c r="KH6" s="1670">
        <f>+KH5/JD5-1</f>
        <v>6.9332195160009658E-2</v>
      </c>
      <c r="KI6" s="1274"/>
      <c r="KJ6" s="662"/>
      <c r="KK6" s="662">
        <f>(KK5-IM5)/IM5</f>
        <v>0.26005910190796377</v>
      </c>
      <c r="KL6" s="662">
        <f>KL5/IO5-1</f>
        <v>0.20452153698749198</v>
      </c>
      <c r="KM6" s="1670">
        <f>KM5/IR5-1</f>
        <v>0.22546646564959394</v>
      </c>
      <c r="KN6" s="662"/>
      <c r="KO6" s="1670">
        <v>0.13784325915846529</v>
      </c>
      <c r="KP6" s="1670">
        <v>0.10472939365539768</v>
      </c>
      <c r="KQ6" s="1686">
        <v>0.12034744602276648</v>
      </c>
      <c r="KR6" s="1670">
        <v>8.9048141741424169E-2</v>
      </c>
      <c r="KS6" s="1686">
        <v>5.6338028169014009E-2</v>
      </c>
      <c r="KT6" s="1670">
        <f>+KT5/HG5-1</f>
        <v>0.10842190253635287</v>
      </c>
      <c r="KU6" s="1670">
        <f>+KU5/HL5-1</f>
        <v>4.0000000000000036E-2</v>
      </c>
      <c r="KV6" s="1670" t="e">
        <f>+KV5/#REF!-1</f>
        <v>#REF!</v>
      </c>
      <c r="KW6" s="1686">
        <f>+KW5/HZ5-1</f>
        <v>3.7140484859509382E-2</v>
      </c>
      <c r="KX6" s="1670">
        <f>+KX5/GT5-1</f>
        <v>8.7895195480403032E-2</v>
      </c>
      <c r="KY6" s="1670">
        <f>+KY5/GU5-1</f>
        <v>2.1682607057872394E-2</v>
      </c>
      <c r="KZ6" s="1686">
        <f>+KZ5/GV5-1</f>
        <v>2.3962156666210044E-2</v>
      </c>
      <c r="LA6" s="1670">
        <f>+LA5/GP5-1</f>
        <v>4.3636088633441705E-2</v>
      </c>
      <c r="LB6" s="1670">
        <f>+LB5/GU5-1</f>
        <v>6.0362173038228661E-3</v>
      </c>
      <c r="LC6" s="1686">
        <f>+LC5/GV5-1</f>
        <v>2.3962156666210044E-2</v>
      </c>
      <c r="LD6" s="1686">
        <f>+LD5/LC5-1</f>
        <v>5.6338028169014009E-2</v>
      </c>
      <c r="LE6" s="1670">
        <f>+LE5/GB5-1</f>
        <v>0.11753367810159787</v>
      </c>
      <c r="LF6" s="1670">
        <f>+LF5/GC5-1</f>
        <v>8.3288940585397819E-2</v>
      </c>
      <c r="LG6" s="1686">
        <f>+LG5/GD5-1</f>
        <v>4.7214409670277124E-2</v>
      </c>
    </row>
    <row r="7" spans="1:319" s="498" customFormat="1">
      <c r="A7" s="477"/>
      <c r="B7" s="478" t="s">
        <v>1058</v>
      </c>
      <c r="C7" s="479" t="s">
        <v>952</v>
      </c>
      <c r="D7" s="480"/>
      <c r="E7" s="477"/>
      <c r="F7" s="477"/>
      <c r="G7" s="481"/>
      <c r="H7" s="477"/>
      <c r="I7" s="477"/>
      <c r="J7" s="481"/>
      <c r="K7" s="484"/>
      <c r="L7" s="484"/>
      <c r="M7" s="484"/>
      <c r="N7" s="484"/>
      <c r="O7" s="484"/>
      <c r="P7" s="484"/>
      <c r="Q7" s="484"/>
      <c r="R7" s="484"/>
      <c r="S7" s="485"/>
      <c r="T7" s="484"/>
      <c r="U7" s="484"/>
      <c r="V7" s="484"/>
      <c r="W7" s="484"/>
      <c r="X7" s="484"/>
      <c r="Y7" s="484"/>
      <c r="Z7" s="484"/>
      <c r="AA7" s="484"/>
      <c r="AB7" s="485"/>
      <c r="AC7" s="484"/>
      <c r="AD7" s="484"/>
      <c r="AE7" s="484"/>
      <c r="AF7" s="484"/>
      <c r="AG7" s="484"/>
      <c r="AH7" s="484"/>
      <c r="AI7" s="484"/>
      <c r="AJ7" s="484"/>
      <c r="AK7" s="480"/>
      <c r="AL7" s="484"/>
      <c r="AM7" s="484"/>
      <c r="AN7" s="484"/>
      <c r="AO7" s="484"/>
      <c r="AP7" s="484"/>
      <c r="AQ7" s="484"/>
      <c r="AR7" s="484"/>
      <c r="AS7" s="484"/>
      <c r="AT7" s="480"/>
      <c r="AU7" s="484"/>
      <c r="AV7" s="484"/>
      <c r="AW7" s="484"/>
      <c r="AX7" s="484"/>
      <c r="AY7" s="484"/>
      <c r="AZ7" s="484"/>
      <c r="BA7" s="484"/>
      <c r="BB7" s="507"/>
      <c r="BC7" s="507"/>
      <c r="BD7" s="508"/>
      <c r="BE7" s="484"/>
      <c r="BF7" s="480"/>
      <c r="BG7" s="484"/>
      <c r="BH7" s="484"/>
      <c r="BI7" s="484"/>
      <c r="BJ7" s="480"/>
      <c r="BK7" s="477"/>
      <c r="BL7" s="477"/>
      <c r="BM7" s="477"/>
      <c r="BN7" s="477"/>
      <c r="BO7" s="480"/>
      <c r="BP7" s="484"/>
      <c r="BQ7" s="508"/>
      <c r="BR7" s="484"/>
      <c r="BS7" s="508"/>
      <c r="BT7" s="484"/>
      <c r="BU7" s="484"/>
      <c r="BV7" s="484"/>
      <c r="BW7" s="508"/>
      <c r="BX7" s="484"/>
      <c r="BY7" s="484"/>
      <c r="BZ7" s="508"/>
      <c r="CA7" s="508"/>
      <c r="CB7" s="484"/>
      <c r="CC7" s="484"/>
      <c r="CD7" s="484"/>
      <c r="CE7" s="484"/>
      <c r="CF7" s="480"/>
      <c r="CG7" s="509"/>
      <c r="CH7" s="477"/>
      <c r="CI7" s="477"/>
      <c r="CJ7" s="477"/>
      <c r="CK7" s="477"/>
      <c r="CL7" s="477"/>
      <c r="CM7" s="477"/>
      <c r="CN7" s="477"/>
      <c r="CO7" s="477"/>
      <c r="CP7" s="477"/>
      <c r="CQ7" s="477"/>
      <c r="CR7" s="477"/>
      <c r="CS7" s="477"/>
      <c r="CT7" s="477"/>
      <c r="CU7" s="477"/>
      <c r="CV7" s="477"/>
      <c r="CW7" s="481"/>
      <c r="CX7" s="510"/>
      <c r="CY7" s="510"/>
      <c r="CZ7" s="510"/>
      <c r="DA7" s="510"/>
      <c r="DB7" s="510"/>
      <c r="DC7" s="510"/>
      <c r="DD7" s="510"/>
      <c r="DE7" s="510"/>
      <c r="DF7" s="510"/>
      <c r="DG7" s="510"/>
      <c r="DH7" s="510"/>
      <c r="DI7" s="510">
        <f t="shared" ref="DI7:DI86" si="3">+DK7-DB7</f>
        <v>0</v>
      </c>
      <c r="DJ7" s="510"/>
      <c r="DK7" s="510"/>
      <c r="DL7" s="511"/>
      <c r="DM7" s="512"/>
      <c r="DN7" s="484"/>
      <c r="DO7" s="484"/>
      <c r="DP7" s="513"/>
      <c r="DQ7" s="513"/>
      <c r="DR7" s="513">
        <f>+DS7-DB7</f>
        <v>0</v>
      </c>
      <c r="DS7" s="514"/>
      <c r="DT7" s="512"/>
      <c r="DU7" s="484"/>
      <c r="DV7" s="484"/>
      <c r="DW7" s="515"/>
      <c r="DX7" s="513"/>
      <c r="DY7" s="513"/>
      <c r="DZ7" s="497"/>
      <c r="EC7" s="513"/>
      <c r="ED7" s="511"/>
      <c r="EE7" s="480"/>
      <c r="EF7" s="477"/>
      <c r="EG7" s="509"/>
      <c r="EH7" s="477"/>
      <c r="EI7" s="477"/>
      <c r="EJ7" s="477"/>
      <c r="EK7" s="477"/>
      <c r="EL7" s="516"/>
      <c r="EM7" s="477"/>
      <c r="EN7" s="477"/>
      <c r="EO7" s="477"/>
      <c r="EQ7" s="477"/>
      <c r="ES7" s="477"/>
      <c r="EU7" s="481"/>
      <c r="EV7" s="517"/>
      <c r="EW7" s="477"/>
      <c r="EX7" s="477"/>
      <c r="EY7" s="477"/>
      <c r="EZ7" s="477"/>
      <c r="FA7" s="477"/>
      <c r="FB7" s="477"/>
      <c r="FC7" s="477"/>
      <c r="FD7" s="477"/>
      <c r="FE7" s="477"/>
      <c r="FF7" s="477"/>
      <c r="FG7" s="477"/>
      <c r="FH7" s="477"/>
      <c r="FI7" s="477"/>
      <c r="FJ7" s="477"/>
      <c r="FK7" s="481"/>
      <c r="FL7" s="511"/>
      <c r="FM7" s="484"/>
      <c r="FN7" s="513"/>
      <c r="FO7" s="513"/>
      <c r="FP7" s="513">
        <f>+FQ7-EK7</f>
        <v>0</v>
      </c>
      <c r="FQ7" s="514"/>
      <c r="FR7" s="514"/>
      <c r="FS7" s="477"/>
      <c r="FT7" s="513"/>
      <c r="FU7" s="513"/>
      <c r="FV7" s="477"/>
      <c r="FW7" s="513"/>
      <c r="FX7" s="513"/>
      <c r="FY7" s="477"/>
      <c r="FZ7" s="477"/>
      <c r="GA7" s="477"/>
      <c r="GB7" s="477"/>
      <c r="GC7" s="477"/>
      <c r="GD7" s="481"/>
      <c r="GE7" s="477"/>
      <c r="GF7" s="477"/>
      <c r="GG7" s="477"/>
      <c r="GH7" s="513"/>
      <c r="GI7" s="513"/>
      <c r="GJ7" s="518"/>
      <c r="GK7" s="513"/>
      <c r="GL7" s="513"/>
      <c r="GM7" s="513"/>
      <c r="GN7" s="513"/>
      <c r="GO7" s="513"/>
      <c r="GP7" s="513"/>
      <c r="GQ7" s="513"/>
      <c r="GR7" s="477"/>
      <c r="GS7" s="477"/>
      <c r="GT7" s="477"/>
      <c r="GU7" s="477"/>
      <c r="GV7" s="481"/>
      <c r="GW7" s="477"/>
      <c r="GX7" s="513"/>
      <c r="GY7" s="513"/>
      <c r="GZ7" s="513"/>
      <c r="HA7" s="518"/>
      <c r="HB7" s="513"/>
      <c r="HC7" s="513"/>
      <c r="HD7" s="513"/>
      <c r="HE7" s="513"/>
      <c r="HF7" s="513"/>
      <c r="HG7" s="513"/>
      <c r="HH7" s="513"/>
      <c r="HI7" s="513"/>
      <c r="HJ7" s="513"/>
      <c r="HK7" s="513"/>
      <c r="HL7" s="513"/>
      <c r="HM7" s="513"/>
      <c r="HN7" s="477"/>
      <c r="HO7" s="477"/>
      <c r="HP7" s="477"/>
      <c r="HQ7" s="477"/>
      <c r="HR7" s="477"/>
      <c r="HS7" s="477"/>
      <c r="HT7" s="477"/>
      <c r="HU7" s="477"/>
      <c r="HV7" s="477"/>
      <c r="HW7" s="513"/>
      <c r="HX7" s="513"/>
      <c r="HY7" s="513"/>
      <c r="HZ7" s="477"/>
      <c r="IA7" s="513"/>
      <c r="IB7" s="513"/>
      <c r="IC7" s="518"/>
      <c r="ID7" s="513"/>
      <c r="IE7" s="519"/>
      <c r="IF7" s="513"/>
      <c r="IG7" s="513"/>
      <c r="IH7" s="513"/>
      <c r="II7" s="513"/>
      <c r="IJ7" s="513"/>
      <c r="IK7" s="513"/>
      <c r="IL7" s="513"/>
      <c r="IM7" s="513"/>
      <c r="IN7" s="513"/>
      <c r="IO7" s="513"/>
      <c r="IP7" s="514"/>
      <c r="IQ7" s="513"/>
      <c r="IR7" s="514"/>
      <c r="IS7" s="784"/>
      <c r="IT7" s="513"/>
      <c r="IU7" s="513"/>
      <c r="IV7" s="513"/>
      <c r="IW7" s="513"/>
      <c r="IX7" s="513"/>
      <c r="IY7" s="513"/>
      <c r="IZ7" s="513"/>
      <c r="JA7" s="513"/>
      <c r="JB7" s="513"/>
      <c r="JC7" s="513"/>
      <c r="JD7" s="513"/>
      <c r="JE7" s="513"/>
      <c r="JF7" s="513"/>
      <c r="JG7" s="513"/>
      <c r="JH7" s="514"/>
      <c r="JI7" s="784"/>
      <c r="JJ7" s="519"/>
      <c r="JK7" s="513"/>
      <c r="JL7" s="513"/>
      <c r="JM7" s="513"/>
      <c r="JN7" s="513"/>
      <c r="JO7" s="513"/>
      <c r="JP7" s="513"/>
      <c r="JQ7" s="513"/>
      <c r="JR7" s="513"/>
      <c r="JS7" s="513"/>
      <c r="JT7" s="513"/>
      <c r="JU7" s="513"/>
      <c r="JV7" s="513"/>
      <c r="JW7" s="513"/>
      <c r="JX7" s="513"/>
      <c r="JY7" s="513"/>
      <c r="JZ7" s="713"/>
      <c r="KA7" s="517"/>
      <c r="KB7" s="513"/>
      <c r="KC7" s="513"/>
      <c r="KD7" s="513"/>
      <c r="KE7" s="513"/>
      <c r="KF7" s="513"/>
      <c r="KG7" s="513"/>
      <c r="KH7" s="513"/>
      <c r="KI7" s="517"/>
      <c r="KJ7" s="713"/>
      <c r="KK7" s="513"/>
      <c r="KL7" s="513"/>
      <c r="KM7" s="513"/>
      <c r="KN7" s="713"/>
      <c r="KO7" s="513"/>
      <c r="KP7" s="513"/>
      <c r="KQ7" s="514"/>
      <c r="KR7" s="513"/>
      <c r="KS7" s="514"/>
      <c r="KT7" s="513"/>
      <c r="KU7" s="513"/>
      <c r="KV7" s="513"/>
      <c r="KW7" s="514"/>
      <c r="KX7" s="513"/>
      <c r="KY7" s="513"/>
      <c r="KZ7" s="514"/>
      <c r="LA7" s="513"/>
      <c r="LB7" s="513"/>
      <c r="LC7" s="514"/>
      <c r="LD7" s="514"/>
      <c r="LE7" s="513"/>
      <c r="LF7" s="513"/>
      <c r="LG7" s="514"/>
    </row>
    <row r="8" spans="1:319" s="532" customFormat="1">
      <c r="A8" s="520"/>
      <c r="B8" s="521" t="s">
        <v>642</v>
      </c>
      <c r="C8" s="522" t="s">
        <v>433</v>
      </c>
      <c r="D8" s="523"/>
      <c r="E8" s="520"/>
      <c r="F8" s="520"/>
      <c r="G8" s="522"/>
      <c r="H8" s="520"/>
      <c r="I8" s="520"/>
      <c r="J8" s="522"/>
      <c r="K8" s="524"/>
      <c r="L8" s="524"/>
      <c r="M8" s="524"/>
      <c r="N8" s="524"/>
      <c r="O8" s="524"/>
      <c r="P8" s="524"/>
      <c r="Q8" s="524"/>
      <c r="R8" s="524"/>
      <c r="S8" s="525"/>
      <c r="T8" s="524">
        <v>8600</v>
      </c>
      <c r="U8" s="524">
        <f>+Y8-T8</f>
        <v>8712</v>
      </c>
      <c r="V8" s="524">
        <f>+X8-Y8</f>
        <v>8677</v>
      </c>
      <c r="W8" s="524">
        <f>+Z8-V8</f>
        <v>7387</v>
      </c>
      <c r="X8" s="524">
        <v>25989</v>
      </c>
      <c r="Y8" s="524">
        <v>17312</v>
      </c>
      <c r="Z8" s="524">
        <f>+AA8-Y8</f>
        <v>16064</v>
      </c>
      <c r="AA8" s="524">
        <v>33376</v>
      </c>
      <c r="AB8" s="525"/>
      <c r="AC8" s="524">
        <v>8072</v>
      </c>
      <c r="AD8" s="524">
        <f>+AH8-AC8</f>
        <v>7878</v>
      </c>
      <c r="AE8" s="524">
        <f>+AG8-AH8</f>
        <v>9465</v>
      </c>
      <c r="AF8" s="524">
        <f>+AI8-AE8</f>
        <v>7940</v>
      </c>
      <c r="AG8" s="524">
        <v>25415</v>
      </c>
      <c r="AH8" s="524">
        <v>15950</v>
      </c>
      <c r="AI8" s="524">
        <f>+AJ8-AH8</f>
        <v>17405</v>
      </c>
      <c r="AJ8" s="524">
        <v>33355</v>
      </c>
      <c r="AK8" s="523"/>
      <c r="AL8" s="524">
        <v>7410</v>
      </c>
      <c r="AM8" s="524">
        <f>+AQ8-AL8</f>
        <v>7577</v>
      </c>
      <c r="AN8" s="524">
        <f>+AP8-AQ8</f>
        <v>9752</v>
      </c>
      <c r="AO8" s="524">
        <f>+AR8-AN8</f>
        <v>7816</v>
      </c>
      <c r="AP8" s="524">
        <v>24739</v>
      </c>
      <c r="AQ8" s="524">
        <v>14987</v>
      </c>
      <c r="AR8" s="524">
        <f>+AS8-AQ8</f>
        <v>17568</v>
      </c>
      <c r="AS8" s="524">
        <v>32555</v>
      </c>
      <c r="AT8" s="523"/>
      <c r="AU8" s="524">
        <v>8062</v>
      </c>
      <c r="AV8" s="524">
        <f>+BB8-AU8</f>
        <v>7909</v>
      </c>
      <c r="AW8" s="524">
        <f>+BA8-BB8</f>
        <v>9215</v>
      </c>
      <c r="AX8" s="524">
        <v>8329</v>
      </c>
      <c r="AY8" s="524">
        <f>+BC8-AW8</f>
        <v>7175</v>
      </c>
      <c r="AZ8" s="524">
        <v>24300</v>
      </c>
      <c r="BA8" s="524">
        <v>25186</v>
      </c>
      <c r="BB8" s="526">
        <v>15971</v>
      </c>
      <c r="BC8" s="526">
        <f>+BE8-BB8</f>
        <v>16390</v>
      </c>
      <c r="BD8" s="524">
        <v>33000</v>
      </c>
      <c r="BE8" s="524">
        <v>32361</v>
      </c>
      <c r="BF8" s="523"/>
      <c r="BG8" s="524">
        <f>+BH8-AW8</f>
        <v>-25186</v>
      </c>
      <c r="BH8" s="524">
        <f>+BI8-BB8</f>
        <v>-15971</v>
      </c>
      <c r="BI8" s="524"/>
      <c r="BJ8" s="523"/>
      <c r="BK8" s="520">
        <v>15600</v>
      </c>
      <c r="BL8" s="520">
        <v>17700</v>
      </c>
      <c r="BM8" s="520">
        <v>33300</v>
      </c>
      <c r="BN8" s="520"/>
      <c r="BO8" s="523"/>
      <c r="BP8" s="524">
        <v>8149</v>
      </c>
      <c r="BQ8" s="524">
        <v>7500</v>
      </c>
      <c r="BR8" s="524">
        <f>+BY8-BP8</f>
        <v>8054</v>
      </c>
      <c r="BS8" s="524">
        <v>9000</v>
      </c>
      <c r="BT8" s="524">
        <f t="shared" ref="BT8:BT10" si="4">+BX8-BY8</f>
        <v>9122</v>
      </c>
      <c r="BU8" s="524">
        <v>7675</v>
      </c>
      <c r="BV8" s="524">
        <f>CC8-BT8</f>
        <v>8130</v>
      </c>
      <c r="BW8" s="524">
        <v>25203</v>
      </c>
      <c r="BX8" s="524">
        <v>25325</v>
      </c>
      <c r="BY8" s="524">
        <v>16203</v>
      </c>
      <c r="BZ8" s="524">
        <v>15500</v>
      </c>
      <c r="CA8" s="524">
        <f>BV8+BR8</f>
        <v>16184</v>
      </c>
      <c r="CB8" s="524">
        <v>16797</v>
      </c>
      <c r="CC8" s="524">
        <f>CE8-BY8</f>
        <v>17252</v>
      </c>
      <c r="CD8" s="524">
        <v>33000</v>
      </c>
      <c r="CE8" s="524">
        <v>33455</v>
      </c>
      <c r="CF8" s="523"/>
      <c r="CG8" s="527">
        <v>8415</v>
      </c>
      <c r="CH8" s="520">
        <v>8100</v>
      </c>
      <c r="CI8" s="520"/>
      <c r="CJ8" s="520">
        <f>CR8-CG8</f>
        <v>8858</v>
      </c>
      <c r="CK8" s="520">
        <v>8295.6200000000008</v>
      </c>
      <c r="CL8" s="528">
        <f>CP8-CR8</f>
        <v>8994</v>
      </c>
      <c r="CM8" s="520">
        <v>9300</v>
      </c>
      <c r="CN8" s="520">
        <v>8833</v>
      </c>
      <c r="CO8" s="520">
        <f>CW8-CP8</f>
        <v>8247</v>
      </c>
      <c r="CP8" s="520">
        <v>26267</v>
      </c>
      <c r="CQ8" s="520">
        <v>26573</v>
      </c>
      <c r="CR8" s="520">
        <v>17273</v>
      </c>
      <c r="CS8" s="520">
        <v>16710.620000000003</v>
      </c>
      <c r="CT8" s="520">
        <v>17827</v>
      </c>
      <c r="CU8" s="520">
        <f>CW8-CR8</f>
        <v>17241</v>
      </c>
      <c r="CV8" s="520">
        <v>35100</v>
      </c>
      <c r="CW8" s="522">
        <v>34514</v>
      </c>
      <c r="CX8" s="520"/>
      <c r="CY8" s="520">
        <v>8378</v>
      </c>
      <c r="CZ8" s="520">
        <f>+DB8-CY8</f>
        <v>8354</v>
      </c>
      <c r="DA8" s="520" t="e">
        <f>+CY8+#REF!</f>
        <v>#REF!</v>
      </c>
      <c r="DB8" s="520">
        <v>16732</v>
      </c>
      <c r="DC8" s="520">
        <f>+DG8-DB8</f>
        <v>8995</v>
      </c>
      <c r="DD8" s="520">
        <v>8500</v>
      </c>
      <c r="DE8" s="520">
        <f t="shared" ref="DE8:DE18" si="5">+DK8-DG8</f>
        <v>7348</v>
      </c>
      <c r="DF8" s="520">
        <f>+DL8-DG8</f>
        <v>9373</v>
      </c>
      <c r="DG8" s="520">
        <v>25727</v>
      </c>
      <c r="DH8" s="520">
        <f>+DD8+DB8</f>
        <v>25232</v>
      </c>
      <c r="DI8" s="520">
        <f t="shared" si="3"/>
        <v>16343</v>
      </c>
      <c r="DJ8" s="520">
        <f>DL8-DB8</f>
        <v>18368</v>
      </c>
      <c r="DK8" s="520">
        <v>33075</v>
      </c>
      <c r="DL8" s="529">
        <v>35100</v>
      </c>
      <c r="DM8" s="529"/>
      <c r="DN8" s="524"/>
      <c r="DO8" s="524"/>
      <c r="DP8" s="530"/>
      <c r="DQ8" s="530">
        <f>+DR8-DC8</f>
        <v>7573</v>
      </c>
      <c r="DR8" s="530">
        <f>+DS8-DB8</f>
        <v>16568</v>
      </c>
      <c r="DS8" s="531">
        <v>33300</v>
      </c>
      <c r="DT8" s="529"/>
      <c r="DU8" s="524"/>
      <c r="DV8" s="524">
        <f>DW8-CY8</f>
        <v>8622</v>
      </c>
      <c r="DW8" s="528">
        <v>17000</v>
      </c>
      <c r="DX8" s="530">
        <f>DY8-DB8</f>
        <v>18268</v>
      </c>
      <c r="DY8" s="530">
        <v>35000</v>
      </c>
      <c r="DZ8" s="523"/>
      <c r="EB8" s="528">
        <f>ED8-CP8</f>
        <v>9733</v>
      </c>
      <c r="EC8" s="530">
        <f>ED8-CR8</f>
        <v>18727</v>
      </c>
      <c r="ED8" s="529">
        <v>36000</v>
      </c>
      <c r="EE8" s="523"/>
      <c r="EF8" s="520"/>
      <c r="EG8" s="527">
        <v>7884</v>
      </c>
      <c r="EH8" s="520"/>
      <c r="EI8" s="520">
        <f t="shared" ref="EI8:EI18" si="6">+EK8-EG8</f>
        <v>7655</v>
      </c>
      <c r="EJ8" s="520">
        <v>8275</v>
      </c>
      <c r="EK8" s="520">
        <v>15539</v>
      </c>
      <c r="EL8" s="520">
        <f>+EG8+EJ8</f>
        <v>16159</v>
      </c>
      <c r="EM8" s="520">
        <f>+EO8-EK8</f>
        <v>8661</v>
      </c>
      <c r="EN8" s="520">
        <v>9100</v>
      </c>
      <c r="EO8" s="520">
        <v>24200</v>
      </c>
      <c r="EP8" s="520">
        <f>+EN8+EK8</f>
        <v>24639</v>
      </c>
      <c r="EQ8" s="520">
        <f t="shared" ref="EQ8:EQ10" si="7">+EU8-EO8</f>
        <v>7213</v>
      </c>
      <c r="ER8" s="520"/>
      <c r="ES8" s="520">
        <f t="shared" ref="ES8:ES10" si="8">+EU8-EK8</f>
        <v>15874</v>
      </c>
      <c r="ET8" s="520"/>
      <c r="EU8" s="522">
        <v>31413</v>
      </c>
      <c r="EV8" s="533"/>
      <c r="EW8" s="520">
        <v>8000</v>
      </c>
      <c r="EX8" s="520">
        <v>8221</v>
      </c>
      <c r="EY8" s="520">
        <v>7779</v>
      </c>
      <c r="EZ8" s="520">
        <f>+FB8-EX8</f>
        <v>7804</v>
      </c>
      <c r="FA8" s="520">
        <v>16000</v>
      </c>
      <c r="FB8" s="520">
        <v>16025</v>
      </c>
      <c r="FC8" s="520">
        <f>+FE8-FB8</f>
        <v>8447</v>
      </c>
      <c r="FD8" s="520">
        <v>8775</v>
      </c>
      <c r="FE8" s="520">
        <v>24472</v>
      </c>
      <c r="FF8" s="520">
        <v>24800</v>
      </c>
      <c r="FG8" s="520">
        <f>FK8-FE8</f>
        <v>7549</v>
      </c>
      <c r="FH8" s="520">
        <f>+FL8-FE8</f>
        <v>7549</v>
      </c>
      <c r="FI8" s="520">
        <f>FK8-FB8</f>
        <v>15996</v>
      </c>
      <c r="FJ8" s="520">
        <f>+FL8-FB8</f>
        <v>15996</v>
      </c>
      <c r="FK8" s="522">
        <v>32021</v>
      </c>
      <c r="FL8" s="529">
        <f>Driver!AD71</f>
        <v>32021</v>
      </c>
      <c r="FM8" s="524">
        <f>+FN8-EX8</f>
        <v>7779</v>
      </c>
      <c r="FN8" s="530">
        <v>16000</v>
      </c>
      <c r="FO8" s="530">
        <f>+FQ8-FE8</f>
        <v>9028</v>
      </c>
      <c r="FP8" s="530">
        <f>+FQ8-FB8</f>
        <v>17475</v>
      </c>
      <c r="FQ8" s="531">
        <v>33500</v>
      </c>
      <c r="FR8" s="531"/>
      <c r="FS8" s="520">
        <v>7865</v>
      </c>
      <c r="FT8" s="530">
        <v>8200</v>
      </c>
      <c r="FU8" s="530">
        <f>FW8-FS8</f>
        <v>8135</v>
      </c>
      <c r="FV8" s="520">
        <f>+FY8-FS8</f>
        <v>7488</v>
      </c>
      <c r="FW8" s="530">
        <v>16000</v>
      </c>
      <c r="FX8" s="530"/>
      <c r="FY8" s="520">
        <v>15353</v>
      </c>
      <c r="FZ8" s="520">
        <f>+GA8-FY8</f>
        <v>7785</v>
      </c>
      <c r="GA8" s="520">
        <v>23138</v>
      </c>
      <c r="GB8" s="520">
        <f>+GD8-GA8</f>
        <v>6860</v>
      </c>
      <c r="GC8" s="520">
        <f>+GD8-FY8</f>
        <v>14645</v>
      </c>
      <c r="GD8" s="522">
        <v>29998</v>
      </c>
      <c r="GE8" s="520">
        <v>32000</v>
      </c>
      <c r="GF8" s="520">
        <v>8500</v>
      </c>
      <c r="GG8" s="520">
        <f>GH8-FZ8</f>
        <v>6860</v>
      </c>
      <c r="GH8" s="530">
        <f>GI8-FY8</f>
        <v>14645</v>
      </c>
      <c r="GI8" s="530">
        <f>Segments!O20</f>
        <v>29998</v>
      </c>
      <c r="GJ8" s="534"/>
      <c r="GK8" s="530">
        <v>8000</v>
      </c>
      <c r="GL8" s="530">
        <v>7396</v>
      </c>
      <c r="GM8" s="530">
        <v>7500</v>
      </c>
      <c r="GN8" s="530">
        <f>GM8+GL8</f>
        <v>14896</v>
      </c>
      <c r="GO8" s="530">
        <f>+GP8-GL8</f>
        <v>7531</v>
      </c>
      <c r="GP8" s="530">
        <v>14927</v>
      </c>
      <c r="GQ8" s="530">
        <v>8000</v>
      </c>
      <c r="GR8" s="520">
        <f>+GS8-GP8</f>
        <v>8039</v>
      </c>
      <c r="GS8" s="520">
        <v>22966</v>
      </c>
      <c r="GT8" s="520">
        <f>+GU8-GR8</f>
        <v>6896</v>
      </c>
      <c r="GU8" s="520">
        <f>+GV8-GP8</f>
        <v>14935</v>
      </c>
      <c r="GV8" s="522">
        <v>29862</v>
      </c>
      <c r="GW8" s="520">
        <v>30000</v>
      </c>
      <c r="GX8" s="530">
        <f>GY8-GR8</f>
        <v>6896</v>
      </c>
      <c r="GY8" s="530">
        <f>GZ8-GP8</f>
        <v>14935</v>
      </c>
      <c r="GZ8" s="530">
        <f>Segments!P20</f>
        <v>29862</v>
      </c>
      <c r="HA8" s="534"/>
      <c r="HB8" s="530">
        <v>7300</v>
      </c>
      <c r="HC8" s="530"/>
      <c r="HD8" s="530">
        <v>6860</v>
      </c>
      <c r="HE8" s="530">
        <v>6672</v>
      </c>
      <c r="HF8" s="530">
        <f>+HI8-HD8</f>
        <v>6031</v>
      </c>
      <c r="HG8" s="530">
        <f>+HL8-HE8</f>
        <v>5877.0196078431363</v>
      </c>
      <c r="HH8" s="530">
        <f t="shared" ref="HH8:HH18" si="9">HM8-HE8</f>
        <v>5842</v>
      </c>
      <c r="HI8" s="530">
        <v>12891</v>
      </c>
      <c r="HJ8" s="530">
        <v>7500</v>
      </c>
      <c r="HK8" s="530">
        <f>HI8+HD8</f>
        <v>19751</v>
      </c>
      <c r="HL8" s="530">
        <f>KU8/1.02</f>
        <v>12549.019607843136</v>
      </c>
      <c r="HM8" s="530">
        <v>12514</v>
      </c>
      <c r="HN8" s="520">
        <f>+HP8-HI8</f>
        <v>7120</v>
      </c>
      <c r="HO8" s="520">
        <f>+HQ8-HM8</f>
        <v>7643</v>
      </c>
      <c r="HP8" s="520">
        <v>20011</v>
      </c>
      <c r="HQ8" s="535">
        <v>20157</v>
      </c>
      <c r="HR8" s="520">
        <f>+HT8-HN8</f>
        <v>5670</v>
      </c>
      <c r="HS8" s="520">
        <f>HU8-HO8</f>
        <v>4643</v>
      </c>
      <c r="HT8" s="520">
        <f>+HV8-HI8</f>
        <v>12790</v>
      </c>
      <c r="HU8" s="520">
        <f>HZ8-HM8</f>
        <v>12286</v>
      </c>
      <c r="HV8" s="520">
        <v>25681</v>
      </c>
      <c r="HW8" s="530">
        <f>GR8*0.9</f>
        <v>7235.1</v>
      </c>
      <c r="HX8" s="530">
        <f>HY8-HN8</f>
        <v>5670</v>
      </c>
      <c r="HY8" s="530">
        <f>IB8-HI8</f>
        <v>12790</v>
      </c>
      <c r="HZ8" s="520">
        <v>24800</v>
      </c>
      <c r="IA8" s="530">
        <v>27000</v>
      </c>
      <c r="IB8" s="530">
        <f>Segments!Q20</f>
        <v>25681</v>
      </c>
      <c r="IC8" s="534"/>
      <c r="ID8" s="530">
        <v>6500</v>
      </c>
      <c r="IE8" s="536">
        <v>6238</v>
      </c>
      <c r="IF8" s="530">
        <f>IG8-IE8</f>
        <v>5895</v>
      </c>
      <c r="IG8" s="537">
        <v>12133</v>
      </c>
      <c r="IH8" s="530">
        <f>+IJ8-IG8</f>
        <v>6791</v>
      </c>
      <c r="II8" s="538">
        <v>7000</v>
      </c>
      <c r="IJ8" s="538">
        <v>18924</v>
      </c>
      <c r="IK8" s="530">
        <f>+IP8-IL8</f>
        <v>18924</v>
      </c>
      <c r="IL8" s="530">
        <f>IN8-IH8</f>
        <v>6076</v>
      </c>
      <c r="IM8" s="530">
        <f>+IO8-IH8</f>
        <v>6076</v>
      </c>
      <c r="IN8" s="530">
        <f>IP8-IG8</f>
        <v>12867</v>
      </c>
      <c r="IO8" s="530">
        <f>+IR8-IG8</f>
        <v>12867</v>
      </c>
      <c r="IP8" s="531">
        <f>Segments!S20</f>
        <v>25000</v>
      </c>
      <c r="IQ8" s="530">
        <v>26000</v>
      </c>
      <c r="IR8" s="539">
        <v>25000</v>
      </c>
      <c r="IS8" s="1283"/>
      <c r="IT8" s="540">
        <v>6500</v>
      </c>
      <c r="IU8" s="540">
        <v>7300</v>
      </c>
      <c r="IV8" s="540">
        <f>IX8-IU8</f>
        <v>7000</v>
      </c>
      <c r="IW8" s="540">
        <v>6000</v>
      </c>
      <c r="IX8" s="530">
        <v>14300</v>
      </c>
      <c r="IY8" s="530">
        <v>13300</v>
      </c>
      <c r="IZ8" s="530">
        <f>JA8-IX8</f>
        <v>7327</v>
      </c>
      <c r="JA8" s="530">
        <v>21627</v>
      </c>
      <c r="JB8" s="530">
        <f t="shared" ref="JB8:JB10" si="10">+JC8-IZ8</f>
        <v>6899</v>
      </c>
      <c r="JC8" s="530">
        <f t="shared" ref="JC8:JC10" si="11">+JD8-IX8</f>
        <v>14226</v>
      </c>
      <c r="JD8" s="530">
        <v>28526</v>
      </c>
      <c r="JE8" s="530">
        <v>21000</v>
      </c>
      <c r="JF8" s="530">
        <f>JG8-IZ8</f>
        <v>6899</v>
      </c>
      <c r="JG8" s="530">
        <f>JH8-IX8</f>
        <v>14226</v>
      </c>
      <c r="JH8" s="531">
        <f>Segments!T20</f>
        <v>28526</v>
      </c>
      <c r="JI8" s="1283"/>
      <c r="JJ8" s="1669">
        <f>ROUND(+IU8*(1+JJ9),-2)</f>
        <v>7600</v>
      </c>
      <c r="JK8" s="1138">
        <f>ROUND(+IV8*(1+JK9),-2)</f>
        <v>7200</v>
      </c>
      <c r="JL8" s="1138">
        <v>7556</v>
      </c>
      <c r="JM8" s="1138">
        <f>+JP8-JL8</f>
        <v>7478</v>
      </c>
      <c r="JN8" s="1138">
        <f>JS8-JP8</f>
        <v>7941</v>
      </c>
      <c r="JO8" s="1138"/>
      <c r="JP8" s="1138">
        <v>15034</v>
      </c>
      <c r="JQ8" s="1138"/>
      <c r="JR8" s="1138"/>
      <c r="JS8" s="1138">
        <v>22975</v>
      </c>
      <c r="JT8" s="1138">
        <f>ROUND(+IZ8*(1+JT9),-2)</f>
        <v>7600</v>
      </c>
      <c r="JU8" s="1138">
        <f>+JW8-JN8</f>
        <v>7025</v>
      </c>
      <c r="JV8" s="1138">
        <f>+JL8+JK8</f>
        <v>14756</v>
      </c>
      <c r="JW8" s="1138">
        <f>+JX8-JP8</f>
        <v>14966</v>
      </c>
      <c r="JX8" s="1138">
        <f>+Driver!AL71</f>
        <v>30000</v>
      </c>
      <c r="JY8" s="1138">
        <f>+JP8+JT8</f>
        <v>22634</v>
      </c>
      <c r="JZ8" s="899"/>
      <c r="KA8" s="1271"/>
      <c r="KB8" s="540">
        <f>+KC8-JL8</f>
        <v>7444</v>
      </c>
      <c r="KC8" s="540">
        <v>15000</v>
      </c>
      <c r="KD8" s="540">
        <f t="shared" ref="KD8:KD10" si="12">+KH8-KC8</f>
        <v>14800</v>
      </c>
      <c r="KE8" s="540">
        <f>+KG8-JP8</f>
        <v>14766</v>
      </c>
      <c r="KF8" s="540">
        <f>+KG8-JS8</f>
        <v>6825</v>
      </c>
      <c r="KG8" s="540">
        <v>29800</v>
      </c>
      <c r="KH8" s="540">
        <v>29800</v>
      </c>
      <c r="KI8" s="1271"/>
      <c r="KJ8" s="899"/>
      <c r="KK8" s="541">
        <f>KL8-IZ8</f>
        <v>6373</v>
      </c>
      <c r="KL8" s="530">
        <f>KM8-IX8</f>
        <v>13700</v>
      </c>
      <c r="KM8" s="540">
        <v>28000</v>
      </c>
      <c r="KN8" s="899"/>
      <c r="KO8" s="540">
        <v>13000</v>
      </c>
      <c r="KP8" s="530">
        <v>13300</v>
      </c>
      <c r="KQ8" s="531">
        <v>26300</v>
      </c>
      <c r="KR8" s="530">
        <v>13567</v>
      </c>
      <c r="KS8" s="531">
        <v>25700</v>
      </c>
      <c r="KT8" s="530">
        <f>+KU8-IE8</f>
        <v>6562</v>
      </c>
      <c r="KU8" s="530">
        <v>12800</v>
      </c>
      <c r="KV8" s="530">
        <f>+KW8-KU8</f>
        <v>13500</v>
      </c>
      <c r="KW8" s="531">
        <v>26300</v>
      </c>
      <c r="KX8" s="530">
        <f>+KY8-HN8</f>
        <v>9989</v>
      </c>
      <c r="KY8" s="530">
        <f>+KZ8-HI8</f>
        <v>17109</v>
      </c>
      <c r="KZ8" s="531">
        <v>30000</v>
      </c>
      <c r="LA8" s="530">
        <v>15500</v>
      </c>
      <c r="LB8" s="530">
        <f>+LC8-LA8</f>
        <v>15800</v>
      </c>
      <c r="LC8" s="531">
        <v>31300</v>
      </c>
      <c r="LD8" s="531"/>
      <c r="LE8" s="530">
        <f>+LF8-GR8</f>
        <v>10834</v>
      </c>
      <c r="LF8" s="530">
        <f>+LG8-GP8</f>
        <v>18873</v>
      </c>
      <c r="LG8" s="531">
        <v>33800</v>
      </c>
    </row>
    <row r="9" spans="1:319" s="498" customFormat="1" ht="12">
      <c r="A9" s="477"/>
      <c r="B9" s="478"/>
      <c r="C9" s="1676" t="s">
        <v>1443</v>
      </c>
      <c r="D9" s="480"/>
      <c r="E9" s="477"/>
      <c r="F9" s="477"/>
      <c r="G9" s="481"/>
      <c r="H9" s="482"/>
      <c r="I9" s="482"/>
      <c r="J9" s="483"/>
      <c r="K9" s="484"/>
      <c r="L9" s="484"/>
      <c r="M9" s="484"/>
      <c r="N9" s="484"/>
      <c r="O9" s="484"/>
      <c r="P9" s="484"/>
      <c r="Q9" s="484"/>
      <c r="R9" s="484"/>
      <c r="S9" s="485"/>
      <c r="T9" s="484"/>
      <c r="U9" s="484"/>
      <c r="V9" s="484"/>
      <c r="W9" s="484"/>
      <c r="X9" s="484"/>
      <c r="Y9" s="484"/>
      <c r="Z9" s="484"/>
      <c r="AA9" s="484"/>
      <c r="AB9" s="485"/>
      <c r="AC9" s="486"/>
      <c r="AD9" s="486"/>
      <c r="AE9" s="486"/>
      <c r="AF9" s="486"/>
      <c r="AG9" s="486"/>
      <c r="AH9" s="486"/>
      <c r="AI9" s="486"/>
      <c r="AJ9" s="486"/>
      <c r="AK9" s="480"/>
      <c r="AL9" s="486"/>
      <c r="AM9" s="486"/>
      <c r="AN9" s="486"/>
      <c r="AO9" s="486"/>
      <c r="AP9" s="486"/>
      <c r="AQ9" s="486"/>
      <c r="AR9" s="486"/>
      <c r="AS9" s="486"/>
      <c r="AT9" s="480"/>
      <c r="AU9" s="486"/>
      <c r="AV9" s="486"/>
      <c r="AW9" s="486"/>
      <c r="AX9" s="486"/>
      <c r="AY9" s="486"/>
      <c r="AZ9" s="486"/>
      <c r="BA9" s="486"/>
      <c r="BB9" s="487"/>
      <c r="BC9" s="487"/>
      <c r="BD9" s="488"/>
      <c r="BE9" s="486"/>
      <c r="BF9" s="480"/>
      <c r="BG9" s="486"/>
      <c r="BH9" s="486"/>
      <c r="BI9" s="486"/>
      <c r="BJ9" s="480"/>
      <c r="BK9" s="477"/>
      <c r="BL9" s="477"/>
      <c r="BM9" s="477"/>
      <c r="BN9" s="477"/>
      <c r="BO9" s="480"/>
      <c r="BP9" s="486"/>
      <c r="BQ9" s="488"/>
      <c r="BR9" s="486"/>
      <c r="BS9" s="488"/>
      <c r="BT9" s="486"/>
      <c r="BU9" s="486"/>
      <c r="BV9" s="486"/>
      <c r="BW9" s="488"/>
      <c r="BX9" s="486"/>
      <c r="BY9" s="486"/>
      <c r="BZ9" s="488"/>
      <c r="CA9" s="488"/>
      <c r="CB9" s="486"/>
      <c r="CC9" s="486"/>
      <c r="CD9" s="486"/>
      <c r="CE9" s="486"/>
      <c r="CF9" s="480"/>
      <c r="CG9" s="489"/>
      <c r="CH9" s="490"/>
      <c r="CI9" s="477"/>
      <c r="CJ9" s="490"/>
      <c r="CK9" s="490"/>
      <c r="CL9" s="490"/>
      <c r="CM9" s="490"/>
      <c r="CN9" s="490"/>
      <c r="CO9" s="490"/>
      <c r="CP9" s="490"/>
      <c r="CQ9" s="490"/>
      <c r="CR9" s="490"/>
      <c r="CS9" s="490"/>
      <c r="CT9" s="490"/>
      <c r="CU9" s="490"/>
      <c r="CV9" s="490"/>
      <c r="CW9" s="491"/>
      <c r="CX9" s="492"/>
      <c r="CY9" s="492"/>
      <c r="CZ9" s="492"/>
      <c r="DA9" s="492"/>
      <c r="DB9" s="492"/>
      <c r="DC9" s="492"/>
      <c r="DD9" s="492"/>
      <c r="DE9" s="492"/>
      <c r="DF9" s="492"/>
      <c r="DG9" s="492"/>
      <c r="DH9" s="492"/>
      <c r="DI9" s="492"/>
      <c r="DJ9" s="492"/>
      <c r="DK9" s="492"/>
      <c r="DL9" s="493"/>
      <c r="DM9" s="494"/>
      <c r="DN9" s="487"/>
      <c r="DO9" s="487"/>
      <c r="DP9" s="495"/>
      <c r="DQ9" s="495"/>
      <c r="DR9" s="495"/>
      <c r="DS9" s="496"/>
      <c r="DT9" s="494"/>
      <c r="DU9" s="487"/>
      <c r="DV9" s="487"/>
      <c r="DW9" s="490"/>
      <c r="DX9" s="495"/>
      <c r="DY9" s="495"/>
      <c r="DZ9" s="497"/>
      <c r="EB9" s="490"/>
      <c r="EC9" s="495"/>
      <c r="ED9" s="499"/>
      <c r="EE9" s="480"/>
      <c r="EF9" s="477"/>
      <c r="EG9" s="500"/>
      <c r="EH9" s="482"/>
      <c r="EI9" s="482"/>
      <c r="EJ9" s="482"/>
      <c r="EK9" s="482"/>
      <c r="EL9" s="482"/>
      <c r="EM9" s="482"/>
      <c r="EN9" s="482"/>
      <c r="EO9" s="482"/>
      <c r="EP9" s="482"/>
      <c r="EQ9" s="482"/>
      <c r="ER9" s="482"/>
      <c r="ES9" s="482"/>
      <c r="ET9" s="482"/>
      <c r="EU9" s="483"/>
      <c r="EV9" s="501"/>
      <c r="EW9" s="482"/>
      <c r="EX9" s="482"/>
      <c r="EY9" s="482"/>
      <c r="EZ9" s="482"/>
      <c r="FA9" s="482"/>
      <c r="FB9" s="482"/>
      <c r="FC9" s="482"/>
      <c r="FD9" s="482"/>
      <c r="FE9" s="482"/>
      <c r="FF9" s="482"/>
      <c r="FG9" s="482"/>
      <c r="FH9" s="482"/>
      <c r="FI9" s="482"/>
      <c r="FJ9" s="482"/>
      <c r="FK9" s="483"/>
      <c r="FL9" s="493"/>
      <c r="FM9" s="487"/>
      <c r="FN9" s="495"/>
      <c r="FO9" s="495"/>
      <c r="FP9" s="495"/>
      <c r="FQ9" s="496"/>
      <c r="FR9" s="496"/>
      <c r="FS9" s="482"/>
      <c r="FT9" s="503"/>
      <c r="FU9" s="503"/>
      <c r="FV9" s="482"/>
      <c r="FW9" s="503"/>
      <c r="FX9" s="503"/>
      <c r="FY9" s="482"/>
      <c r="FZ9" s="482"/>
      <c r="GA9" s="482"/>
      <c r="GB9" s="482"/>
      <c r="GC9" s="482"/>
      <c r="GD9" s="483"/>
      <c r="GE9" s="482"/>
      <c r="GF9" s="482"/>
      <c r="GG9" s="482"/>
      <c r="GH9" s="503"/>
      <c r="GI9" s="503"/>
      <c r="GJ9" s="504"/>
      <c r="GK9" s="503"/>
      <c r="GL9" s="503"/>
      <c r="GM9" s="503"/>
      <c r="GN9" s="503"/>
      <c r="GO9" s="503"/>
      <c r="GP9" s="503"/>
      <c r="GQ9" s="503"/>
      <c r="GR9" s="482"/>
      <c r="GS9" s="482"/>
      <c r="GT9" s="482"/>
      <c r="GU9" s="482"/>
      <c r="GV9" s="483"/>
      <c r="GW9" s="482"/>
      <c r="GX9" s="503"/>
      <c r="GY9" s="503"/>
      <c r="GZ9" s="503"/>
      <c r="HA9" s="505"/>
      <c r="HB9" s="503"/>
      <c r="HC9" s="503"/>
      <c r="HD9" s="503"/>
      <c r="HE9" s="503"/>
      <c r="HF9" s="503"/>
      <c r="HG9" s="503"/>
      <c r="HH9" s="503"/>
      <c r="HI9" s="503"/>
      <c r="HJ9" s="503"/>
      <c r="HK9" s="503"/>
      <c r="HL9" s="503"/>
      <c r="HM9" s="503"/>
      <c r="HN9" s="482"/>
      <c r="HO9" s="482"/>
      <c r="HP9" s="482"/>
      <c r="HQ9" s="482"/>
      <c r="HR9" s="482"/>
      <c r="HS9" s="482"/>
      <c r="HT9" s="482"/>
      <c r="HU9" s="482"/>
      <c r="HV9" s="482"/>
      <c r="HW9" s="503"/>
      <c r="HX9" s="503"/>
      <c r="HY9" s="503"/>
      <c r="HZ9" s="482"/>
      <c r="IA9" s="503"/>
      <c r="IB9" s="503"/>
      <c r="IC9" s="505"/>
      <c r="ID9" s="503"/>
      <c r="IE9" s="506">
        <f>+IE8/HE8-1</f>
        <v>-6.5047961630695483E-2</v>
      </c>
      <c r="IF9" s="503">
        <f>IF8/HH8-1</f>
        <v>9.0722355357755191E-3</v>
      </c>
      <c r="IG9" s="503">
        <f>IG8/HM8-1</f>
        <v>-3.0445900591337671E-2</v>
      </c>
      <c r="IH9" s="503">
        <f>+IH8/HO8-1</f>
        <v>-0.11147455187753497</v>
      </c>
      <c r="II9" s="503"/>
      <c r="IJ9" s="503">
        <f>+IJ8/HQ8-1</f>
        <v>-6.1169816937044152E-2</v>
      </c>
      <c r="IK9" s="503"/>
      <c r="IL9" s="503">
        <f>(IL8-HS8)/HS8</f>
        <v>0.3086366573336205</v>
      </c>
      <c r="IM9" s="503">
        <f>+IM8/HS8-1</f>
        <v>0.30863665733362056</v>
      </c>
      <c r="IN9" s="503">
        <f>IN8/HU8-1</f>
        <v>4.7289597916327475E-2</v>
      </c>
      <c r="IO9" s="503">
        <f>+IO8/HU8-1</f>
        <v>4.7289597916327475E-2</v>
      </c>
      <c r="IP9" s="501">
        <f>(IP8-HZ8)/HZ8</f>
        <v>8.0645161290322578E-3</v>
      </c>
      <c r="IQ9" s="503">
        <v>5.5457746478873242E-2</v>
      </c>
      <c r="IR9" s="501">
        <f>+IR8/HZ8-1</f>
        <v>8.0645161290322509E-3</v>
      </c>
      <c r="IS9" s="506"/>
      <c r="IT9" s="503"/>
      <c r="IU9" s="503">
        <f>+IU8/IE8-1</f>
        <v>0.17024687399807625</v>
      </c>
      <c r="IV9" s="503">
        <f>(IV8-IF8)/IF8</f>
        <v>0.18744698897370654</v>
      </c>
      <c r="IW9" s="503">
        <v>0.20262094696578453</v>
      </c>
      <c r="IX9" s="503">
        <f>(IX8-IG8)/IG8</f>
        <v>0.17860380779691751</v>
      </c>
      <c r="IY9" s="503">
        <v>0.21751721551897449</v>
      </c>
      <c r="IZ9" s="503">
        <f>(IZ8-IH8)/IH8</f>
        <v>7.8927992931821525E-2</v>
      </c>
      <c r="JA9" s="503">
        <f>(JA8-IJ8)/IJ8</f>
        <v>0.14283449587824984</v>
      </c>
      <c r="JB9" s="503">
        <f>(JB8-IM8)/IM8</f>
        <v>0.13545095457537853</v>
      </c>
      <c r="JC9" s="503">
        <f>(JC8-IO8)/IO8</f>
        <v>0.10561902541384938</v>
      </c>
      <c r="JD9" s="503">
        <f>(JD8-IR8)/IR8</f>
        <v>0.14104</v>
      </c>
      <c r="JE9" s="503"/>
      <c r="JF9" s="503"/>
      <c r="JG9" s="503"/>
      <c r="JH9" s="501"/>
      <c r="JI9" s="506"/>
      <c r="JJ9" s="1667">
        <v>4.4999999999999998E-2</v>
      </c>
      <c r="JK9" s="1668">
        <v>3.5000000000000003E-2</v>
      </c>
      <c r="JL9" s="1670">
        <f>+JL8/IU8-1</f>
        <v>3.5068493150684832E-2</v>
      </c>
      <c r="JM9" s="1670">
        <f t="shared" ref="JM9" si="13">+JM8/IV8-1</f>
        <v>6.8285714285714283E-2</v>
      </c>
      <c r="JN9" s="1670">
        <f>+JN8/IZ8-1</f>
        <v>8.3799645148082469E-2</v>
      </c>
      <c r="JO9" s="1670">
        <f>+JO8/JB8-1</f>
        <v>-1</v>
      </c>
      <c r="JP9" s="1670">
        <f>+JP8/IX8-1</f>
        <v>5.132867132867136E-2</v>
      </c>
      <c r="JQ9" s="1670">
        <f>+JQ8/JC8-1</f>
        <v>-1</v>
      </c>
      <c r="JR9" s="1670">
        <f>+JR8/JD8-1</f>
        <v>-1</v>
      </c>
      <c r="JS9" s="1670">
        <f>+JS8/JA8-1</f>
        <v>6.2329495537984947E-2</v>
      </c>
      <c r="JT9" s="1668">
        <v>3.5000000000000003E-2</v>
      </c>
      <c r="JU9" s="1670">
        <f>+JU8/JB8-1</f>
        <v>1.8263516451659578E-2</v>
      </c>
      <c r="JV9" s="1670">
        <f>+JV8/IX8-1</f>
        <v>3.1888111888111803E-2</v>
      </c>
      <c r="JW9" s="1670">
        <f>+JW8/JC8-1</f>
        <v>5.2017432869394087E-2</v>
      </c>
      <c r="JX9" s="1670">
        <f>+JX8/JD8-1</f>
        <v>5.167215873238451E-2</v>
      </c>
      <c r="JY9" s="1670">
        <f>+JY8/JA8-1</f>
        <v>4.6562167660794351E-2</v>
      </c>
      <c r="JZ9" s="503"/>
      <c r="KA9" s="501"/>
      <c r="KB9" s="495"/>
      <c r="KC9" s="495">
        <f>+KC8/IX8-1</f>
        <v>4.8951048951048959E-2</v>
      </c>
      <c r="KD9" s="495">
        <f>+KD8/JC8-1</f>
        <v>4.0348657387881293E-2</v>
      </c>
      <c r="KE9" s="495">
        <f>+KE8/JC8-1</f>
        <v>3.7958667229017307E-2</v>
      </c>
      <c r="KF9" s="495">
        <f>+KF8/JB8-1</f>
        <v>-1.0726192201768403E-2</v>
      </c>
      <c r="KG9" s="495">
        <f>+KG8/JD8-1</f>
        <v>4.4661011007501861E-2</v>
      </c>
      <c r="KH9" s="495">
        <f>+KH8/JD8-1</f>
        <v>4.4661011007501861E-2</v>
      </c>
      <c r="KI9" s="501"/>
      <c r="KJ9" s="503"/>
      <c r="KK9" s="503"/>
      <c r="KL9" s="503"/>
      <c r="KM9" s="495"/>
      <c r="KN9" s="503"/>
      <c r="KO9" s="495"/>
      <c r="KP9" s="495"/>
      <c r="KQ9" s="496"/>
      <c r="KR9" s="495"/>
      <c r="KS9" s="496"/>
      <c r="KT9" s="495"/>
      <c r="KU9" s="495"/>
      <c r="KV9" s="495"/>
      <c r="KW9" s="496"/>
      <c r="KX9" s="495"/>
      <c r="KY9" s="495"/>
      <c r="KZ9" s="496"/>
      <c r="LA9" s="495"/>
      <c r="LB9" s="495"/>
      <c r="LC9" s="496"/>
      <c r="LD9" s="496"/>
      <c r="LE9" s="495"/>
      <c r="LF9" s="495"/>
      <c r="LG9" s="496"/>
    </row>
    <row r="10" spans="1:319" s="532" customFormat="1">
      <c r="A10" s="520"/>
      <c r="B10" s="521" t="s">
        <v>640</v>
      </c>
      <c r="C10" s="522" t="s">
        <v>432</v>
      </c>
      <c r="D10" s="523"/>
      <c r="E10" s="520"/>
      <c r="F10" s="520"/>
      <c r="G10" s="522"/>
      <c r="H10" s="520"/>
      <c r="I10" s="520"/>
      <c r="J10" s="522"/>
      <c r="K10" s="524"/>
      <c r="L10" s="524"/>
      <c r="M10" s="524"/>
      <c r="N10" s="524"/>
      <c r="O10" s="524"/>
      <c r="P10" s="524"/>
      <c r="Q10" s="524"/>
      <c r="R10" s="524"/>
      <c r="S10" s="525"/>
      <c r="T10" s="524">
        <v>14100</v>
      </c>
      <c r="U10" s="524">
        <f>+Y10-T10</f>
        <v>13612</v>
      </c>
      <c r="V10" s="524">
        <f>+X10-Y10</f>
        <v>16078</v>
      </c>
      <c r="W10" s="524">
        <f>+Z10-V10</f>
        <v>15435</v>
      </c>
      <c r="X10" s="524">
        <v>43790</v>
      </c>
      <c r="Y10" s="524">
        <v>27712</v>
      </c>
      <c r="Z10" s="524">
        <f>+AA10-Y10</f>
        <v>31513</v>
      </c>
      <c r="AA10" s="524">
        <v>59225</v>
      </c>
      <c r="AB10" s="525"/>
      <c r="AC10" s="524">
        <v>11657</v>
      </c>
      <c r="AD10" s="524">
        <f>+AH10-AC10</f>
        <v>12254</v>
      </c>
      <c r="AE10" s="524">
        <f>+AG10-AH10</f>
        <v>12039</v>
      </c>
      <c r="AF10" s="524">
        <f>+AI10-AE10</f>
        <v>14241</v>
      </c>
      <c r="AG10" s="524">
        <v>35950</v>
      </c>
      <c r="AH10" s="524">
        <v>23911</v>
      </c>
      <c r="AI10" s="524">
        <f>+AJ10-AH10</f>
        <v>26280</v>
      </c>
      <c r="AJ10" s="524">
        <v>50191</v>
      </c>
      <c r="AK10" s="523"/>
      <c r="AL10" s="524">
        <v>12212</v>
      </c>
      <c r="AM10" s="524">
        <f>+AQ10-AL10</f>
        <v>13209</v>
      </c>
      <c r="AN10" s="524">
        <f>+AP10-AQ10</f>
        <v>14526</v>
      </c>
      <c r="AO10" s="524">
        <f>+AR10-AN10</f>
        <v>17612</v>
      </c>
      <c r="AP10" s="524">
        <v>39947</v>
      </c>
      <c r="AQ10" s="524">
        <v>25421</v>
      </c>
      <c r="AR10" s="524">
        <f>+AS10-AQ10</f>
        <v>32138</v>
      </c>
      <c r="AS10" s="524">
        <v>57559</v>
      </c>
      <c r="AT10" s="523"/>
      <c r="AU10" s="524">
        <v>13689</v>
      </c>
      <c r="AV10" s="524">
        <f>+BB10-AU10</f>
        <v>14823</v>
      </c>
      <c r="AW10" s="524">
        <f>+BA10-BB10</f>
        <v>19851</v>
      </c>
      <c r="AX10" s="524">
        <v>17588</v>
      </c>
      <c r="AY10" s="524">
        <f>+BC10-AW10</f>
        <v>22287</v>
      </c>
      <c r="AZ10" s="524">
        <v>46100</v>
      </c>
      <c r="BA10" s="524">
        <v>48363</v>
      </c>
      <c r="BB10" s="526">
        <v>28512</v>
      </c>
      <c r="BC10" s="526">
        <f>+BE10-BB10</f>
        <v>42138</v>
      </c>
      <c r="BD10" s="524">
        <v>71743.905192657578</v>
      </c>
      <c r="BE10" s="524">
        <v>70650</v>
      </c>
      <c r="BF10" s="523"/>
      <c r="BG10" s="524">
        <f>+BH10-AW10</f>
        <v>-48363</v>
      </c>
      <c r="BH10" s="524">
        <f>+BI10-BB10</f>
        <v>-28512</v>
      </c>
      <c r="BI10" s="524"/>
      <c r="BJ10" s="523"/>
      <c r="BK10" s="520">
        <v>30000</v>
      </c>
      <c r="BL10" s="520">
        <v>30000</v>
      </c>
      <c r="BM10" s="520">
        <v>60000</v>
      </c>
      <c r="BN10" s="520"/>
      <c r="BO10" s="523"/>
      <c r="BP10" s="524">
        <v>16745</v>
      </c>
      <c r="BQ10" s="524">
        <v>15742.349999999999</v>
      </c>
      <c r="BR10" s="524">
        <f>BY10-BP10</f>
        <v>18512</v>
      </c>
      <c r="BS10" s="524">
        <v>21000</v>
      </c>
      <c r="BT10" s="524">
        <f t="shared" si="4"/>
        <v>22015</v>
      </c>
      <c r="BU10" s="524">
        <v>17728</v>
      </c>
      <c r="BV10" s="524">
        <f>CC10-BT10</f>
        <v>18150</v>
      </c>
      <c r="BW10" s="524">
        <v>56257</v>
      </c>
      <c r="BX10" s="524">
        <v>57272</v>
      </c>
      <c r="BY10" s="524">
        <v>35257</v>
      </c>
      <c r="BZ10" s="524">
        <v>31742.35</v>
      </c>
      <c r="CA10" s="524">
        <f>CA17*CA18</f>
        <v>37309.320762649055</v>
      </c>
      <c r="CB10" s="524">
        <v>39743</v>
      </c>
      <c r="CC10" s="524">
        <f>CE10-BY10</f>
        <v>40165</v>
      </c>
      <c r="CD10" s="524">
        <v>75000</v>
      </c>
      <c r="CE10" s="524">
        <v>75422</v>
      </c>
      <c r="CF10" s="523"/>
      <c r="CG10" s="527">
        <v>16571</v>
      </c>
      <c r="CH10" s="520">
        <v>16900</v>
      </c>
      <c r="CI10" s="520"/>
      <c r="CJ10" s="520">
        <f>CR10-CG10</f>
        <v>22289</v>
      </c>
      <c r="CK10" s="520">
        <v>21088.568367534157</v>
      </c>
      <c r="CL10" s="528">
        <f>CP10-CR10</f>
        <v>25529</v>
      </c>
      <c r="CM10" s="520">
        <v>21449.845127502362</v>
      </c>
      <c r="CN10" s="520">
        <v>20811</v>
      </c>
      <c r="CO10" s="520">
        <f>CW10-CP10</f>
        <v>21656</v>
      </c>
      <c r="CP10" s="520">
        <v>64389</v>
      </c>
      <c r="CQ10" s="520">
        <v>60309.845127502362</v>
      </c>
      <c r="CR10" s="520">
        <v>38860</v>
      </c>
      <c r="CS10" s="520">
        <v>37659.568367534157</v>
      </c>
      <c r="CT10" s="520">
        <v>46340</v>
      </c>
      <c r="CU10" s="520">
        <f t="shared" ref="CU10:CU18" si="14">CW10-CR10</f>
        <v>47185</v>
      </c>
      <c r="CV10" s="520">
        <v>85200</v>
      </c>
      <c r="CW10" s="522">
        <v>86045</v>
      </c>
      <c r="CX10" s="520"/>
      <c r="CY10" s="520">
        <v>19426</v>
      </c>
      <c r="CZ10" s="520">
        <f>+DB10-CY10</f>
        <v>21023</v>
      </c>
      <c r="DA10" s="520" t="e">
        <f>DA17*DA18</f>
        <v>#REF!</v>
      </c>
      <c r="DB10" s="520">
        <v>40449</v>
      </c>
      <c r="DC10" s="520">
        <f>+DG10-DB10</f>
        <v>20948</v>
      </c>
      <c r="DD10" s="520">
        <f>DH10-DB10</f>
        <v>21888.543890775014</v>
      </c>
      <c r="DE10" s="520">
        <f t="shared" si="5"/>
        <v>15949</v>
      </c>
      <c r="DF10" s="520">
        <f>+DL10-DG10</f>
        <v>17303</v>
      </c>
      <c r="DG10" s="520">
        <v>61397</v>
      </c>
      <c r="DH10" s="520">
        <f>DH17*DH18</f>
        <v>62337.543890775014</v>
      </c>
      <c r="DI10" s="520">
        <f t="shared" si="3"/>
        <v>36897</v>
      </c>
      <c r="DJ10" s="520">
        <f>DL10-DB10</f>
        <v>38251</v>
      </c>
      <c r="DK10" s="520">
        <v>77346</v>
      </c>
      <c r="DL10" s="529">
        <v>78700</v>
      </c>
      <c r="DM10" s="529"/>
      <c r="DN10" s="524"/>
      <c r="DO10" s="524"/>
      <c r="DP10" s="530"/>
      <c r="DQ10" s="530">
        <f>+DR10-DC10</f>
        <v>22803</v>
      </c>
      <c r="DR10" s="530">
        <f>+DS10-DB10</f>
        <v>43751</v>
      </c>
      <c r="DS10" s="531">
        <v>84200</v>
      </c>
      <c r="DT10" s="529"/>
      <c r="DU10" s="524"/>
      <c r="DV10" s="524">
        <f>DW10-CY10</f>
        <v>23774</v>
      </c>
      <c r="DW10" s="528">
        <v>43200</v>
      </c>
      <c r="DX10" s="530">
        <f>DY10-DB10</f>
        <v>47451</v>
      </c>
      <c r="DY10" s="530">
        <v>87900</v>
      </c>
      <c r="DZ10" s="523"/>
      <c r="EB10" s="528">
        <f>ED10-CP10</f>
        <v>11311</v>
      </c>
      <c r="EC10" s="530">
        <f>ED10-CR10</f>
        <v>36840</v>
      </c>
      <c r="ED10" s="529">
        <v>75700</v>
      </c>
      <c r="EE10" s="523"/>
      <c r="EF10" s="520"/>
      <c r="EG10" s="527">
        <v>15905</v>
      </c>
      <c r="EH10" s="520">
        <f>+EH17*EH18</f>
        <v>0</v>
      </c>
      <c r="EI10" s="520">
        <f t="shared" si="6"/>
        <v>16636</v>
      </c>
      <c r="EJ10" s="520">
        <f>EL10-EG10</f>
        <v>17701.701631701631</v>
      </c>
      <c r="EK10" s="520">
        <v>32541</v>
      </c>
      <c r="EL10" s="520">
        <f>EL17*EL18</f>
        <v>33606.701631701631</v>
      </c>
      <c r="EM10" s="520">
        <f>+EO10-EK10</f>
        <v>24159</v>
      </c>
      <c r="EN10" s="542">
        <f>+EN17*EN18</f>
        <v>18998.955262467349</v>
      </c>
      <c r="EO10" s="520">
        <v>56700</v>
      </c>
      <c r="EP10" s="520">
        <f>+EP17*EP18</f>
        <v>56032.255608830543</v>
      </c>
      <c r="EQ10" s="520">
        <f t="shared" si="7"/>
        <v>16335</v>
      </c>
      <c r="ER10" s="520"/>
      <c r="ES10" s="520">
        <f t="shared" si="8"/>
        <v>40494</v>
      </c>
      <c r="ET10" s="520"/>
      <c r="EU10" s="522">
        <v>73035</v>
      </c>
      <c r="EV10" s="533"/>
      <c r="EW10" s="520">
        <v>16289.648892773892</v>
      </c>
      <c r="EX10" s="520">
        <v>16903</v>
      </c>
      <c r="EY10" s="520">
        <v>19273.662144186048</v>
      </c>
      <c r="EZ10" s="520">
        <f>+FB10-EX10</f>
        <v>20204</v>
      </c>
      <c r="FA10" s="520">
        <v>36176.662144186048</v>
      </c>
      <c r="FB10" s="520">
        <v>37107</v>
      </c>
      <c r="FC10" s="543">
        <f>+FE10-FB10</f>
        <v>19954</v>
      </c>
      <c r="FD10" s="543">
        <v>15095.549575070821</v>
      </c>
      <c r="FE10" s="543">
        <v>57061</v>
      </c>
      <c r="FF10" s="543">
        <v>52202.549575070821</v>
      </c>
      <c r="FG10" s="543">
        <f>FK10-FE10</f>
        <v>15987</v>
      </c>
      <c r="FH10" s="520">
        <f>+FL10-FE10</f>
        <v>15987</v>
      </c>
      <c r="FI10" s="520">
        <f>FK10-FB10</f>
        <v>35941</v>
      </c>
      <c r="FJ10" s="520">
        <f>+FL10-FB10</f>
        <v>35941</v>
      </c>
      <c r="FK10" s="522">
        <v>73048</v>
      </c>
      <c r="FL10" s="529">
        <f>Driver!AD74</f>
        <v>73048</v>
      </c>
      <c r="FM10" s="524">
        <f>+FN10-EX10</f>
        <v>18497</v>
      </c>
      <c r="FN10" s="530">
        <v>35400</v>
      </c>
      <c r="FO10" s="530">
        <f>+FQ10-FE10</f>
        <v>18639</v>
      </c>
      <c r="FP10" s="530">
        <f>+FQ10-FB10</f>
        <v>38593</v>
      </c>
      <c r="FQ10" s="531">
        <v>75700</v>
      </c>
      <c r="FR10" s="531"/>
      <c r="FS10" s="520">
        <v>18975</v>
      </c>
      <c r="FT10" s="530">
        <f>FT17*FT18</f>
        <v>17769.588245802075</v>
      </c>
      <c r="FU10" s="530">
        <f>FW10-FS10</f>
        <v>20075</v>
      </c>
      <c r="FV10" s="520">
        <f>+FY10-FS10</f>
        <v>21796</v>
      </c>
      <c r="FW10" s="530">
        <f>FW17*FW18</f>
        <v>39050</v>
      </c>
      <c r="FX10" s="530"/>
      <c r="FY10" s="520">
        <v>40771</v>
      </c>
      <c r="FZ10" s="543">
        <f>+GA10-FY10</f>
        <v>20536</v>
      </c>
      <c r="GA10" s="543">
        <v>61307</v>
      </c>
      <c r="GB10" s="520">
        <f>+GD10-GA10</f>
        <v>22479</v>
      </c>
      <c r="GC10" s="543">
        <f>+GD10-FY10</f>
        <v>43015</v>
      </c>
      <c r="GD10" s="522">
        <v>83786</v>
      </c>
      <c r="GE10" s="543">
        <v>82800</v>
      </c>
      <c r="GF10" s="520">
        <f>GF17*GF18</f>
        <v>20307.991068022438</v>
      </c>
      <c r="GG10" s="520">
        <f>GH10-FZ10</f>
        <v>22479</v>
      </c>
      <c r="GH10" s="530">
        <f>GI10-FY10</f>
        <v>43015</v>
      </c>
      <c r="GI10" s="530">
        <f>Segments!O21</f>
        <v>83786</v>
      </c>
      <c r="GJ10" s="534"/>
      <c r="GK10" s="530">
        <f>GK17*GK18</f>
        <v>20038.424626527842</v>
      </c>
      <c r="GL10" s="530">
        <v>19761</v>
      </c>
      <c r="GM10" s="530">
        <f>GN10-GK10</f>
        <v>21397.287337874885</v>
      </c>
      <c r="GN10" s="530">
        <f>GN17*GN18</f>
        <v>41435.711964402726</v>
      </c>
      <c r="GO10" s="530">
        <f>+GP10-GL10</f>
        <v>22099</v>
      </c>
      <c r="GP10" s="530">
        <v>41860</v>
      </c>
      <c r="GQ10" s="530">
        <f>GQ17*GQ18</f>
        <v>22262.896907485687</v>
      </c>
      <c r="GR10" s="543">
        <f>+GS10-GP10</f>
        <v>23684</v>
      </c>
      <c r="GS10" s="543">
        <v>65544</v>
      </c>
      <c r="GT10" s="520">
        <f>+GU10-GR10</f>
        <v>23448</v>
      </c>
      <c r="GU10" s="543">
        <f>+GV10-GP10</f>
        <v>47132</v>
      </c>
      <c r="GV10" s="544">
        <v>88992</v>
      </c>
      <c r="GW10" s="543">
        <v>92300</v>
      </c>
      <c r="GX10" s="530">
        <f>GY10-GR10</f>
        <v>23448</v>
      </c>
      <c r="GY10" s="530">
        <f>GZ10-GP10</f>
        <v>47132</v>
      </c>
      <c r="GZ10" s="530">
        <f>Segments!P21</f>
        <v>88992</v>
      </c>
      <c r="HA10" s="534"/>
      <c r="HB10" s="530">
        <f>HB17*HB18</f>
        <v>23372.082041763344</v>
      </c>
      <c r="HC10" s="530"/>
      <c r="HD10" s="530">
        <v>23682</v>
      </c>
      <c r="HE10" s="530">
        <v>23682</v>
      </c>
      <c r="HF10" s="530">
        <f>+HI10-HD10</f>
        <v>20864</v>
      </c>
      <c r="HG10" s="530">
        <f>+HL10-HE10</f>
        <v>20813.412844036691</v>
      </c>
      <c r="HH10" s="530">
        <f t="shared" si="9"/>
        <v>20864</v>
      </c>
      <c r="HI10" s="530">
        <v>44546</v>
      </c>
      <c r="HJ10" s="530">
        <f>HK10-HB10</f>
        <v>44572.589643842184</v>
      </c>
      <c r="HK10" s="530">
        <f>HK17*HK18</f>
        <v>67944.671685605528</v>
      </c>
      <c r="HL10" s="530">
        <f>KU10/1.09</f>
        <v>44495.412844036691</v>
      </c>
      <c r="HM10" s="530">
        <v>44546</v>
      </c>
      <c r="HN10" s="543">
        <f>+HP10-HI10</f>
        <v>21319</v>
      </c>
      <c r="HO10" s="543">
        <f>+HQ10-HM10</f>
        <v>21319</v>
      </c>
      <c r="HP10" s="543">
        <v>65865</v>
      </c>
      <c r="HQ10" s="545">
        <v>65865</v>
      </c>
      <c r="HR10" s="520">
        <f>+HT10-HN10</f>
        <v>28137</v>
      </c>
      <c r="HS10" s="520">
        <f>HU10-HO10</f>
        <v>28135</v>
      </c>
      <c r="HT10" s="543">
        <f>+HV10-HI10</f>
        <v>49456</v>
      </c>
      <c r="HU10" s="543">
        <f>HZ10-HM10</f>
        <v>49454</v>
      </c>
      <c r="HV10" s="543">
        <v>94002</v>
      </c>
      <c r="HW10" s="530">
        <f>HW17*HW18</f>
        <v>22333.302072169558</v>
      </c>
      <c r="HX10" s="530">
        <f>HY10-HN10</f>
        <v>28137</v>
      </c>
      <c r="HY10" s="530">
        <f>IB10-HI10</f>
        <v>49456</v>
      </c>
      <c r="HZ10" s="543">
        <v>94000</v>
      </c>
      <c r="IA10" s="530">
        <v>92200</v>
      </c>
      <c r="IB10" s="530">
        <f>Segments!Q21</f>
        <v>94002</v>
      </c>
      <c r="IC10" s="534"/>
      <c r="ID10" s="530">
        <f>ID17*ID18</f>
        <v>23459.933153839014</v>
      </c>
      <c r="IE10" s="536">
        <v>24159</v>
      </c>
      <c r="IF10" s="530">
        <f>IG10-IE10</f>
        <v>25899</v>
      </c>
      <c r="IG10" s="537">
        <v>50058</v>
      </c>
      <c r="IH10" s="530">
        <f>+IJ10-IG10</f>
        <v>29529</v>
      </c>
      <c r="II10" s="538">
        <v>29000</v>
      </c>
      <c r="IJ10" s="538">
        <v>79587</v>
      </c>
      <c r="IK10" s="530">
        <f>+IP10-IL10</f>
        <v>79587</v>
      </c>
      <c r="IL10" s="530">
        <f>IN10-IH10</f>
        <v>34613</v>
      </c>
      <c r="IM10" s="530">
        <f>+IO10-IH10</f>
        <v>34613</v>
      </c>
      <c r="IN10" s="530">
        <f>IP10-IG10</f>
        <v>64142</v>
      </c>
      <c r="IO10" s="530">
        <f>+IR10-IG10</f>
        <v>64142</v>
      </c>
      <c r="IP10" s="531">
        <f>Segments!S21</f>
        <v>114200</v>
      </c>
      <c r="IQ10" s="530">
        <v>107800</v>
      </c>
      <c r="IR10" s="539">
        <v>114200</v>
      </c>
      <c r="IS10" s="1283"/>
      <c r="IT10" s="530">
        <f>IT17*IT18</f>
        <v>36267.986167615949</v>
      </c>
      <c r="IU10" s="540">
        <v>41600</v>
      </c>
      <c r="IV10" s="540">
        <f>IX10-IU10</f>
        <v>46926</v>
      </c>
      <c r="IW10" s="530">
        <v>41282.260211554109</v>
      </c>
      <c r="IX10" s="530">
        <v>88526</v>
      </c>
      <c r="IY10" s="530">
        <v>83905.211031226252</v>
      </c>
      <c r="IZ10" s="530">
        <f>JA10-IX10</f>
        <v>40385</v>
      </c>
      <c r="JA10" s="530">
        <v>128911</v>
      </c>
      <c r="JB10" s="530">
        <f t="shared" si="10"/>
        <v>49463</v>
      </c>
      <c r="JC10" s="530">
        <f t="shared" si="11"/>
        <v>89848</v>
      </c>
      <c r="JD10" s="530">
        <v>178374</v>
      </c>
      <c r="JE10" s="503"/>
      <c r="JF10" s="530">
        <f>JG10-IZ10</f>
        <v>49463</v>
      </c>
      <c r="JG10" s="530">
        <f>JH10-IX10</f>
        <v>89848</v>
      </c>
      <c r="JH10" s="531">
        <f>Segments!T21</f>
        <v>178374</v>
      </c>
      <c r="JI10" s="1283"/>
      <c r="JJ10" s="1669">
        <f>+ROUND(JJ17*JJ18,-2)</f>
        <v>51900</v>
      </c>
      <c r="JK10" s="1138">
        <f>+ROUND(JK17*JK18,-2)</f>
        <v>51600</v>
      </c>
      <c r="JL10" s="1138">
        <v>47468</v>
      </c>
      <c r="JM10" s="1138">
        <f>+JP10-JL10</f>
        <v>58605</v>
      </c>
      <c r="JN10" s="1138">
        <f>JS10-JP10</f>
        <v>47863</v>
      </c>
      <c r="JO10" s="1138"/>
      <c r="JP10" s="1138">
        <v>106073</v>
      </c>
      <c r="JQ10" s="1138"/>
      <c r="JR10" s="1138"/>
      <c r="JS10" s="1138">
        <v>153936</v>
      </c>
      <c r="JT10" s="1138">
        <f>+ROUND(JT17*JT18,-2)</f>
        <v>53300</v>
      </c>
      <c r="JU10" s="1138">
        <f>+JW10-JN10</f>
        <v>58864</v>
      </c>
      <c r="JV10" s="1138">
        <f>+JL10+JK10</f>
        <v>99068</v>
      </c>
      <c r="JW10" s="1138">
        <f>+JX10-JP10</f>
        <v>106727</v>
      </c>
      <c r="JX10" s="1138">
        <f>+Driver!AL74</f>
        <v>212800</v>
      </c>
      <c r="JY10" s="1138">
        <f>+JP10+JT10</f>
        <v>159373</v>
      </c>
      <c r="JZ10" s="899"/>
      <c r="KA10" s="1271"/>
      <c r="KB10" s="540">
        <f>+KC10-JL10</f>
        <v>50932</v>
      </c>
      <c r="KC10" s="540">
        <v>98400</v>
      </c>
      <c r="KD10" s="540">
        <f t="shared" si="12"/>
        <v>101100</v>
      </c>
      <c r="KE10" s="540">
        <f>+KG10-JP10</f>
        <v>93427</v>
      </c>
      <c r="KF10" s="540">
        <f>+KG10-JS10</f>
        <v>45564</v>
      </c>
      <c r="KG10" s="540">
        <v>199500</v>
      </c>
      <c r="KH10" s="540">
        <v>199500</v>
      </c>
      <c r="KI10" s="1271"/>
      <c r="KJ10" s="899"/>
      <c r="KK10" s="541">
        <f>KL10-IZ10</f>
        <v>55089</v>
      </c>
      <c r="KL10" s="530">
        <f>KM10-IX10</f>
        <v>95474</v>
      </c>
      <c r="KM10" s="540">
        <v>184000</v>
      </c>
      <c r="KN10" s="899"/>
      <c r="KO10" s="540">
        <v>69100</v>
      </c>
      <c r="KP10" s="530">
        <v>79100</v>
      </c>
      <c r="KQ10" s="531">
        <v>148200</v>
      </c>
      <c r="KR10" s="530">
        <v>59142</v>
      </c>
      <c r="KS10" s="531">
        <v>109200</v>
      </c>
      <c r="KT10" s="530">
        <f>+KU10-IE10</f>
        <v>24341</v>
      </c>
      <c r="KU10" s="530">
        <v>48500</v>
      </c>
      <c r="KV10" s="530">
        <f>+KW10-KU10</f>
        <v>54100</v>
      </c>
      <c r="KW10" s="531">
        <v>102600</v>
      </c>
      <c r="KX10" s="530">
        <f>+KY10-HN10</f>
        <v>26035</v>
      </c>
      <c r="KY10" s="530">
        <f>+KZ10-HI10</f>
        <v>47354</v>
      </c>
      <c r="KZ10" s="531">
        <v>91900</v>
      </c>
      <c r="LA10" s="530">
        <v>45900</v>
      </c>
      <c r="LB10" s="530">
        <f>+LC10-LA10</f>
        <v>48700</v>
      </c>
      <c r="LC10" s="531">
        <v>94600</v>
      </c>
      <c r="LD10" s="531"/>
      <c r="LE10" s="530">
        <f>+LF10-GR10</f>
        <v>23256</v>
      </c>
      <c r="LF10" s="530">
        <f>+LG10-GP10</f>
        <v>46940</v>
      </c>
      <c r="LG10" s="531">
        <v>88800</v>
      </c>
    </row>
    <row r="11" spans="1:319" s="498" customFormat="1" ht="12">
      <c r="A11" s="477"/>
      <c r="B11" s="478" t="s">
        <v>669</v>
      </c>
      <c r="C11" s="1676" t="s">
        <v>1443</v>
      </c>
      <c r="D11" s="480"/>
      <c r="E11" s="477"/>
      <c r="F11" s="477"/>
      <c r="G11" s="481"/>
      <c r="H11" s="482" t="e">
        <f>(H10-E10)/E10</f>
        <v>#DIV/0!</v>
      </c>
      <c r="I11" s="482" t="e">
        <f>(I10-F10)/F10</f>
        <v>#DIV/0!</v>
      </c>
      <c r="J11" s="483" t="e">
        <f>(J10-G10)/G10</f>
        <v>#DIV/0!</v>
      </c>
      <c r="K11" s="484"/>
      <c r="L11" s="484"/>
      <c r="M11" s="484"/>
      <c r="N11" s="484"/>
      <c r="O11" s="484"/>
      <c r="P11" s="484"/>
      <c r="Q11" s="484"/>
      <c r="R11" s="484"/>
      <c r="S11" s="485"/>
      <c r="T11" s="484"/>
      <c r="U11" s="484"/>
      <c r="V11" s="484"/>
      <c r="W11" s="484"/>
      <c r="X11" s="484"/>
      <c r="Y11" s="484"/>
      <c r="Z11" s="484"/>
      <c r="AA11" s="484"/>
      <c r="AB11" s="485"/>
      <c r="AC11" s="486">
        <f t="shared" ref="AC11" si="15">+AC10/T10-1</f>
        <v>-0.17326241134751774</v>
      </c>
      <c r="AD11" s="486">
        <f t="shared" ref="AD11" si="16">+AD10/U10-1</f>
        <v>-9.9764913311783721E-2</v>
      </c>
      <c r="AE11" s="486">
        <f t="shared" ref="AE11" si="17">+AE10/V10-1</f>
        <v>-0.25121283741758926</v>
      </c>
      <c r="AF11" s="486">
        <f t="shared" ref="AF11" si="18">+AF10/W10-1</f>
        <v>-7.7356656948493696E-2</v>
      </c>
      <c r="AG11" s="486">
        <f t="shared" ref="AG11" si="19">+AG10/X10-1</f>
        <v>-0.17903630965973971</v>
      </c>
      <c r="AH11" s="486">
        <f t="shared" ref="AH11" si="20">+AH10/Y10-1</f>
        <v>-0.13716079676674364</v>
      </c>
      <c r="AI11" s="486">
        <f t="shared" ref="AI11" si="21">+AI10/Z10-1</f>
        <v>-0.16605845206740077</v>
      </c>
      <c r="AJ11" s="486">
        <f t="shared" ref="AJ11" si="22">+AJ10/AA10-1</f>
        <v>-0.15253693541578728</v>
      </c>
      <c r="AK11" s="480"/>
      <c r="AL11" s="486">
        <f t="shared" ref="AL11" si="23">+AL10/AC10-1</f>
        <v>4.7610877584284061E-2</v>
      </c>
      <c r="AM11" s="486">
        <f t="shared" ref="AM11" si="24">+AM10/AD10-1</f>
        <v>7.7933735922963931E-2</v>
      </c>
      <c r="AN11" s="486">
        <f t="shared" ref="AN11" si="25">+AN10/AE10-1</f>
        <v>0.20657861948666834</v>
      </c>
      <c r="AO11" s="486">
        <f t="shared" ref="AO11" si="26">+AO10/AF10-1</f>
        <v>0.23671090513306647</v>
      </c>
      <c r="AP11" s="486">
        <f t="shared" ref="AP11" si="27">+AP10/AG10-1</f>
        <v>0.11118219749652303</v>
      </c>
      <c r="AQ11" s="486">
        <f t="shared" ref="AQ11" si="28">+AQ10/AH10-1</f>
        <v>6.3150851072728109E-2</v>
      </c>
      <c r="AR11" s="486">
        <f t="shared" ref="AR11" si="29">+AR10/AI10-1</f>
        <v>0.22290715372907144</v>
      </c>
      <c r="AS11" s="486">
        <f t="shared" ref="AS11" si="30">+AS10/AJ10-1</f>
        <v>0.14679922695303937</v>
      </c>
      <c r="AT11" s="480"/>
      <c r="AU11" s="486">
        <f>+AU10/AL10-1</f>
        <v>0.12094660989190964</v>
      </c>
      <c r="AV11" s="486">
        <f>+AV10/AM10-1</f>
        <v>0.12218941630706337</v>
      </c>
      <c r="AW11" s="486">
        <f>+AW10/AN10-1</f>
        <v>0.36658405617513434</v>
      </c>
      <c r="AX11" s="486">
        <f>+AX10/AN10-1</f>
        <v>0.21079443756023686</v>
      </c>
      <c r="AY11" s="486">
        <f>+AY10/AO10-1</f>
        <v>0.26544401544401541</v>
      </c>
      <c r="AZ11" s="486">
        <f>+AZ10/AP10-1</f>
        <v>0.15402908854231856</v>
      </c>
      <c r="BA11" s="486">
        <f>+BA10/AP10-1</f>
        <v>0.21067914987358249</v>
      </c>
      <c r="BB11" s="487">
        <f>+BB10/AQ10-1</f>
        <v>0.12159238424924279</v>
      </c>
      <c r="BC11" s="487">
        <f>+BC10/AR10-1</f>
        <v>0.31115813056195152</v>
      </c>
      <c r="BD11" s="488">
        <v>7.6812544994384835E-2</v>
      </c>
      <c r="BE11" s="486">
        <f>+BE10/AS10-1</f>
        <v>0.22743619590333397</v>
      </c>
      <c r="BF11" s="480"/>
      <c r="BG11" s="486"/>
      <c r="BH11" s="486"/>
      <c r="BI11" s="486"/>
      <c r="BJ11" s="480"/>
      <c r="BK11" s="477"/>
      <c r="BL11" s="477"/>
      <c r="BM11" s="477"/>
      <c r="BN11" s="477"/>
      <c r="BO11" s="480"/>
      <c r="BP11" s="486">
        <f>+BP10/AU10-1</f>
        <v>0.22324494119365923</v>
      </c>
      <c r="BQ11" s="488">
        <v>5.0001283680568852E-2</v>
      </c>
      <c r="BR11" s="486">
        <f>(BR10-AV10)/AV10</f>
        <v>0.24886999932537274</v>
      </c>
      <c r="BS11" s="488">
        <v>1.9045611075971608E-2</v>
      </c>
      <c r="BT11" s="486">
        <f>(BT10-AW10)/AW10</f>
        <v>0.10901214044632512</v>
      </c>
      <c r="BU11" s="486">
        <v>-1.0469451594657925E-2</v>
      </c>
      <c r="BV11" s="486">
        <f>(BV10-AY10)/AY10</f>
        <v>-0.18562390631309733</v>
      </c>
      <c r="BW11" s="488">
        <v>7.7306955570893468E-2</v>
      </c>
      <c r="BX11" s="486">
        <f>+BX10/BA10-1</f>
        <v>0.18421107044641571</v>
      </c>
      <c r="BY11" s="486">
        <f>+BY10/BB10-1</f>
        <v>0.23656705948372614</v>
      </c>
      <c r="BZ11" s="488">
        <v>2.7391955322791532E-2</v>
      </c>
      <c r="CA11" s="488">
        <f>(CA10-BD10)/BD10</f>
        <v>-0.47996529234838237</v>
      </c>
      <c r="CB11" s="486">
        <v>3.7226959341910261E-2</v>
      </c>
      <c r="CC11" s="486">
        <f>(CC10-BC10)/BC10</f>
        <v>-4.6822345626275567E-2</v>
      </c>
      <c r="CD11" s="486">
        <v>7.2484885074319286E-2</v>
      </c>
      <c r="CE11" s="486">
        <f>(CE10-BE10)/BE10</f>
        <v>6.7544232130219387E-2</v>
      </c>
      <c r="CF11" s="480"/>
      <c r="CG11" s="489">
        <f>CG10/BP10-1</f>
        <v>-1.0391161540758476E-2</v>
      </c>
      <c r="CH11" s="490">
        <v>-2.0098786788974143E-2</v>
      </c>
      <c r="CI11" s="477"/>
      <c r="CJ11" s="490">
        <f>CJ10/BR10-1</f>
        <v>0.20402981849611068</v>
      </c>
      <c r="CK11" s="490">
        <v>5.9845646595972246E-2</v>
      </c>
      <c r="CL11" s="490">
        <f>CL10/BT10-1</f>
        <v>0.15961844197138308</v>
      </c>
      <c r="CM11" s="490">
        <v>3.5092618449222845E-2</v>
      </c>
      <c r="CN11" s="490">
        <v>3.4636290696228977E-2</v>
      </c>
      <c r="CO11" s="490">
        <f>CO10/BV10-1</f>
        <v>0.19316804407713506</v>
      </c>
      <c r="CP11" s="490">
        <f>CP10/BX10-1</f>
        <v>0.12426665735437914</v>
      </c>
      <c r="CQ11" s="490">
        <v>2.9227461760766849E-2</v>
      </c>
      <c r="CR11" s="490">
        <f>CR10/BY10-1</f>
        <v>0.10219247241682505</v>
      </c>
      <c r="CS11" s="490">
        <v>1.9579084382815415E-2</v>
      </c>
      <c r="CT11" s="490">
        <v>3.8005114306276511E-2</v>
      </c>
      <c r="CU11" s="490">
        <f>CU10/CC10-1</f>
        <v>0.17477903647454252</v>
      </c>
      <c r="CV11" s="490">
        <v>3.2154764111532952E-2</v>
      </c>
      <c r="CW11" s="491">
        <f>CW10/CE10-1</f>
        <v>0.14084749807748409</v>
      </c>
      <c r="CX11" s="492"/>
      <c r="CY11" s="492">
        <f>(CY10-CG10)/CG10</f>
        <v>0.17228893850703036</v>
      </c>
      <c r="CZ11" s="492">
        <f>(CZ10-CJ10)/CJ10</f>
        <v>-5.6799318049261971E-2</v>
      </c>
      <c r="DA11" s="492" t="e">
        <f>+DA10/CR10-1</f>
        <v>#REF!</v>
      </c>
      <c r="DB11" s="492">
        <f>+DB10/CR10-1</f>
        <v>4.0890375707668625E-2</v>
      </c>
      <c r="DC11" s="492">
        <f>+DC10/CL10-1</f>
        <v>-0.17944298640761491</v>
      </c>
      <c r="DD11" s="492">
        <f>(DD10-CL10)/CL10</f>
        <v>-0.1426008112039244</v>
      </c>
      <c r="DE11" s="492">
        <f>+DE10/CO10-1</f>
        <v>-0.26352973771702992</v>
      </c>
      <c r="DF11" s="492">
        <f>+DF10/CO10-1</f>
        <v>-0.20100664942741042</v>
      </c>
      <c r="DG11" s="492">
        <f>+DG10/CP10-1</f>
        <v>-4.6467564335523126E-2</v>
      </c>
      <c r="DH11" s="492">
        <f>+DH10/CP10-1</f>
        <v>-3.1860350513674529E-2</v>
      </c>
      <c r="DI11" s="492">
        <f>+DI10/CU10-1</f>
        <v>-0.21803539260358162</v>
      </c>
      <c r="DJ11" s="492">
        <f>(DJ10-CU10)/CU10</f>
        <v>-0.18933983257391121</v>
      </c>
      <c r="DK11" s="492">
        <f>+DK10/CW10-1</f>
        <v>-0.10109826253704457</v>
      </c>
      <c r="DL11" s="493">
        <v>2.240209411449956E-2</v>
      </c>
      <c r="DM11" s="494"/>
      <c r="DN11" s="487"/>
      <c r="DO11" s="487"/>
      <c r="DP11" s="495"/>
      <c r="DQ11" s="495">
        <f>+DQ10/CO10-1</f>
        <v>5.296453638714449E-2</v>
      </c>
      <c r="DR11" s="495">
        <f>+DR10/CU10-1</f>
        <v>-7.277736568824833E-2</v>
      </c>
      <c r="DS11" s="496">
        <f>DS10/CW10-1</f>
        <v>-2.1442268580393997E-2</v>
      </c>
      <c r="DT11" s="494"/>
      <c r="DU11" s="487"/>
      <c r="DV11" s="487">
        <f>(DV10-CJ10)/CJ10</f>
        <v>6.6624792498541877E-2</v>
      </c>
      <c r="DW11" s="490">
        <f>DW10/CR10-1</f>
        <v>0.11168296448790538</v>
      </c>
      <c r="DX11" s="495">
        <f>DX10/CU10-1</f>
        <v>5.6373847621065121E-3</v>
      </c>
      <c r="DY11" s="495">
        <f>DY10/CW10-1</f>
        <v>2.155848683828232E-2</v>
      </c>
      <c r="DZ11" s="497"/>
      <c r="EB11" s="490">
        <f>EB10/BV10-1</f>
        <v>-0.37680440771349866</v>
      </c>
      <c r="EC11" s="495">
        <f>EC10/CC10-1</f>
        <v>-8.2783517988298305E-2</v>
      </c>
      <c r="ED11" s="499">
        <f>ED10/CE10-1</f>
        <v>3.6859271830500528E-3</v>
      </c>
      <c r="EE11" s="480"/>
      <c r="EF11" s="477"/>
      <c r="EG11" s="500">
        <f>+EG10/CY10-1</f>
        <v>-0.18125193040255327</v>
      </c>
      <c r="EH11" s="482">
        <f>+EH10/CY10-1</f>
        <v>-1</v>
      </c>
      <c r="EI11" s="482">
        <f>+EI10/CZ10-1</f>
        <v>-0.2086762117680635</v>
      </c>
      <c r="EJ11" s="482">
        <f>+EJ10/CZ10-1</f>
        <v>-0.15798403502346803</v>
      </c>
      <c r="EK11" s="482">
        <f>+EK10/DB10-1</f>
        <v>-0.19550545130905583</v>
      </c>
      <c r="EL11" s="482">
        <f>+EL10/DB10-1</f>
        <v>-0.16915865332389846</v>
      </c>
      <c r="EM11" s="482">
        <f>+EM10/DC10-1</f>
        <v>0.15328432308573614</v>
      </c>
      <c r="EN11" s="482">
        <f>+EN10/DC10-1</f>
        <v>-9.3042043991438339E-2</v>
      </c>
      <c r="EO11" s="482">
        <f>+EO10/DG10-1</f>
        <v>-7.6502109223577697E-2</v>
      </c>
      <c r="EP11" s="482">
        <f>+EP10/DG10-1</f>
        <v>-8.7377956433856041E-2</v>
      </c>
      <c r="EQ11" s="482">
        <f>+EQ10/DE10-1</f>
        <v>2.4202144335067954E-2</v>
      </c>
      <c r="ER11" s="482">
        <f>+ER10/DE10-1</f>
        <v>-1</v>
      </c>
      <c r="ES11" s="482">
        <f>+ES10/DI10-1</f>
        <v>9.7487600617936376E-2</v>
      </c>
      <c r="ET11" s="482"/>
      <c r="EU11" s="483">
        <f>+EU10/DK10-1</f>
        <v>-5.5736560390970413E-2</v>
      </c>
      <c r="EV11" s="501"/>
      <c r="EW11" s="482">
        <v>2.7728732915066834E-2</v>
      </c>
      <c r="EX11" s="482">
        <f>+EX10/EG10-1</f>
        <v>6.2747563659226735E-2</v>
      </c>
      <c r="EY11" s="482">
        <v>5.6901954614403172E-2</v>
      </c>
      <c r="EZ11" s="482">
        <f>+EZ10/EI10-1</f>
        <v>0.21447463332531869</v>
      </c>
      <c r="FA11" s="482">
        <v>4.0394265827907283E-2</v>
      </c>
      <c r="FB11" s="482">
        <f>+FB10/EK10-1</f>
        <v>0.14031529455148894</v>
      </c>
      <c r="FC11" s="482">
        <f>+FC10/EM10-1</f>
        <v>-0.17405521751728137</v>
      </c>
      <c r="FD11" s="482">
        <v>-2.4514901599917649E-2</v>
      </c>
      <c r="FE11" s="482">
        <f>+FE10/EO10-1</f>
        <v>6.3668430335097614E-3</v>
      </c>
      <c r="FF11" s="482">
        <v>1.7342533615398059E-2</v>
      </c>
      <c r="FG11" s="482">
        <f>+FG10/EQ10-1</f>
        <v>-2.1303948576675835E-2</v>
      </c>
      <c r="FH11" s="502">
        <f>+FH10/EQ10-1</f>
        <v>-2.1303948576675835E-2</v>
      </c>
      <c r="FI11" s="502">
        <f>+FI10/ES10-1</f>
        <v>-0.11243641033239493</v>
      </c>
      <c r="FJ11" s="482">
        <f>+FJ10/ES10-1</f>
        <v>-0.11243641033239493</v>
      </c>
      <c r="FK11" s="483">
        <f>+FK10/EU10-1</f>
        <v>1.779968508248686E-4</v>
      </c>
      <c r="FL11" s="493">
        <f>+FL10/EU10-1</f>
        <v>1.779968508248686E-4</v>
      </c>
      <c r="FM11" s="487">
        <f>+FM10/EI10-1</f>
        <v>0.11186583313296472</v>
      </c>
      <c r="FN11" s="495">
        <f>+FN10/EK10-1</f>
        <v>8.7858394025998043E-2</v>
      </c>
      <c r="FO11" s="495">
        <f>(FO10-EQ10)/EQ10</f>
        <v>0.14104683195592285</v>
      </c>
      <c r="FP11" s="495">
        <f>+FP10/ES10-1</f>
        <v>-4.6945226453301681E-2</v>
      </c>
      <c r="FQ11" s="496">
        <f>+FQ10/EU10-1</f>
        <v>3.6489354419114051E-2</v>
      </c>
      <c r="FR11" s="496"/>
      <c r="FS11" s="482">
        <f>+FS10/EX10-1</f>
        <v>0.12258179021475479</v>
      </c>
      <c r="FT11" s="503">
        <f>(FT10-EX10)/EX10</f>
        <v>5.1268310110754015E-2</v>
      </c>
      <c r="FU11" s="503">
        <f>(FU10-EZ10)/EZ10</f>
        <v>-6.3848742823203325E-3</v>
      </c>
      <c r="FV11" s="482">
        <f>+FV10/EZ10-1</f>
        <v>7.879627796475952E-2</v>
      </c>
      <c r="FW11" s="503">
        <f>(FW10-FB10)/FB10</f>
        <v>5.2362088015738273E-2</v>
      </c>
      <c r="FX11" s="503"/>
      <c r="FY11" s="482">
        <f>+FY10/FB10-1</f>
        <v>9.8741477349287177E-2</v>
      </c>
      <c r="FZ11" s="482">
        <f>+FZ10/FC10-1</f>
        <v>2.9167084293875822E-2</v>
      </c>
      <c r="GA11" s="482">
        <f>+GA10/FE10-1</f>
        <v>7.441159460927782E-2</v>
      </c>
      <c r="GB11" s="482">
        <f>+GB10/FG10-1</f>
        <v>0.40607993995121028</v>
      </c>
      <c r="GC11" s="482">
        <f>+GC10/FI10-1</f>
        <v>0.19682257032358597</v>
      </c>
      <c r="GD11" s="483">
        <f>+GD10/FK10-1</f>
        <v>0.14699923338079079</v>
      </c>
      <c r="GE11" s="482">
        <v>4.2189111541498521E-2</v>
      </c>
      <c r="GF11" s="482">
        <f>(GF10-FC10)/FC10</f>
        <v>1.7740356220428907E-2</v>
      </c>
      <c r="GG11" s="482">
        <f>(GG10-FG10)/FG10</f>
        <v>0.40607993995121033</v>
      </c>
      <c r="GH11" s="503">
        <f>(GH10-FI10)/FI10</f>
        <v>0.19682257032358588</v>
      </c>
      <c r="GI11" s="503">
        <f>(GI10-FK10)/FK10</f>
        <v>0.14699923338079071</v>
      </c>
      <c r="GJ11" s="504"/>
      <c r="GK11" s="503">
        <f>(GK10-FS10)/FS10</f>
        <v>5.6043458578542378E-2</v>
      </c>
      <c r="GL11" s="503">
        <f>+GL10/FS10-1</f>
        <v>4.1422924901185709E-2</v>
      </c>
      <c r="GM11" s="503">
        <f>(GM10-FV10)/FV10</f>
        <v>-1.8292928157694781E-2</v>
      </c>
      <c r="GN11" s="503">
        <f>(GN10-FY10)/FY10</f>
        <v>1.6303548218163062E-2</v>
      </c>
      <c r="GO11" s="503">
        <f>+GO10/FV10-1</f>
        <v>1.3901633327215945E-2</v>
      </c>
      <c r="GP11" s="503">
        <f>+GP10/FY10-1</f>
        <v>2.6710161634495133E-2</v>
      </c>
      <c r="GQ11" s="503">
        <f>(GQ10-FZ10)/FZ10</f>
        <v>8.4091201182590905E-2</v>
      </c>
      <c r="GR11" s="482">
        <f>+GR10/FZ10-1</f>
        <v>0.15329178028827428</v>
      </c>
      <c r="GS11" s="482">
        <f>+GS10/GA10-1</f>
        <v>6.9111194480238725E-2</v>
      </c>
      <c r="GT11" s="482">
        <f>+GT10/GB10-1</f>
        <v>4.3106899773121654E-2</v>
      </c>
      <c r="GU11" s="482">
        <f>+GU10/GC10-1</f>
        <v>9.5710798558642285E-2</v>
      </c>
      <c r="GV11" s="483">
        <f>+GV10/GD10-1</f>
        <v>6.2134485474900414E-2</v>
      </c>
      <c r="GW11" s="482">
        <v>4.7713083198691483E-2</v>
      </c>
      <c r="GX11" s="503">
        <f>(GX10-GB10)/GB10</f>
        <v>4.3106899773121578E-2</v>
      </c>
      <c r="GY11" s="503">
        <f>(GY10-GC10)/GC10</f>
        <v>9.571079855864234E-2</v>
      </c>
      <c r="GZ11" s="503">
        <f>(GZ10-GD10)/GD10</f>
        <v>6.2134485474900344E-2</v>
      </c>
      <c r="HA11" s="505"/>
      <c r="HB11" s="503">
        <f>(HB10-GL10)/GL10</f>
        <v>0.18273781902552219</v>
      </c>
      <c r="HC11" s="503"/>
      <c r="HD11" s="503">
        <f>+HD10/GL10-1</f>
        <v>0.19842113253377858</v>
      </c>
      <c r="HE11" s="503"/>
      <c r="HF11" s="503">
        <f>+HF10/GO10-1</f>
        <v>-5.5884881668853748E-2</v>
      </c>
      <c r="HG11" s="503"/>
      <c r="HH11" s="503"/>
      <c r="HI11" s="503">
        <f>+HI10/GP10-1</f>
        <v>6.4166268514094682E-2</v>
      </c>
      <c r="HJ11" s="503">
        <f>(HI10-GO10)/GO10</f>
        <v>1.0157473188832074</v>
      </c>
      <c r="HK11" s="503">
        <f>(HK10-GP10)/GP10</f>
        <v>0.62314074738665859</v>
      </c>
      <c r="HL11" s="503"/>
      <c r="HM11" s="503"/>
      <c r="HN11" s="482">
        <f>+HN10/GR10-1</f>
        <v>-9.9856443168383713E-2</v>
      </c>
      <c r="HO11" s="482">
        <f>+HO10/GS10-1</f>
        <v>-0.67473758086171121</v>
      </c>
      <c r="HP11" s="482">
        <f>+HP10/GS10-1</f>
        <v>4.8974734529476649E-3</v>
      </c>
      <c r="HQ11" s="482">
        <f>+HQ10/GS10-1</f>
        <v>4.8974734529476649E-3</v>
      </c>
      <c r="HR11" s="482">
        <f>+HR10/GT10-1</f>
        <v>0.19997441146366435</v>
      </c>
      <c r="HS11" s="482"/>
      <c r="HT11" s="482">
        <f>+HT10/GU10-1</f>
        <v>4.9308325553763854E-2</v>
      </c>
      <c r="HU11" s="482"/>
      <c r="HV11" s="482">
        <f>+HV10/GV10-1</f>
        <v>5.629719525350585E-2</v>
      </c>
      <c r="HW11" s="503">
        <f>(HW10-GR10)/GR10</f>
        <v>-5.7029974997063103E-2</v>
      </c>
      <c r="HX11" s="503">
        <f>(HX10-GT10)/GT10</f>
        <v>0.19997441146366429</v>
      </c>
      <c r="HY11" s="503">
        <f>(HY10-GU10)/GU10</f>
        <v>4.9308325553763896E-2</v>
      </c>
      <c r="HZ11" s="482"/>
      <c r="IA11" s="503">
        <v>2.1318122928339473E-2</v>
      </c>
      <c r="IB11" s="503">
        <f>(IB10-GV10)/GV10</f>
        <v>5.6297195253505933E-2</v>
      </c>
      <c r="IC11" s="505"/>
      <c r="ID11" s="503">
        <f>(ID10-HD10)/HD10</f>
        <v>-9.3770309163493677E-3</v>
      </c>
      <c r="IE11" s="506">
        <f>+IE10/HE10-1</f>
        <v>2.0141879908791571E-2</v>
      </c>
      <c r="IF11" s="503">
        <f>IF10/HH10-1</f>
        <v>0.24132476993865026</v>
      </c>
      <c r="IG11" s="503">
        <f>IG10/HM10-1</f>
        <v>0.12373726036007726</v>
      </c>
      <c r="IH11" s="503">
        <f>+IH10/HO10-1</f>
        <v>0.38510249073596325</v>
      </c>
      <c r="II11" s="503"/>
      <c r="IJ11" s="503">
        <f>+IJ10/HQ10-1</f>
        <v>0.20833523115463448</v>
      </c>
      <c r="IK11" s="503"/>
      <c r="IL11" s="503">
        <f>(IL10-HS10)/HS10</f>
        <v>0.23024702328061133</v>
      </c>
      <c r="IM11" s="503">
        <f>+IM10/HS10-1</f>
        <v>0.23024702328061131</v>
      </c>
      <c r="IN11" s="503">
        <f>IN10/HU10-1</f>
        <v>0.29700327577142405</v>
      </c>
      <c r="IO11" s="503">
        <f>+IO10/HU10-1</f>
        <v>0.29700327577142405</v>
      </c>
      <c r="IP11" s="501">
        <f>(IP10-HZ10)/HZ10</f>
        <v>0.2148936170212766</v>
      </c>
      <c r="IQ11" s="503">
        <v>5.5457746478873242E-2</v>
      </c>
      <c r="IR11" s="501">
        <f>+IR10/HZ10-1</f>
        <v>0.21489361702127652</v>
      </c>
      <c r="IS11" s="506"/>
      <c r="IT11" s="503">
        <f>(IT10-IE10)/IE10</f>
        <v>0.50122050447518307</v>
      </c>
      <c r="IU11" s="503">
        <f>+IU10/IE10-1</f>
        <v>0.72192557638975119</v>
      </c>
      <c r="IV11" s="503">
        <f>(IV10-IF10)/IF10</f>
        <v>0.81188462875014478</v>
      </c>
      <c r="IW11" s="503">
        <v>0.20262094696578453</v>
      </c>
      <c r="IX11" s="503">
        <f>(IX10-IG10)/IG10</f>
        <v>0.7684685764513165</v>
      </c>
      <c r="IY11" s="503">
        <v>0.21751721551897449</v>
      </c>
      <c r="IZ11" s="503">
        <f>(IZ10-IH10)/IH10</f>
        <v>0.36763859257001591</v>
      </c>
      <c r="JA11" s="503">
        <f>(JA10-IJ10)/IJ10</f>
        <v>0.61974945656954028</v>
      </c>
      <c r="JB11" s="503">
        <f>(JB10-IM10)/IM10</f>
        <v>0.42902955536936987</v>
      </c>
      <c r="JC11" s="503">
        <f>(JC10-IO10)/IO10</f>
        <v>0.40076704811200148</v>
      </c>
      <c r="JD11" s="503">
        <f>(JD10-IR10)/IR10</f>
        <v>0.5619439579684764</v>
      </c>
      <c r="JE11" s="503"/>
      <c r="JF11" s="503">
        <f>(JF10-IM10)/IM10</f>
        <v>0.42902955536936987</v>
      </c>
      <c r="JG11" s="503">
        <f>(JG10-IO10)/IO10</f>
        <v>0.40076704811200148</v>
      </c>
      <c r="JH11" s="501">
        <f>(JH10-IR10)/IR10</f>
        <v>0.5619439579684764</v>
      </c>
      <c r="JI11" s="506"/>
      <c r="JJ11" s="1671">
        <f>+JJ10/IU10-1</f>
        <v>0.24759615384615374</v>
      </c>
      <c r="JK11" s="1670">
        <f>+JK10/IV10-1</f>
        <v>9.9603631249200797E-2</v>
      </c>
      <c r="JL11" s="1670">
        <f>+JL10/IU10-1</f>
        <v>0.14105769230769227</v>
      </c>
      <c r="JM11" s="1670">
        <f t="shared" ref="JM11" si="31">+JM10/IV10-1</f>
        <v>0.2488812172356476</v>
      </c>
      <c r="JN11" s="1670">
        <f>+JN10/IZ10-1</f>
        <v>0.18516776030704474</v>
      </c>
      <c r="JO11" s="1670">
        <f>+JO10/JB10-1</f>
        <v>-1</v>
      </c>
      <c r="JP11" s="1670">
        <f>+JP10/IX10-1</f>
        <v>0.19821295438628206</v>
      </c>
      <c r="JQ11" s="1670">
        <f>+JQ10/JC10-1</f>
        <v>-1</v>
      </c>
      <c r="JR11" s="1670">
        <f>+JR10/JD10-1</f>
        <v>-1</v>
      </c>
      <c r="JS11" s="1670">
        <f>+JS10/JA10-1</f>
        <v>0.19412618007772808</v>
      </c>
      <c r="JT11" s="1670">
        <f>+JT10/IZ10-1</f>
        <v>0.31979695431472077</v>
      </c>
      <c r="JU11" s="1670">
        <f>+JU10/JB10-1</f>
        <v>0.19006125790995299</v>
      </c>
      <c r="JV11" s="1670">
        <f>+JV10/IX10-1</f>
        <v>0.11908365903802265</v>
      </c>
      <c r="JW11" s="1670">
        <f>+JW10/JC10-1</f>
        <v>0.18786172201941054</v>
      </c>
      <c r="JX11" s="1670">
        <f>+JX10/JD10-1</f>
        <v>0.19299897967192536</v>
      </c>
      <c r="JY11" s="1670">
        <f>+JY10/JA10-1</f>
        <v>0.23630256533577421</v>
      </c>
      <c r="JZ11" s="503"/>
      <c r="KA11" s="501"/>
      <c r="KB11" s="495"/>
      <c r="KC11" s="495">
        <f>+KC10/IX10-1</f>
        <v>0.11153785328604027</v>
      </c>
      <c r="KD11" s="495">
        <f>+KD10/JC10-1</f>
        <v>0.12523372807408073</v>
      </c>
      <c r="KE11" s="495">
        <f>+KE10/JC10-1</f>
        <v>3.9833941768319781E-2</v>
      </c>
      <c r="KF11" s="495">
        <f>+KF10/JB10-1</f>
        <v>-7.8826597658856135E-2</v>
      </c>
      <c r="KG11" s="495">
        <f>+KG10/JD10-1</f>
        <v>0.11843654344242993</v>
      </c>
      <c r="KH11" s="495">
        <f>+KH10/JD10-1</f>
        <v>0.11843654344242993</v>
      </c>
      <c r="KI11" s="501"/>
      <c r="KJ11" s="503"/>
      <c r="KK11" s="503">
        <f>(KK10-IM10)/IM10</f>
        <v>0.59156964146418978</v>
      </c>
      <c r="KL11" s="503">
        <f>KL10/IO10-1</f>
        <v>0.48847868791119708</v>
      </c>
      <c r="KM11" s="495">
        <f>KM10/IR10-1</f>
        <v>0.6112084063047285</v>
      </c>
      <c r="KN11" s="503"/>
      <c r="KO11" s="495">
        <v>0.13784325915846529</v>
      </c>
      <c r="KP11" s="495">
        <v>0.10472939365539768</v>
      </c>
      <c r="KQ11" s="496">
        <v>0.12034744602276648</v>
      </c>
      <c r="KR11" s="495">
        <v>8.9048141741424169E-2</v>
      </c>
      <c r="KS11" s="496">
        <v>5.6338028169014009E-2</v>
      </c>
      <c r="KT11" s="495">
        <f>+KT10/HG10-1</f>
        <v>0.16948624343335439</v>
      </c>
      <c r="KU11" s="495">
        <f>+KU10/HL10-1</f>
        <v>9.000000000000008E-2</v>
      </c>
      <c r="KV11" s="495" t="e">
        <f>+KV10/#REF!-1</f>
        <v>#REF!</v>
      </c>
      <c r="KW11" s="496">
        <f>+KW10/HZ10-1</f>
        <v>9.1489361702127736E-2</v>
      </c>
      <c r="KX11" s="495">
        <f>+KX10/GT10-1</f>
        <v>0.11032923916751969</v>
      </c>
      <c r="KY11" s="495">
        <f>+KY10/GU10-1</f>
        <v>4.7101756768226366E-3</v>
      </c>
      <c r="KZ11" s="496">
        <f>+KZ10/GV10-1</f>
        <v>3.2677094570298548E-2</v>
      </c>
      <c r="LA11" s="495">
        <f>+LA10/GP10-1</f>
        <v>9.651218346870527E-2</v>
      </c>
      <c r="LB11" s="495">
        <f>+LB10/GU10-1</f>
        <v>3.3268267843503452E-2</v>
      </c>
      <c r="LC11" s="496">
        <f>+LC10/GV10-1</f>
        <v>6.3016900395541198E-2</v>
      </c>
      <c r="LD11" s="496">
        <f>+LD10/LC10-1</f>
        <v>-1</v>
      </c>
      <c r="LE11" s="495">
        <f>+LE10/GB10-1</f>
        <v>3.4565594554917922E-2</v>
      </c>
      <c r="LF11" s="495">
        <f>+LF10/GC10-1</f>
        <v>9.1247239335115582E-2</v>
      </c>
      <c r="LG11" s="496">
        <f>+LG10/GD10-1</f>
        <v>5.9842933186928571E-2</v>
      </c>
    </row>
    <row r="12" spans="1:319" s="546" customFormat="1" hidden="1" outlineLevel="1">
      <c r="B12" s="547" t="s">
        <v>1061</v>
      </c>
      <c r="C12" s="548" t="s">
        <v>971</v>
      </c>
      <c r="D12" s="549"/>
      <c r="G12" s="548"/>
      <c r="J12" s="548"/>
      <c r="K12" s="550"/>
      <c r="L12" s="550"/>
      <c r="M12" s="550"/>
      <c r="N12" s="550"/>
      <c r="O12" s="550"/>
      <c r="P12" s="550"/>
      <c r="Q12" s="550"/>
      <c r="R12" s="550"/>
      <c r="S12" s="551"/>
      <c r="T12" s="550"/>
      <c r="U12" s="550"/>
      <c r="V12" s="550"/>
      <c r="W12" s="550"/>
      <c r="X12" s="550"/>
      <c r="Y12" s="550"/>
      <c r="Z12" s="550"/>
      <c r="AA12" s="550"/>
      <c r="AB12" s="551"/>
      <c r="AC12" s="550"/>
      <c r="AD12" s="550"/>
      <c r="AE12" s="550"/>
      <c r="AF12" s="550"/>
      <c r="AG12" s="550"/>
      <c r="AH12" s="550"/>
      <c r="AI12" s="550"/>
      <c r="AJ12" s="550"/>
      <c r="AK12" s="549"/>
      <c r="AL12" s="550"/>
      <c r="AM12" s="550"/>
      <c r="AN12" s="550"/>
      <c r="AO12" s="550"/>
      <c r="AP12" s="550"/>
      <c r="AQ12" s="486"/>
      <c r="AR12" s="486"/>
      <c r="AS12" s="486"/>
      <c r="AT12" s="549"/>
      <c r="AU12" s="550"/>
      <c r="AV12" s="550"/>
      <c r="AW12" s="550"/>
      <c r="AX12" s="550"/>
      <c r="AY12" s="550"/>
      <c r="AZ12" s="550"/>
      <c r="BA12" s="550"/>
      <c r="BB12" s="507"/>
      <c r="BC12" s="507"/>
      <c r="BD12" s="488"/>
      <c r="BE12" s="486"/>
      <c r="BF12" s="549"/>
      <c r="BG12" s="609"/>
      <c r="BH12" s="609"/>
      <c r="BI12" s="486"/>
      <c r="BJ12" s="549"/>
      <c r="BK12" s="611"/>
      <c r="BL12" s="611"/>
      <c r="BM12" s="611"/>
      <c r="BO12" s="549"/>
      <c r="BP12" s="625"/>
      <c r="BQ12" s="554"/>
      <c r="BR12" s="550"/>
      <c r="BS12" s="554"/>
      <c r="BT12" s="550"/>
      <c r="BU12" s="550"/>
      <c r="BV12" s="550"/>
      <c r="BW12" s="554"/>
      <c r="BX12" s="550"/>
      <c r="BY12" s="550"/>
      <c r="BZ12" s="554"/>
      <c r="CA12" s="554"/>
      <c r="CB12" s="550"/>
      <c r="CC12" s="550"/>
      <c r="CD12" s="550"/>
      <c r="CE12" s="550"/>
      <c r="CF12" s="549"/>
      <c r="CG12" s="557"/>
      <c r="CW12" s="548"/>
      <c r="CX12" s="559"/>
      <c r="CY12" s="559"/>
      <c r="CZ12" s="559"/>
      <c r="DA12" s="559"/>
      <c r="DB12" s="559"/>
      <c r="DC12" s="559"/>
      <c r="DD12" s="559"/>
      <c r="DE12" s="559"/>
      <c r="DF12" s="559"/>
      <c r="DG12" s="559"/>
      <c r="DH12" s="559"/>
      <c r="DI12" s="559">
        <f>+DK12-DB12</f>
        <v>0</v>
      </c>
      <c r="DJ12" s="559"/>
      <c r="DK12" s="559"/>
      <c r="DL12" s="499"/>
      <c r="DM12" s="626"/>
      <c r="DN12" s="486"/>
      <c r="DO12" s="486"/>
      <c r="DP12" s="503"/>
      <c r="DQ12" s="503"/>
      <c r="DR12" s="503"/>
      <c r="DS12" s="501"/>
      <c r="DT12" s="626"/>
      <c r="DU12" s="486"/>
      <c r="DV12" s="486"/>
      <c r="DX12" s="503"/>
      <c r="DY12" s="503"/>
      <c r="DZ12" s="568"/>
      <c r="EC12" s="503"/>
      <c r="ED12" s="499"/>
      <c r="EE12" s="549"/>
      <c r="EG12" s="557"/>
      <c r="EU12" s="548"/>
      <c r="EV12" s="501"/>
      <c r="EZ12" s="559"/>
      <c r="FA12" s="559"/>
      <c r="FB12" s="559"/>
      <c r="FC12" s="559"/>
      <c r="FD12" s="559"/>
      <c r="FE12" s="559"/>
      <c r="FF12" s="559"/>
      <c r="FG12" s="559"/>
      <c r="FH12" s="559"/>
      <c r="FI12" s="559"/>
      <c r="FJ12" s="559"/>
      <c r="FK12" s="571"/>
      <c r="FL12" s="499"/>
      <c r="FM12" s="486"/>
      <c r="FN12" s="503"/>
      <c r="FO12" s="503"/>
      <c r="FP12" s="503"/>
      <c r="FQ12" s="501"/>
      <c r="FR12" s="501"/>
      <c r="FT12" s="503"/>
      <c r="FU12" s="503"/>
      <c r="FW12" s="503"/>
      <c r="FX12" s="503"/>
      <c r="GD12" s="548"/>
      <c r="GH12" s="503"/>
      <c r="GI12" s="503"/>
      <c r="GJ12" s="504"/>
      <c r="GK12" s="503"/>
      <c r="GL12" s="503"/>
      <c r="GM12" s="503"/>
      <c r="GN12" s="503"/>
      <c r="GO12" s="503"/>
      <c r="GP12" s="503"/>
      <c r="GQ12" s="503"/>
      <c r="GV12" s="548"/>
      <c r="GX12" s="503"/>
      <c r="GY12" s="503"/>
      <c r="GZ12" s="503"/>
      <c r="HA12" s="504"/>
      <c r="HB12" s="503"/>
      <c r="HC12" s="503"/>
      <c r="HD12" s="503"/>
      <c r="HE12" s="503"/>
      <c r="HF12" s="503"/>
      <c r="HG12" s="503"/>
      <c r="HH12" s="503"/>
      <c r="HI12" s="503"/>
      <c r="HJ12" s="503"/>
      <c r="HK12" s="503"/>
      <c r="HL12" s="503"/>
      <c r="HM12" s="503"/>
      <c r="HW12" s="503"/>
      <c r="HX12" s="503"/>
      <c r="HY12" s="503"/>
      <c r="IA12" s="503"/>
      <c r="IB12" s="503"/>
      <c r="IC12" s="504"/>
      <c r="ID12" s="503"/>
      <c r="IE12" s="506"/>
      <c r="IF12" s="503"/>
      <c r="IG12" s="503"/>
      <c r="IH12" s="503"/>
      <c r="II12" s="503"/>
      <c r="IJ12" s="503"/>
      <c r="IK12" s="503"/>
      <c r="IL12" s="503"/>
      <c r="IM12" s="503"/>
      <c r="IN12" s="503"/>
      <c r="IO12" s="503"/>
      <c r="IP12" s="501"/>
      <c r="IQ12" s="503"/>
      <c r="IR12" s="501"/>
      <c r="IS12" s="506"/>
      <c r="IT12" s="503"/>
      <c r="IU12" s="503"/>
      <c r="IV12" s="503"/>
      <c r="IW12" s="503"/>
      <c r="IX12" s="503"/>
      <c r="IY12" s="503"/>
      <c r="IZ12" s="503"/>
      <c r="JA12" s="503"/>
      <c r="JB12" s="503"/>
      <c r="JC12" s="503"/>
      <c r="JD12" s="503"/>
      <c r="JE12" s="503"/>
      <c r="JF12" s="503"/>
      <c r="JG12" s="503"/>
      <c r="JH12" s="501"/>
      <c r="JI12" s="506"/>
      <c r="JJ12" s="506"/>
      <c r="JK12" s="503"/>
      <c r="JL12" s="503"/>
      <c r="JM12" s="503"/>
      <c r="JN12" s="503"/>
      <c r="JO12" s="503"/>
      <c r="JP12" s="503"/>
      <c r="JQ12" s="503"/>
      <c r="JR12" s="503"/>
      <c r="JS12" s="503"/>
      <c r="JT12" s="503"/>
      <c r="JU12" s="503"/>
      <c r="JV12" s="1691">
        <f>+JV10/JV17*KC17</f>
        <v>94026.763038177771</v>
      </c>
      <c r="JW12" s="503"/>
      <c r="JX12" s="503"/>
      <c r="JY12" s="503"/>
      <c r="JZ12" s="503"/>
      <c r="KA12" s="501"/>
      <c r="KB12" s="503"/>
      <c r="KC12" s="503"/>
      <c r="KD12" s="503"/>
      <c r="KE12" s="503"/>
      <c r="KF12" s="503"/>
      <c r="KG12" s="503"/>
      <c r="KH12" s="503"/>
      <c r="KI12" s="501"/>
      <c r="KJ12" s="503"/>
      <c r="KK12" s="503"/>
      <c r="KL12" s="503"/>
      <c r="KM12" s="503"/>
      <c r="KN12" s="503"/>
      <c r="KO12" s="503"/>
      <c r="KP12" s="503"/>
      <c r="KQ12" s="501"/>
      <c r="KR12" s="503"/>
      <c r="KS12" s="501"/>
      <c r="KT12" s="503"/>
      <c r="KU12" s="503"/>
      <c r="KV12" s="503"/>
      <c r="KW12" s="501"/>
      <c r="KX12" s="503"/>
      <c r="KY12" s="503"/>
      <c r="KZ12" s="501"/>
      <c r="LA12" s="503"/>
      <c r="LB12" s="503"/>
      <c r="LC12" s="501"/>
      <c r="LD12" s="501"/>
      <c r="LE12" s="503"/>
      <c r="LF12" s="503"/>
      <c r="LG12" s="501"/>
    </row>
    <row r="13" spans="1:319" s="627" customFormat="1" ht="12" hidden="1" outlineLevel="1">
      <c r="B13" s="628" t="s">
        <v>1037</v>
      </c>
      <c r="C13" s="629" t="s">
        <v>970</v>
      </c>
      <c r="D13" s="630"/>
      <c r="G13" s="629"/>
      <c r="J13" s="629"/>
      <c r="K13" s="631"/>
      <c r="L13" s="631"/>
      <c r="M13" s="631"/>
      <c r="N13" s="631"/>
      <c r="O13" s="631"/>
      <c r="P13" s="631"/>
      <c r="Q13" s="631"/>
      <c r="R13" s="631"/>
      <c r="S13" s="632"/>
      <c r="T13" s="631"/>
      <c r="U13" s="631"/>
      <c r="V13" s="631"/>
      <c r="W13" s="631"/>
      <c r="X13" s="631"/>
      <c r="Y13" s="631"/>
      <c r="Z13" s="631"/>
      <c r="AA13" s="631"/>
      <c r="AB13" s="632"/>
      <c r="AC13" s="631"/>
      <c r="AD13" s="631"/>
      <c r="AE13" s="631"/>
      <c r="AF13" s="631"/>
      <c r="AG13" s="631"/>
      <c r="AH13" s="631"/>
      <c r="AI13" s="631"/>
      <c r="AJ13" s="631"/>
      <c r="AK13" s="630"/>
      <c r="AL13" s="631"/>
      <c r="AM13" s="631"/>
      <c r="AN13" s="631"/>
      <c r="AO13" s="631"/>
      <c r="AP13" s="631"/>
      <c r="AQ13" s="610"/>
      <c r="AR13" s="610"/>
      <c r="AS13" s="610"/>
      <c r="AT13" s="630"/>
      <c r="AU13" s="631"/>
      <c r="AV13" s="631"/>
      <c r="AW13" s="633" t="s">
        <v>969</v>
      </c>
      <c r="AX13" s="631"/>
      <c r="AY13" s="631"/>
      <c r="AZ13" s="631"/>
      <c r="BA13" s="631"/>
      <c r="BB13" s="634">
        <v>0.1</v>
      </c>
      <c r="BC13" s="635"/>
      <c r="BD13" s="488"/>
      <c r="BE13" s="610"/>
      <c r="BF13" s="630"/>
      <c r="BG13" s="610"/>
      <c r="BH13" s="610">
        <f>BI13*2-BB13</f>
        <v>0</v>
      </c>
      <c r="BI13" s="610">
        <v>0.05</v>
      </c>
      <c r="BJ13" s="630"/>
      <c r="BK13" s="636"/>
      <c r="BL13" s="636"/>
      <c r="BM13" s="636"/>
      <c r="BO13" s="630"/>
      <c r="BP13" s="631"/>
      <c r="BQ13" s="554"/>
      <c r="BR13" s="631"/>
      <c r="BS13" s="554"/>
      <c r="BT13" s="637">
        <v>-0.06</v>
      </c>
      <c r="BU13" s="637">
        <v>-0.01</v>
      </c>
      <c r="BV13" s="637"/>
      <c r="BW13" s="554"/>
      <c r="BX13" s="637">
        <f>(BY13*2+BT13)/3</f>
        <v>-2.6666666666666668E-2</v>
      </c>
      <c r="BY13" s="634">
        <v>-0.01</v>
      </c>
      <c r="BZ13" s="554"/>
      <c r="CA13" s="554"/>
      <c r="CB13" s="631"/>
      <c r="CC13" s="631"/>
      <c r="CD13" s="631"/>
      <c r="CE13" s="631"/>
      <c r="CF13" s="630"/>
      <c r="CG13" s="638"/>
      <c r="CL13" s="639"/>
      <c r="CW13" s="629"/>
      <c r="CX13" s="559"/>
      <c r="DI13" s="627">
        <f>+DK13-DB13</f>
        <v>0</v>
      </c>
      <c r="DL13" s="640"/>
      <c r="DM13" s="626"/>
      <c r="DN13" s="610"/>
      <c r="DO13" s="610"/>
      <c r="DP13" s="641"/>
      <c r="DQ13" s="641"/>
      <c r="DR13" s="641"/>
      <c r="DS13" s="642"/>
      <c r="DT13" s="626"/>
      <c r="DU13" s="610"/>
      <c r="DV13" s="610"/>
      <c r="DX13" s="641"/>
      <c r="DY13" s="641"/>
      <c r="DZ13" s="568"/>
      <c r="EC13" s="641"/>
      <c r="ED13" s="640"/>
      <c r="EE13" s="630"/>
      <c r="EG13" s="638"/>
      <c r="EU13" s="629"/>
      <c r="EV13" s="501"/>
      <c r="EZ13" s="559"/>
      <c r="FA13" s="559"/>
      <c r="FB13" s="559"/>
      <c r="FC13" s="559"/>
      <c r="FD13" s="559"/>
      <c r="FE13" s="559"/>
      <c r="FF13" s="559"/>
      <c r="FG13" s="559"/>
      <c r="FH13" s="559"/>
      <c r="FI13" s="559"/>
      <c r="FJ13" s="559"/>
      <c r="FK13" s="571"/>
      <c r="FL13" s="640"/>
      <c r="FM13" s="610"/>
      <c r="FN13" s="641"/>
      <c r="FO13" s="641"/>
      <c r="FP13" s="641"/>
      <c r="FQ13" s="642"/>
      <c r="FR13" s="642"/>
      <c r="FT13" s="641"/>
      <c r="FU13" s="641"/>
      <c r="FW13" s="641"/>
      <c r="FX13" s="641"/>
      <c r="GD13" s="629"/>
      <c r="GH13" s="641"/>
      <c r="GI13" s="641"/>
      <c r="GJ13" s="643"/>
      <c r="GK13" s="641"/>
      <c r="GL13" s="641"/>
      <c r="GM13" s="641"/>
      <c r="GN13" s="641"/>
      <c r="GO13" s="641"/>
      <c r="GP13" s="641"/>
      <c r="GQ13" s="641"/>
      <c r="GV13" s="629"/>
      <c r="GX13" s="641"/>
      <c r="GY13" s="641"/>
      <c r="GZ13" s="641"/>
      <c r="HA13" s="643"/>
      <c r="HB13" s="641"/>
      <c r="HC13" s="641"/>
      <c r="HD13" s="641"/>
      <c r="HE13" s="641"/>
      <c r="HF13" s="641"/>
      <c r="HG13" s="641"/>
      <c r="HH13" s="641"/>
      <c r="HI13" s="641"/>
      <c r="HJ13" s="641"/>
      <c r="HK13" s="641"/>
      <c r="HL13" s="641"/>
      <c r="HM13" s="641"/>
      <c r="HW13" s="641"/>
      <c r="HX13" s="641"/>
      <c r="HY13" s="641"/>
      <c r="IA13" s="641"/>
      <c r="IB13" s="641"/>
      <c r="IC13" s="643"/>
      <c r="ID13" s="641"/>
      <c r="IE13" s="2251"/>
      <c r="IF13" s="2252"/>
      <c r="IG13" s="2252"/>
      <c r="IH13" s="2252"/>
      <c r="II13" s="2252"/>
      <c r="IJ13" s="2252"/>
      <c r="IK13" s="2252"/>
      <c r="IL13" s="2252"/>
      <c r="IM13" s="2252"/>
      <c r="IN13" s="2252"/>
      <c r="IO13" s="2252"/>
      <c r="IP13" s="2253"/>
      <c r="IQ13" s="2252"/>
      <c r="IR13" s="2253">
        <v>74936</v>
      </c>
      <c r="IS13" s="2254"/>
      <c r="IT13" s="2252"/>
      <c r="IU13" s="2252"/>
      <c r="IV13" s="2252"/>
      <c r="IW13" s="2252"/>
      <c r="IX13" s="2252"/>
      <c r="IY13" s="2252"/>
      <c r="IZ13" s="2252"/>
      <c r="JA13" s="2252"/>
      <c r="JB13" s="2252"/>
      <c r="JC13" s="2252"/>
      <c r="JD13" s="2252">
        <v>121015</v>
      </c>
      <c r="JE13" s="2252"/>
      <c r="JF13" s="2252"/>
      <c r="JG13" s="2252"/>
      <c r="JH13" s="2253"/>
      <c r="JI13" s="2254"/>
      <c r="JJ13" s="2251"/>
      <c r="JK13" s="2252"/>
      <c r="JL13" s="2252"/>
      <c r="JM13" s="2252"/>
      <c r="JN13" s="2252"/>
      <c r="JO13" s="2252"/>
      <c r="JP13" s="2252"/>
      <c r="JQ13" s="2252"/>
      <c r="JR13" s="2252"/>
      <c r="JS13" s="2252"/>
      <c r="JT13" s="2252"/>
      <c r="JU13" s="2252"/>
      <c r="JV13" s="2252"/>
      <c r="JW13" s="2252"/>
      <c r="JX13" s="2252"/>
      <c r="JY13" s="2252"/>
      <c r="JZ13" s="1691"/>
      <c r="KA13" s="2255"/>
      <c r="KB13" s="2252"/>
      <c r="KC13" s="2252"/>
      <c r="KD13" s="2252"/>
      <c r="KE13" s="2252"/>
      <c r="KF13" s="2252"/>
      <c r="KG13" s="2252"/>
      <c r="KH13" s="2252"/>
      <c r="KI13" s="2255"/>
      <c r="KJ13" s="503"/>
      <c r="KK13" s="641"/>
      <c r="KL13" s="641"/>
      <c r="KM13" s="641"/>
      <c r="KN13" s="503"/>
      <c r="KO13" s="641"/>
      <c r="KP13" s="641"/>
      <c r="KQ13" s="642"/>
      <c r="KR13" s="641"/>
      <c r="KS13" s="642"/>
      <c r="KT13" s="641"/>
      <c r="KU13" s="641"/>
      <c r="KV13" s="641"/>
      <c r="KW13" s="642"/>
      <c r="KX13" s="641"/>
      <c r="KY13" s="641"/>
      <c r="KZ13" s="642"/>
      <c r="LA13" s="641"/>
      <c r="LB13" s="641"/>
      <c r="LC13" s="642"/>
      <c r="LD13" s="642"/>
      <c r="LE13" s="641"/>
      <c r="LF13" s="641"/>
      <c r="LG13" s="642"/>
    </row>
    <row r="14" spans="1:319" s="627" customFormat="1" ht="12" hidden="1" outlineLevel="1">
      <c r="B14" s="628" t="s">
        <v>1038</v>
      </c>
      <c r="C14" s="629" t="s">
        <v>968</v>
      </c>
      <c r="D14" s="630"/>
      <c r="G14" s="629"/>
      <c r="J14" s="629"/>
      <c r="K14" s="631"/>
      <c r="L14" s="631"/>
      <c r="M14" s="631"/>
      <c r="N14" s="631"/>
      <c r="O14" s="631"/>
      <c r="P14" s="631"/>
      <c r="Q14" s="631"/>
      <c r="R14" s="631"/>
      <c r="S14" s="632"/>
      <c r="T14" s="631"/>
      <c r="U14" s="631"/>
      <c r="V14" s="631"/>
      <c r="W14" s="631"/>
      <c r="X14" s="631"/>
      <c r="Y14" s="631"/>
      <c r="Z14" s="631"/>
      <c r="AA14" s="631"/>
      <c r="AB14" s="632"/>
      <c r="AC14" s="631"/>
      <c r="AD14" s="631"/>
      <c r="AE14" s="631"/>
      <c r="AF14" s="631"/>
      <c r="AG14" s="631"/>
      <c r="AH14" s="631"/>
      <c r="AI14" s="631"/>
      <c r="AJ14" s="631"/>
      <c r="AK14" s="630"/>
      <c r="AL14" s="631"/>
      <c r="AM14" s="631"/>
      <c r="AN14" s="631"/>
      <c r="AO14" s="631"/>
      <c r="AP14" s="631"/>
      <c r="AQ14" s="610"/>
      <c r="AR14" s="610"/>
      <c r="AS14" s="610"/>
      <c r="AT14" s="630"/>
      <c r="AU14" s="631"/>
      <c r="AV14" s="631"/>
      <c r="AW14" s="633" t="s">
        <v>967</v>
      </c>
      <c r="AX14" s="631"/>
      <c r="AY14" s="631"/>
      <c r="AZ14" s="631"/>
      <c r="BA14" s="631"/>
      <c r="BB14" s="634">
        <v>0.12</v>
      </c>
      <c r="BC14" s="635"/>
      <c r="BD14" s="488"/>
      <c r="BE14" s="610"/>
      <c r="BF14" s="630"/>
      <c r="BG14" s="610"/>
      <c r="BH14" s="610">
        <f>BI14*2-BB14</f>
        <v>-1.999999999999999E-2</v>
      </c>
      <c r="BI14" s="610">
        <v>0.05</v>
      </c>
      <c r="BJ14" s="630"/>
      <c r="BK14" s="636"/>
      <c r="BL14" s="636"/>
      <c r="BM14" s="636"/>
      <c r="BO14" s="630"/>
      <c r="BP14" s="631"/>
      <c r="BQ14" s="554"/>
      <c r="BR14" s="631"/>
      <c r="BS14" s="554"/>
      <c r="BT14" s="637">
        <v>0</v>
      </c>
      <c r="BU14" s="637"/>
      <c r="BV14" s="637"/>
      <c r="BW14" s="554"/>
      <c r="BX14" s="637">
        <f>(BY14*2+BT14)/3</f>
        <v>0.04</v>
      </c>
      <c r="BY14" s="634">
        <v>0.06</v>
      </c>
      <c r="BZ14" s="554"/>
      <c r="CA14" s="554"/>
      <c r="CB14" s="631"/>
      <c r="CC14" s="631"/>
      <c r="CD14" s="631"/>
      <c r="CE14" s="631"/>
      <c r="CF14" s="630"/>
      <c r="CG14" s="638"/>
      <c r="CL14" s="639"/>
      <c r="CW14" s="629"/>
      <c r="CX14" s="559"/>
      <c r="DI14" s="627">
        <f>+DK14-DB14</f>
        <v>0</v>
      </c>
      <c r="DL14" s="640"/>
      <c r="DM14" s="626"/>
      <c r="DN14" s="610"/>
      <c r="DO14" s="610"/>
      <c r="DP14" s="641"/>
      <c r="DQ14" s="641"/>
      <c r="DR14" s="641"/>
      <c r="DS14" s="642"/>
      <c r="DT14" s="626"/>
      <c r="DU14" s="610"/>
      <c r="DV14" s="610"/>
      <c r="DX14" s="641"/>
      <c r="DY14" s="641"/>
      <c r="DZ14" s="568"/>
      <c r="EC14" s="641"/>
      <c r="ED14" s="640"/>
      <c r="EE14" s="630"/>
      <c r="EG14" s="638"/>
      <c r="EU14" s="629"/>
      <c r="EV14" s="501"/>
      <c r="EZ14" s="559"/>
      <c r="FA14" s="559"/>
      <c r="FB14" s="559"/>
      <c r="FC14" s="559"/>
      <c r="FD14" s="559"/>
      <c r="FE14" s="559"/>
      <c r="FF14" s="559"/>
      <c r="FG14" s="559"/>
      <c r="FH14" s="559"/>
      <c r="FI14" s="559"/>
      <c r="FJ14" s="559"/>
      <c r="FK14" s="571"/>
      <c r="FL14" s="640"/>
      <c r="FM14" s="610"/>
      <c r="FN14" s="641"/>
      <c r="FO14" s="641"/>
      <c r="FP14" s="641"/>
      <c r="FQ14" s="642"/>
      <c r="FR14" s="642"/>
      <c r="FT14" s="641"/>
      <c r="FU14" s="641"/>
      <c r="FW14" s="641"/>
      <c r="FX14" s="641"/>
      <c r="GD14" s="629"/>
      <c r="GH14" s="641"/>
      <c r="GI14" s="641"/>
      <c r="GJ14" s="643"/>
      <c r="GK14" s="641"/>
      <c r="GL14" s="641"/>
      <c r="GM14" s="641"/>
      <c r="GN14" s="641"/>
      <c r="GO14" s="641"/>
      <c r="GP14" s="641"/>
      <c r="GQ14" s="641"/>
      <c r="GV14" s="629"/>
      <c r="GX14" s="641"/>
      <c r="GY14" s="641"/>
      <c r="GZ14" s="641"/>
      <c r="HA14" s="643"/>
      <c r="HB14" s="641"/>
      <c r="HC14" s="641"/>
      <c r="HD14" s="641"/>
      <c r="HE14" s="641"/>
      <c r="HF14" s="641"/>
      <c r="HG14" s="641"/>
      <c r="HH14" s="641"/>
      <c r="HI14" s="641"/>
      <c r="HJ14" s="641"/>
      <c r="HK14" s="641"/>
      <c r="HL14" s="641"/>
      <c r="HM14" s="641"/>
      <c r="HW14" s="641"/>
      <c r="HX14" s="641"/>
      <c r="HY14" s="641"/>
      <c r="IA14" s="641"/>
      <c r="IB14" s="641"/>
      <c r="IC14" s="643"/>
      <c r="ID14" s="641"/>
      <c r="IE14" s="2251"/>
      <c r="IF14" s="2252"/>
      <c r="IG14" s="2252"/>
      <c r="IH14" s="2252"/>
      <c r="II14" s="2252"/>
      <c r="IJ14" s="2252"/>
      <c r="IK14" s="2252"/>
      <c r="IL14" s="2252"/>
      <c r="IM14" s="2252"/>
      <c r="IN14" s="2252"/>
      <c r="IO14" s="2252"/>
      <c r="IP14" s="2253"/>
      <c r="IQ14" s="2252"/>
      <c r="IR14" s="2253">
        <f>114271-IR13</f>
        <v>39335</v>
      </c>
      <c r="IS14" s="2254"/>
      <c r="IT14" s="2252"/>
      <c r="IU14" s="2252"/>
      <c r="IV14" s="2252"/>
      <c r="IW14" s="2252"/>
      <c r="IX14" s="2252"/>
      <c r="IY14" s="2252"/>
      <c r="IZ14" s="2252"/>
      <c r="JA14" s="2252"/>
      <c r="JB14" s="2252"/>
      <c r="JC14" s="2252"/>
      <c r="JD14" s="2252">
        <f>178381-JD13</f>
        <v>57366</v>
      </c>
      <c r="JE14" s="2252"/>
      <c r="JF14" s="2252"/>
      <c r="JG14" s="2252"/>
      <c r="JH14" s="2253"/>
      <c r="JI14" s="2254"/>
      <c r="JJ14" s="2251"/>
      <c r="JK14" s="2252"/>
      <c r="JL14" s="2252"/>
      <c r="JM14" s="2252"/>
      <c r="JN14" s="2252"/>
      <c r="JO14" s="2252"/>
      <c r="JP14" s="2252"/>
      <c r="JQ14" s="2252"/>
      <c r="JR14" s="2252"/>
      <c r="JS14" s="2252"/>
      <c r="JT14" s="2252"/>
      <c r="JU14" s="2252"/>
      <c r="JV14" s="2252"/>
      <c r="JW14" s="2252"/>
      <c r="JX14" s="2252"/>
      <c r="JY14" s="2252"/>
      <c r="JZ14" s="1691"/>
      <c r="KA14" s="2255"/>
      <c r="KB14" s="2252"/>
      <c r="KC14" s="2252"/>
      <c r="KD14" s="2252"/>
      <c r="KE14" s="2252"/>
      <c r="KF14" s="2252"/>
      <c r="KG14" s="2252"/>
      <c r="KH14" s="2252"/>
      <c r="KI14" s="2255"/>
      <c r="KJ14" s="503"/>
      <c r="KK14" s="641"/>
      <c r="KL14" s="641"/>
      <c r="KM14" s="641"/>
      <c r="KN14" s="503"/>
      <c r="KO14" s="641"/>
      <c r="KP14" s="641"/>
      <c r="KQ14" s="642"/>
      <c r="KR14" s="641"/>
      <c r="KS14" s="642"/>
      <c r="KT14" s="641"/>
      <c r="KU14" s="641"/>
      <c r="KV14" s="641"/>
      <c r="KW14" s="642"/>
      <c r="KX14" s="641"/>
      <c r="KY14" s="641"/>
      <c r="KZ14" s="642"/>
      <c r="LA14" s="641"/>
      <c r="LB14" s="641"/>
      <c r="LC14" s="642"/>
      <c r="LD14" s="642"/>
      <c r="LE14" s="641"/>
      <c r="LF14" s="641"/>
      <c r="LG14" s="642"/>
    </row>
    <row r="15" spans="1:319" s="2258" customFormat="1" ht="12" hidden="1" outlineLevel="1">
      <c r="C15" s="2259"/>
      <c r="D15" s="2260"/>
      <c r="G15" s="2259"/>
      <c r="J15" s="2259"/>
      <c r="K15" s="2256"/>
      <c r="L15" s="2256"/>
      <c r="M15" s="2256"/>
      <c r="N15" s="2256"/>
      <c r="O15" s="2256"/>
      <c r="P15" s="2256"/>
      <c r="Q15" s="2256"/>
      <c r="R15" s="2256"/>
      <c r="S15" s="2261"/>
      <c r="T15" s="2256"/>
      <c r="U15" s="2256"/>
      <c r="V15" s="2256"/>
      <c r="W15" s="2256"/>
      <c r="X15" s="2256"/>
      <c r="Y15" s="2256"/>
      <c r="Z15" s="2256"/>
      <c r="AA15" s="2256"/>
      <c r="AB15" s="2261"/>
      <c r="AC15" s="2256"/>
      <c r="AD15" s="2256"/>
      <c r="AE15" s="2256"/>
      <c r="AF15" s="2256"/>
      <c r="AG15" s="2256"/>
      <c r="AH15" s="2256"/>
      <c r="AI15" s="2256"/>
      <c r="AJ15" s="2256"/>
      <c r="AK15" s="2260"/>
      <c r="AL15" s="2256"/>
      <c r="AM15" s="2256"/>
      <c r="AN15" s="2256"/>
      <c r="AO15" s="2256"/>
      <c r="AP15" s="2256"/>
      <c r="AQ15" s="2256"/>
      <c r="AR15" s="2256"/>
      <c r="AS15" s="2256"/>
      <c r="AT15" s="2260"/>
      <c r="AU15" s="2256"/>
      <c r="AV15" s="2256"/>
      <c r="AW15" s="2262"/>
      <c r="AX15" s="2256"/>
      <c r="AY15" s="2256"/>
      <c r="AZ15" s="2256"/>
      <c r="BA15" s="2256"/>
      <c r="BB15" s="2256"/>
      <c r="BC15" s="2256"/>
      <c r="BD15" s="1808"/>
      <c r="BE15" s="2256"/>
      <c r="BF15" s="2260"/>
      <c r="BG15" s="2256"/>
      <c r="BH15" s="2256"/>
      <c r="BI15" s="2256"/>
      <c r="BJ15" s="2260"/>
      <c r="BO15" s="2260"/>
      <c r="BP15" s="2256"/>
      <c r="BQ15" s="1808"/>
      <c r="BR15" s="2256"/>
      <c r="BS15" s="1808"/>
      <c r="BT15" s="2256"/>
      <c r="BU15" s="2256"/>
      <c r="BV15" s="2256"/>
      <c r="BW15" s="1808"/>
      <c r="BX15" s="2256"/>
      <c r="BY15" s="2256"/>
      <c r="BZ15" s="1808"/>
      <c r="CA15" s="1808"/>
      <c r="CB15" s="2256"/>
      <c r="CC15" s="2256"/>
      <c r="CD15" s="2256"/>
      <c r="CE15" s="2256"/>
      <c r="CF15" s="2260"/>
      <c r="CG15" s="2263"/>
      <c r="CW15" s="2259"/>
      <c r="CX15" s="666"/>
      <c r="DL15" s="2264"/>
      <c r="DM15" s="1685"/>
      <c r="DN15" s="2256"/>
      <c r="DO15" s="2256"/>
      <c r="DP15" s="2257"/>
      <c r="DQ15" s="2257"/>
      <c r="DR15" s="2257"/>
      <c r="DS15" s="2265"/>
      <c r="DT15" s="1685"/>
      <c r="DU15" s="2256"/>
      <c r="DV15" s="2256"/>
      <c r="DX15" s="2257"/>
      <c r="DY15" s="2257"/>
      <c r="DZ15" s="2266"/>
      <c r="EC15" s="2257"/>
      <c r="ED15" s="2264"/>
      <c r="EE15" s="2260"/>
      <c r="EG15" s="2263"/>
      <c r="EU15" s="2259"/>
      <c r="EV15" s="1752"/>
      <c r="EZ15" s="666"/>
      <c r="FA15" s="666"/>
      <c r="FB15" s="666"/>
      <c r="FC15" s="666"/>
      <c r="FD15" s="666"/>
      <c r="FE15" s="666"/>
      <c r="FF15" s="666"/>
      <c r="FG15" s="666"/>
      <c r="FH15" s="666"/>
      <c r="FI15" s="666"/>
      <c r="FJ15" s="666"/>
      <c r="FK15" s="1700"/>
      <c r="FL15" s="2264"/>
      <c r="FM15" s="2256"/>
      <c r="FN15" s="2257"/>
      <c r="FO15" s="2257"/>
      <c r="FP15" s="2257"/>
      <c r="FQ15" s="2265"/>
      <c r="FR15" s="2265"/>
      <c r="FT15" s="2257"/>
      <c r="FU15" s="2257"/>
      <c r="FW15" s="2257"/>
      <c r="FX15" s="2257"/>
      <c r="GD15" s="2259"/>
      <c r="GH15" s="2257"/>
      <c r="GI15" s="2257"/>
      <c r="GJ15" s="2267"/>
      <c r="GK15" s="2257"/>
      <c r="GL15" s="2257"/>
      <c r="GM15" s="2257"/>
      <c r="GN15" s="2257"/>
      <c r="GO15" s="2257"/>
      <c r="GP15" s="2257"/>
      <c r="GQ15" s="2257"/>
      <c r="GV15" s="2259"/>
      <c r="GX15" s="2257"/>
      <c r="GY15" s="2257"/>
      <c r="GZ15" s="2257"/>
      <c r="HA15" s="2267"/>
      <c r="HB15" s="2257"/>
      <c r="HC15" s="2257"/>
      <c r="HD15" s="2257"/>
      <c r="HE15" s="2257"/>
      <c r="HF15" s="2257"/>
      <c r="HG15" s="2257"/>
      <c r="HH15" s="2257"/>
      <c r="HI15" s="2257"/>
      <c r="HJ15" s="2257"/>
      <c r="HK15" s="2257"/>
      <c r="HL15" s="2257"/>
      <c r="HM15" s="2257"/>
      <c r="HW15" s="2257"/>
      <c r="HX15" s="2257"/>
      <c r="HY15" s="2257"/>
      <c r="IA15" s="2257"/>
      <c r="IB15" s="2257"/>
      <c r="IC15" s="2267"/>
      <c r="ID15" s="2257"/>
      <c r="IE15" s="2268"/>
      <c r="IF15" s="2257"/>
      <c r="IG15" s="2257"/>
      <c r="IH15" s="2257"/>
      <c r="II15" s="2257"/>
      <c r="IJ15" s="2257"/>
      <c r="IK15" s="2257"/>
      <c r="IL15" s="2257"/>
      <c r="IM15" s="2257"/>
      <c r="IN15" s="2257"/>
      <c r="IO15" s="2257"/>
      <c r="IP15" s="2265"/>
      <c r="IQ15" s="2257"/>
      <c r="IR15" s="2265"/>
      <c r="IS15" s="1733"/>
      <c r="IT15" s="2257"/>
      <c r="IU15" s="2257"/>
      <c r="IV15" s="2257"/>
      <c r="IW15" s="2257"/>
      <c r="IX15" s="2257"/>
      <c r="IY15" s="2257"/>
      <c r="IZ15" s="2257"/>
      <c r="JA15" s="2257"/>
      <c r="JB15" s="2257"/>
      <c r="JC15" s="2257"/>
      <c r="JD15" s="2257">
        <f>+JD13/IR13-1</f>
        <v>0.61491139105369919</v>
      </c>
      <c r="JE15" s="2257"/>
      <c r="JF15" s="2257"/>
      <c r="JG15" s="2257"/>
      <c r="JH15" s="2265"/>
      <c r="JI15" s="1733"/>
      <c r="JJ15" s="2268"/>
      <c r="JK15" s="2257"/>
      <c r="JL15" s="2257"/>
      <c r="JM15" s="2257"/>
      <c r="JN15" s="2257"/>
      <c r="JO15" s="2257"/>
      <c r="JP15" s="2257"/>
      <c r="JQ15" s="2257"/>
      <c r="JR15" s="2257"/>
      <c r="JS15" s="2257"/>
      <c r="JT15" s="2257"/>
      <c r="JU15" s="2257"/>
      <c r="JV15" s="2257"/>
      <c r="JW15" s="2257"/>
      <c r="JX15" s="2257"/>
      <c r="JY15" s="2257"/>
      <c r="JZ15" s="1641"/>
      <c r="KA15" s="1752"/>
      <c r="KB15" s="2257"/>
      <c r="KC15" s="2257"/>
      <c r="KD15" s="2257"/>
      <c r="KE15" s="2257"/>
      <c r="KF15" s="2257"/>
      <c r="KG15" s="2257"/>
      <c r="KH15" s="2257"/>
      <c r="KI15" s="1752"/>
      <c r="KJ15" s="1641"/>
      <c r="KK15" s="2257"/>
      <c r="KL15" s="2257"/>
      <c r="KM15" s="2257"/>
      <c r="KN15" s="1641"/>
      <c r="KO15" s="2257"/>
      <c r="KP15" s="2257"/>
      <c r="KQ15" s="2265"/>
      <c r="KR15" s="2257"/>
      <c r="KS15" s="2265"/>
      <c r="KT15" s="2257"/>
      <c r="KU15" s="2257"/>
      <c r="KV15" s="2257"/>
      <c r="KW15" s="2265"/>
      <c r="KX15" s="2257"/>
      <c r="KY15" s="2257"/>
      <c r="KZ15" s="2265"/>
      <c r="LA15" s="2257"/>
      <c r="LB15" s="2257"/>
      <c r="LC15" s="2265"/>
      <c r="LD15" s="2265"/>
      <c r="LE15" s="2257"/>
      <c r="LF15" s="2257"/>
      <c r="LG15" s="2265"/>
    </row>
    <row r="16" spans="1:319" s="2258" customFormat="1" ht="12" hidden="1" outlineLevel="1">
      <c r="C16" s="2259"/>
      <c r="D16" s="2260"/>
      <c r="G16" s="2259"/>
      <c r="J16" s="2259"/>
      <c r="K16" s="2256"/>
      <c r="L16" s="2256"/>
      <c r="M16" s="2256"/>
      <c r="N16" s="2256"/>
      <c r="O16" s="2256"/>
      <c r="P16" s="2256"/>
      <c r="Q16" s="2256"/>
      <c r="R16" s="2256"/>
      <c r="S16" s="2261"/>
      <c r="T16" s="2256"/>
      <c r="U16" s="2256"/>
      <c r="V16" s="2256"/>
      <c r="W16" s="2256"/>
      <c r="X16" s="2256"/>
      <c r="Y16" s="2256"/>
      <c r="Z16" s="2256"/>
      <c r="AA16" s="2256"/>
      <c r="AB16" s="2261"/>
      <c r="AC16" s="2256"/>
      <c r="AD16" s="2256"/>
      <c r="AE16" s="2256"/>
      <c r="AF16" s="2256"/>
      <c r="AG16" s="2256"/>
      <c r="AH16" s="2256"/>
      <c r="AI16" s="2256"/>
      <c r="AJ16" s="2256"/>
      <c r="AK16" s="2260"/>
      <c r="AL16" s="2256"/>
      <c r="AM16" s="2256"/>
      <c r="AN16" s="2256"/>
      <c r="AO16" s="2256"/>
      <c r="AP16" s="2256"/>
      <c r="AQ16" s="2256"/>
      <c r="AR16" s="2256"/>
      <c r="AS16" s="2256"/>
      <c r="AT16" s="2260"/>
      <c r="AU16" s="2256"/>
      <c r="AV16" s="2256"/>
      <c r="AW16" s="2262"/>
      <c r="AX16" s="2256"/>
      <c r="AY16" s="2256"/>
      <c r="AZ16" s="2256"/>
      <c r="BA16" s="2256"/>
      <c r="BB16" s="2256"/>
      <c r="BC16" s="2256"/>
      <c r="BD16" s="1808"/>
      <c r="BE16" s="2256"/>
      <c r="BF16" s="2260"/>
      <c r="BG16" s="2256"/>
      <c r="BH16" s="2256"/>
      <c r="BI16" s="2256"/>
      <c r="BJ16" s="2260"/>
      <c r="BO16" s="2260"/>
      <c r="BP16" s="2256"/>
      <c r="BQ16" s="1808"/>
      <c r="BR16" s="2256"/>
      <c r="BS16" s="1808"/>
      <c r="BT16" s="2256"/>
      <c r="BU16" s="2256"/>
      <c r="BV16" s="2256"/>
      <c r="BW16" s="1808"/>
      <c r="BX16" s="2256"/>
      <c r="BY16" s="2256"/>
      <c r="BZ16" s="1808"/>
      <c r="CA16" s="1808"/>
      <c r="CB16" s="2256"/>
      <c r="CC16" s="2256"/>
      <c r="CD16" s="2256"/>
      <c r="CE16" s="2256"/>
      <c r="CF16" s="2260"/>
      <c r="CG16" s="2263"/>
      <c r="CW16" s="2259"/>
      <c r="CX16" s="666"/>
      <c r="DL16" s="2264"/>
      <c r="DM16" s="1685"/>
      <c r="DN16" s="2256"/>
      <c r="DO16" s="2256"/>
      <c r="DP16" s="2257"/>
      <c r="DQ16" s="2257"/>
      <c r="DR16" s="2257"/>
      <c r="DS16" s="2265"/>
      <c r="DT16" s="1685"/>
      <c r="DU16" s="2256"/>
      <c r="DV16" s="2256"/>
      <c r="DX16" s="2257"/>
      <c r="DY16" s="2257"/>
      <c r="DZ16" s="2266"/>
      <c r="EC16" s="2257"/>
      <c r="ED16" s="2264"/>
      <c r="EE16" s="2260"/>
      <c r="EG16" s="2263"/>
      <c r="EU16" s="2259"/>
      <c r="EV16" s="1752"/>
      <c r="EZ16" s="666"/>
      <c r="FA16" s="666"/>
      <c r="FB16" s="666"/>
      <c r="FC16" s="666"/>
      <c r="FD16" s="666"/>
      <c r="FE16" s="666"/>
      <c r="FF16" s="666"/>
      <c r="FG16" s="666"/>
      <c r="FH16" s="666"/>
      <c r="FI16" s="666"/>
      <c r="FJ16" s="666"/>
      <c r="FK16" s="1700"/>
      <c r="FL16" s="2264"/>
      <c r="FM16" s="2256"/>
      <c r="FN16" s="2257"/>
      <c r="FO16" s="2257"/>
      <c r="FP16" s="2257"/>
      <c r="FQ16" s="2265"/>
      <c r="FR16" s="2265"/>
      <c r="FT16" s="2257"/>
      <c r="FU16" s="2257"/>
      <c r="FW16" s="2257"/>
      <c r="FX16" s="2257"/>
      <c r="GD16" s="2259"/>
      <c r="GH16" s="2257"/>
      <c r="GI16" s="2257"/>
      <c r="GJ16" s="2267"/>
      <c r="GK16" s="2257"/>
      <c r="GL16" s="2257"/>
      <c r="GM16" s="2257"/>
      <c r="GN16" s="2257"/>
      <c r="GO16" s="2257"/>
      <c r="GP16" s="2257"/>
      <c r="GQ16" s="2257"/>
      <c r="GV16" s="2259"/>
      <c r="GX16" s="2257"/>
      <c r="GY16" s="2257"/>
      <c r="GZ16" s="2257"/>
      <c r="HA16" s="2267"/>
      <c r="HB16" s="2257"/>
      <c r="HC16" s="2257"/>
      <c r="HD16" s="2257"/>
      <c r="HE16" s="2257"/>
      <c r="HF16" s="2257"/>
      <c r="HG16" s="2257"/>
      <c r="HH16" s="2257"/>
      <c r="HI16" s="2257"/>
      <c r="HJ16" s="2257"/>
      <c r="HK16" s="2257"/>
      <c r="HL16" s="2257"/>
      <c r="HM16" s="2257"/>
      <c r="HW16" s="2257"/>
      <c r="HX16" s="2257"/>
      <c r="HY16" s="2257"/>
      <c r="IA16" s="2257"/>
      <c r="IB16" s="2257"/>
      <c r="IC16" s="2267"/>
      <c r="ID16" s="2257"/>
      <c r="IE16" s="2268"/>
      <c r="IF16" s="2257"/>
      <c r="IG16" s="2257"/>
      <c r="IH16" s="2257"/>
      <c r="II16" s="2257"/>
      <c r="IJ16" s="2257"/>
      <c r="IK16" s="2257"/>
      <c r="IL16" s="2257"/>
      <c r="IM16" s="2257"/>
      <c r="IN16" s="2257"/>
      <c r="IO16" s="2257"/>
      <c r="IP16" s="2265"/>
      <c r="IQ16" s="2257"/>
      <c r="IR16" s="2265"/>
      <c r="IS16" s="1733"/>
      <c r="IT16" s="2257"/>
      <c r="IU16" s="2257"/>
      <c r="IV16" s="2257"/>
      <c r="IW16" s="2257"/>
      <c r="IX16" s="2257"/>
      <c r="IY16" s="2257"/>
      <c r="IZ16" s="2257"/>
      <c r="JA16" s="2257"/>
      <c r="JB16" s="2257"/>
      <c r="JC16" s="2257"/>
      <c r="JD16" s="2257">
        <f>+JD14/IR14-1</f>
        <v>0.45839583068514056</v>
      </c>
      <c r="JE16" s="2257"/>
      <c r="JF16" s="2257"/>
      <c r="JG16" s="2257"/>
      <c r="JH16" s="2265"/>
      <c r="JI16" s="1733"/>
      <c r="JJ16" s="2268"/>
      <c r="JK16" s="2276">
        <v>138.4</v>
      </c>
      <c r="JL16" s="2276">
        <v>137.46</v>
      </c>
      <c r="JM16" s="2276"/>
      <c r="JN16" s="2276"/>
      <c r="JO16" s="2276"/>
      <c r="JP16" s="2276"/>
      <c r="JQ16" s="2276"/>
      <c r="JR16" s="2276"/>
      <c r="JS16" s="2276"/>
      <c r="JT16" s="2257"/>
      <c r="JU16" s="2257"/>
      <c r="JV16" s="2257"/>
      <c r="JW16" s="2257"/>
      <c r="JX16" s="2257"/>
      <c r="JY16" s="2257"/>
      <c r="JZ16" s="1641"/>
      <c r="KA16" s="1752"/>
      <c r="KB16" s="2257"/>
      <c r="KC16" s="2257"/>
      <c r="KD16" s="2257"/>
      <c r="KE16" s="2257"/>
      <c r="KF16" s="2257"/>
      <c r="KG16" s="2257"/>
      <c r="KH16" s="2257"/>
      <c r="KI16" s="1752"/>
      <c r="KJ16" s="1641"/>
      <c r="KK16" s="2257"/>
      <c r="KL16" s="2257"/>
      <c r="KM16" s="2257"/>
      <c r="KN16" s="1641"/>
      <c r="KO16" s="2257"/>
      <c r="KP16" s="2257"/>
      <c r="KQ16" s="2265"/>
      <c r="KR16" s="2257"/>
      <c r="KS16" s="2265"/>
      <c r="KT16" s="2257"/>
      <c r="KU16" s="2257"/>
      <c r="KV16" s="2257"/>
      <c r="KW16" s="2265"/>
      <c r="KX16" s="2257"/>
      <c r="KY16" s="2257"/>
      <c r="KZ16" s="2265"/>
      <c r="LA16" s="2257"/>
      <c r="LB16" s="2257"/>
      <c r="LC16" s="2265"/>
      <c r="LD16" s="2265"/>
      <c r="LE16" s="2257"/>
      <c r="LF16" s="2257"/>
      <c r="LG16" s="2265"/>
    </row>
    <row r="17" spans="1:319" s="546" customFormat="1" ht="12" collapsed="1">
      <c r="B17" s="547" t="s">
        <v>1059</v>
      </c>
      <c r="C17" s="548" t="s">
        <v>972</v>
      </c>
      <c r="D17" s="549"/>
      <c r="G17" s="548"/>
      <c r="J17" s="548"/>
      <c r="K17" s="550"/>
      <c r="L17" s="550"/>
      <c r="M17" s="550"/>
      <c r="N17" s="550"/>
      <c r="O17" s="550"/>
      <c r="P17" s="550"/>
      <c r="Q17" s="550"/>
      <c r="R17" s="550"/>
      <c r="S17" s="551"/>
      <c r="T17" s="550"/>
      <c r="U17" s="550"/>
      <c r="V17" s="550"/>
      <c r="W17" s="550"/>
      <c r="X17" s="550"/>
      <c r="Y17" s="550">
        <v>90</v>
      </c>
      <c r="Z17" s="550">
        <v>96</v>
      </c>
      <c r="AA17" s="550">
        <v>93</v>
      </c>
      <c r="AB17" s="551"/>
      <c r="AC17" s="550">
        <v>88.5</v>
      </c>
      <c r="AD17" s="550">
        <v>79.3</v>
      </c>
      <c r="AE17" s="550">
        <v>76.8</v>
      </c>
      <c r="AF17" s="550">
        <v>89.5</v>
      </c>
      <c r="AG17" s="550">
        <v>81.5</v>
      </c>
      <c r="AH17" s="550">
        <v>83.9</v>
      </c>
      <c r="AI17" s="550">
        <v>83.2</v>
      </c>
      <c r="AJ17" s="550">
        <v>83.2</v>
      </c>
      <c r="AK17" s="549"/>
      <c r="AL17" s="550">
        <v>80.7</v>
      </c>
      <c r="AM17" s="550">
        <v>72.599999999999994</v>
      </c>
      <c r="AN17" s="550">
        <v>79.900000000000006</v>
      </c>
      <c r="AO17" s="550"/>
      <c r="AP17" s="550">
        <v>77.7</v>
      </c>
      <c r="AQ17" s="550">
        <v>76.7</v>
      </c>
      <c r="AR17" s="550">
        <v>87.6</v>
      </c>
      <c r="AS17" s="550">
        <v>82.1</v>
      </c>
      <c r="AT17" s="549"/>
      <c r="AU17" s="550">
        <v>79.28</v>
      </c>
      <c r="AV17" s="550">
        <f>BB17*2-AU17</f>
        <v>76.319999999999993</v>
      </c>
      <c r="AW17" s="552">
        <v>86.56</v>
      </c>
      <c r="AX17" s="553">
        <v>86.5</v>
      </c>
      <c r="AY17" s="552">
        <v>94</v>
      </c>
      <c r="AZ17" s="552"/>
      <c r="BA17" s="552">
        <v>86.56</v>
      </c>
      <c r="BB17" s="507">
        <v>77.8</v>
      </c>
      <c r="BC17" s="507">
        <f>BE17</f>
        <v>94.01</v>
      </c>
      <c r="BD17" s="554">
        <v>95</v>
      </c>
      <c r="BE17" s="552">
        <v>94.01</v>
      </c>
      <c r="BF17" s="549"/>
      <c r="BG17" s="550"/>
      <c r="BH17" s="550">
        <f>BI17</f>
        <v>78</v>
      </c>
      <c r="BI17" s="550">
        <v>78</v>
      </c>
      <c r="BJ17" s="549"/>
      <c r="BK17" s="546">
        <v>82</v>
      </c>
      <c r="BL17" s="546">
        <v>82</v>
      </c>
      <c r="BM17" s="546">
        <v>82</v>
      </c>
      <c r="BO17" s="549"/>
      <c r="BP17" s="552">
        <v>98.58</v>
      </c>
      <c r="BQ17" s="554"/>
      <c r="BR17" s="550">
        <f>+BY17*2-BP17</f>
        <v>96.8</v>
      </c>
      <c r="BS17" s="555">
        <v>0.26175523798890998</v>
      </c>
      <c r="BT17" s="550">
        <f>+BX17*3-BY17*2</f>
        <v>120.73000000000002</v>
      </c>
      <c r="BU17" s="550"/>
      <c r="BV17" s="550">
        <f>BV10/BV18</f>
        <v>95.794699614960976</v>
      </c>
      <c r="BW17" s="554"/>
      <c r="BX17" s="550">
        <v>105.37</v>
      </c>
      <c r="BY17" s="550">
        <v>97.69</v>
      </c>
      <c r="BZ17" s="556">
        <f>(BY17-BB17)/BB17</f>
        <v>0.25565552699228794</v>
      </c>
      <c r="CA17" s="554">
        <v>98</v>
      </c>
      <c r="CB17" s="550"/>
      <c r="CC17" s="550">
        <f>CC10/CC18</f>
        <v>107.94342990340793</v>
      </c>
      <c r="CD17" s="550"/>
      <c r="CE17" s="546">
        <v>102.88</v>
      </c>
      <c r="CF17" s="549"/>
      <c r="CG17" s="557">
        <v>101.35</v>
      </c>
      <c r="CH17" s="546">
        <v>102</v>
      </c>
      <c r="CJ17" s="546">
        <v>103.27068965517243</v>
      </c>
      <c r="CK17" s="546">
        <v>103.27068965517243</v>
      </c>
      <c r="CL17" s="558">
        <f>+CL10/CL18</f>
        <v>142.59251143168379</v>
      </c>
      <c r="CM17" s="558"/>
      <c r="CN17" s="546">
        <v>109.5526587301588</v>
      </c>
      <c r="CO17" s="546">
        <v>109.5526587301588</v>
      </c>
      <c r="CP17" s="546">
        <v>120.56</v>
      </c>
      <c r="CQ17" s="546">
        <v>113.32292452830188</v>
      </c>
      <c r="CR17" s="546">
        <v>109.45</v>
      </c>
      <c r="CS17" s="546">
        <v>108.5</v>
      </c>
      <c r="CU17" s="546">
        <f t="shared" si="14"/>
        <v>10.700000000000003</v>
      </c>
      <c r="CV17" s="546">
        <v>120</v>
      </c>
      <c r="CW17" s="548">
        <v>120.15</v>
      </c>
      <c r="CX17" s="559"/>
      <c r="CY17" s="559">
        <v>122.44</v>
      </c>
      <c r="CZ17" s="559">
        <f>+AVERAGE(DB17,CY17)</f>
        <v>121.18</v>
      </c>
      <c r="DA17" s="559">
        <v>120</v>
      </c>
      <c r="DB17" s="559">
        <v>119.92</v>
      </c>
      <c r="DC17" s="559">
        <f>+DC10/DC18</f>
        <v>121.72559848954874</v>
      </c>
      <c r="DD17" s="560">
        <v>122</v>
      </c>
      <c r="DE17" s="560">
        <f>DK17</f>
        <v>112.62</v>
      </c>
      <c r="DF17" s="180">
        <f>+DL17*4-DG17*3</f>
        <v>98.409999999999968</v>
      </c>
      <c r="DG17" s="561">
        <v>120.53</v>
      </c>
      <c r="DH17" s="560">
        <v>122</v>
      </c>
      <c r="DI17" s="560">
        <f>+DI10/DI18</f>
        <v>105.57457319041586</v>
      </c>
      <c r="DJ17" s="559">
        <v>120</v>
      </c>
      <c r="DK17" s="559">
        <v>112.62</v>
      </c>
      <c r="DL17" s="562">
        <v>115</v>
      </c>
      <c r="DM17" s="562"/>
      <c r="DN17" s="563"/>
      <c r="DO17" s="563"/>
      <c r="DP17" s="564"/>
      <c r="DQ17" s="565">
        <f>+DS17*4-DG17*3</f>
        <v>118.18207977207976</v>
      </c>
      <c r="DR17" s="565">
        <f>DR10/DR18</f>
        <v>119.96431037589254</v>
      </c>
      <c r="DS17" s="566">
        <f>DS10/DS18</f>
        <v>119.94301994301995</v>
      </c>
      <c r="DT17" s="562"/>
      <c r="DU17" s="563"/>
      <c r="DV17" s="563"/>
      <c r="DW17" s="567">
        <f>DW10/DW18</f>
        <v>120</v>
      </c>
      <c r="DX17" s="565">
        <f>DX10/DX18</f>
        <v>120.22037993393116</v>
      </c>
      <c r="DY17" s="565">
        <f>DY10/DY18</f>
        <v>120.08196721311475</v>
      </c>
      <c r="DZ17" s="568"/>
      <c r="EB17" s="567"/>
      <c r="EC17" s="565">
        <f>EC10/EC18</f>
        <v>95.205598804303932</v>
      </c>
      <c r="ED17" s="569">
        <v>102</v>
      </c>
      <c r="EE17" s="549"/>
      <c r="EG17" s="557">
        <v>102.96</v>
      </c>
      <c r="EI17" s="546">
        <f>+EI10/EI18</f>
        <v>99.289034360076087</v>
      </c>
      <c r="EJ17" s="546">
        <v>102</v>
      </c>
      <c r="EK17" s="546">
        <v>101.05</v>
      </c>
      <c r="EL17" s="546">
        <v>102</v>
      </c>
      <c r="EM17" s="546">
        <f>+EM10/EM18</f>
        <v>146.67743613247407</v>
      </c>
      <c r="EN17" s="546">
        <f>+EP17</f>
        <v>115</v>
      </c>
      <c r="EO17" s="546">
        <v>116.49</v>
      </c>
      <c r="EP17" s="546">
        <v>115</v>
      </c>
      <c r="EQ17" s="546">
        <f t="shared" ref="EQ17:ES17" si="32">+EO17</f>
        <v>116.49</v>
      </c>
      <c r="ER17" s="546">
        <f>+ET17</f>
        <v>0</v>
      </c>
      <c r="ES17" s="546">
        <f t="shared" si="32"/>
        <v>116.49</v>
      </c>
      <c r="EU17" s="548">
        <v>112.19</v>
      </c>
      <c r="EV17" s="570"/>
      <c r="EW17" s="546">
        <v>111</v>
      </c>
      <c r="EX17" s="546">
        <v>111.96</v>
      </c>
      <c r="EY17" s="546">
        <v>113.11854167663724</v>
      </c>
      <c r="EZ17" s="559">
        <f>+EZ10/EZ18</f>
        <v>113.40095953768484</v>
      </c>
      <c r="FA17" s="559">
        <v>112.56500000000001</v>
      </c>
      <c r="FB17" s="559">
        <v>112.74</v>
      </c>
      <c r="FC17" s="559">
        <v>113</v>
      </c>
      <c r="FD17" s="559"/>
      <c r="FE17" s="559">
        <v>113</v>
      </c>
      <c r="FF17" s="559">
        <v>110</v>
      </c>
      <c r="FG17" s="559">
        <v>106.25</v>
      </c>
      <c r="FH17" s="559"/>
      <c r="FI17" s="559">
        <v>106.25</v>
      </c>
      <c r="FJ17" s="559">
        <v>110</v>
      </c>
      <c r="FK17" s="571">
        <v>106.25</v>
      </c>
      <c r="FL17" s="562">
        <f>'maruchan inc'!Y99</f>
        <v>106.25</v>
      </c>
      <c r="FM17" s="552">
        <f>+FM10/FM18</f>
        <v>112.08507086893739</v>
      </c>
      <c r="FN17" s="572">
        <f>+FN10/FN18</f>
        <v>112.0253164556962</v>
      </c>
      <c r="FO17" s="572">
        <f>FP17</f>
        <v>111.22449704142012</v>
      </c>
      <c r="FP17" s="572">
        <f>+FQ17*2-FB17</f>
        <v>111.22449704142012</v>
      </c>
      <c r="FQ17" s="566">
        <f>+FQ10/FQ18</f>
        <v>111.98224852071006</v>
      </c>
      <c r="FR17" s="566"/>
      <c r="FS17" s="546">
        <v>110.45</v>
      </c>
      <c r="FT17" s="565">
        <v>110</v>
      </c>
      <c r="FU17" s="565">
        <v>110</v>
      </c>
      <c r="FV17" s="546">
        <f>+FV10/FV18</f>
        <v>116.45299089605435</v>
      </c>
      <c r="FW17" s="565">
        <v>110</v>
      </c>
      <c r="FX17" s="565"/>
      <c r="FY17" s="546">
        <v>113.58</v>
      </c>
      <c r="FZ17" s="546">
        <v>111.02</v>
      </c>
      <c r="GA17" s="546">
        <v>111.02</v>
      </c>
      <c r="GB17" s="546">
        <f>+GB10/GB18</f>
        <v>110.94549058701574</v>
      </c>
      <c r="GC17" s="546">
        <f>+GC10/GC18</f>
        <v>108.66051092858874</v>
      </c>
      <c r="GD17" s="548">
        <v>111</v>
      </c>
      <c r="GE17" s="546">
        <v>110</v>
      </c>
      <c r="GF17" s="546">
        <v>110</v>
      </c>
      <c r="GG17" s="546">
        <v>110</v>
      </c>
      <c r="GH17" s="565">
        <f>FY17</f>
        <v>113.58</v>
      </c>
      <c r="GI17" s="565">
        <v>110</v>
      </c>
      <c r="GJ17" s="573"/>
      <c r="GK17" s="574">
        <v>108</v>
      </c>
      <c r="GL17" s="574">
        <v>107.75</v>
      </c>
      <c r="GM17" s="574">
        <v>108</v>
      </c>
      <c r="GN17" s="565">
        <f>GM17</f>
        <v>108</v>
      </c>
      <c r="GO17" s="565">
        <f>+GO10/GO18</f>
        <v>108.09146668621179</v>
      </c>
      <c r="GP17" s="565">
        <v>107.93</v>
      </c>
      <c r="GQ17" s="565">
        <v>108.68</v>
      </c>
      <c r="GR17" s="565">
        <f>+GR10/GR18</f>
        <v>112.50622733174322</v>
      </c>
      <c r="GS17" s="546">
        <v>109.54</v>
      </c>
      <c r="GT17" s="546">
        <f>+GT10/GT18</f>
        <v>106.82010455150755</v>
      </c>
      <c r="GU17" s="546">
        <f>+GU10/GU18</f>
        <v>109.60368653413137</v>
      </c>
      <c r="GV17" s="548">
        <v>108.81</v>
      </c>
      <c r="GW17" s="546">
        <v>110</v>
      </c>
      <c r="GX17" s="565"/>
      <c r="GY17" s="565">
        <f>GZ17</f>
        <v>109</v>
      </c>
      <c r="GZ17" s="565">
        <f>'maruchan inc'!AA99</f>
        <v>109</v>
      </c>
      <c r="HA17" s="573"/>
      <c r="HB17" s="574">
        <v>108</v>
      </c>
      <c r="HC17" s="574"/>
      <c r="HD17" s="574">
        <v>107.71</v>
      </c>
      <c r="HE17" s="565">
        <v>107.71</v>
      </c>
      <c r="HF17" s="565">
        <f>+HF10/HF18</f>
        <v>103.6714625867604</v>
      </c>
      <c r="HG17" s="565">
        <f>+HG10/HG18</f>
        <v>103.70751361176561</v>
      </c>
      <c r="HH17" s="565">
        <f>HM17*2-HE17</f>
        <v>103.89</v>
      </c>
      <c r="HI17" s="565">
        <v>105.78</v>
      </c>
      <c r="HJ17" s="574">
        <v>106</v>
      </c>
      <c r="HK17" s="565">
        <v>106</v>
      </c>
      <c r="HL17" s="565">
        <v>105.8</v>
      </c>
      <c r="HM17" s="565">
        <v>105.8</v>
      </c>
      <c r="HN17" s="565">
        <f>+HN10/HN18</f>
        <v>99.213193266367725</v>
      </c>
      <c r="HO17" s="565">
        <f>+HO10/HO18</f>
        <v>99.002905717797162</v>
      </c>
      <c r="HP17" s="546">
        <v>103.5</v>
      </c>
      <c r="HQ17" s="546">
        <v>103.5</v>
      </c>
      <c r="HR17" s="546">
        <f>+HR10/HR18</f>
        <v>132.04701862279802</v>
      </c>
      <c r="HT17" s="546">
        <f>+HT10/HT18</f>
        <v>115.56115271922175</v>
      </c>
      <c r="HU17" s="546">
        <f>+HU10/HU18</f>
        <v>115.51916436951267</v>
      </c>
      <c r="HV17" s="546">
        <v>110.71</v>
      </c>
      <c r="HW17" s="565">
        <v>103</v>
      </c>
      <c r="HX17" s="565"/>
      <c r="HY17" s="565">
        <f>IB17</f>
        <v>110.71</v>
      </c>
      <c r="HZ17" s="546">
        <v>110.7</v>
      </c>
      <c r="IA17" s="565">
        <v>108</v>
      </c>
      <c r="IB17" s="565">
        <f>'maruchan inc'!AB99</f>
        <v>110.71</v>
      </c>
      <c r="IC17" s="573"/>
      <c r="ID17" s="574">
        <v>110</v>
      </c>
      <c r="IE17" s="575">
        <v>110.61</v>
      </c>
      <c r="IF17" s="565">
        <f>+IF10/IF18</f>
        <v>113.3019213587268</v>
      </c>
      <c r="IG17" s="576">
        <v>111.95</v>
      </c>
      <c r="IH17" s="574">
        <f>+IH10/IH18</f>
        <v>120.5265306122449</v>
      </c>
      <c r="II17" s="577">
        <v>113</v>
      </c>
      <c r="IJ17" s="577">
        <v>115.01</v>
      </c>
      <c r="IK17" s="574">
        <f>+IK10/IK18</f>
        <v>115.01011560693641</v>
      </c>
      <c r="IL17" s="574">
        <v>115</v>
      </c>
      <c r="IM17" s="574">
        <f>+IM10/IM18</f>
        <v>143.62240663900414</v>
      </c>
      <c r="IN17" s="565">
        <f>+IN10/IN18</f>
        <v>131.97942386831275</v>
      </c>
      <c r="IO17" s="565">
        <f>+IO10/IO18</f>
        <v>131.97942386831275</v>
      </c>
      <c r="IP17" s="566">
        <f>'maruchan inc'!AD99</f>
        <v>122.41</v>
      </c>
      <c r="IQ17" s="565">
        <v>115</v>
      </c>
      <c r="IR17" s="566">
        <f>+IR10/IR18</f>
        <v>122.40085744908896</v>
      </c>
      <c r="IS17" s="1284"/>
      <c r="IT17" s="578">
        <v>135</v>
      </c>
      <c r="IU17" s="578">
        <v>136.63999999999999</v>
      </c>
      <c r="IV17" s="579">
        <f>IX17</f>
        <v>144.81</v>
      </c>
      <c r="IW17" s="579">
        <v>140</v>
      </c>
      <c r="IX17" s="578">
        <v>144.81</v>
      </c>
      <c r="IY17" s="578">
        <v>140</v>
      </c>
      <c r="IZ17" s="580">
        <f>JA17</f>
        <v>132.71</v>
      </c>
      <c r="JA17" s="580">
        <v>132.71</v>
      </c>
      <c r="JB17" s="580">
        <f>+JD17</f>
        <v>133.54</v>
      </c>
      <c r="JC17" s="580">
        <f>+JD17</f>
        <v>133.54</v>
      </c>
      <c r="JD17" s="580">
        <v>133.54</v>
      </c>
      <c r="JE17" s="580">
        <v>132</v>
      </c>
      <c r="JF17" s="580">
        <f>JG17</f>
        <v>133.54</v>
      </c>
      <c r="JG17" s="581">
        <f>JH17</f>
        <v>133.54</v>
      </c>
      <c r="JH17" s="582">
        <f>'maruchan inc'!AF99</f>
        <v>133.54</v>
      </c>
      <c r="JI17" s="1284"/>
      <c r="JJ17" s="1660">
        <v>136.28038461538461</v>
      </c>
      <c r="JK17" s="1661">
        <v>142.7446153846154</v>
      </c>
      <c r="JL17" s="1661">
        <v>144.99</v>
      </c>
      <c r="JM17" s="1661">
        <f>+JP17</f>
        <v>149.58000000000001</v>
      </c>
      <c r="JN17" s="1661">
        <f>+JS17</f>
        <v>141.83000000000001</v>
      </c>
      <c r="JO17" s="1661"/>
      <c r="JP17" s="1661">
        <v>149.58000000000001</v>
      </c>
      <c r="JQ17" s="1661"/>
      <c r="JR17" s="1661"/>
      <c r="JS17" s="1661">
        <v>141.83000000000001</v>
      </c>
      <c r="JT17" s="1661">
        <v>140.97999999999999</v>
      </c>
      <c r="JU17" s="1661">
        <v>145</v>
      </c>
      <c r="JV17" s="1666">
        <f>+JL16/2+JK17/2</f>
        <v>140.1023076923077</v>
      </c>
      <c r="JW17" s="1666">
        <f>+JU17/2+JN17/2</f>
        <v>143.41500000000002</v>
      </c>
      <c r="JX17" s="1661">
        <v>145</v>
      </c>
      <c r="JY17" s="1661"/>
      <c r="JZ17" s="1645"/>
      <c r="KA17" s="1272"/>
      <c r="KB17" s="583"/>
      <c r="KC17" s="583">
        <f t="shared" ref="KC17:KD17" si="33">+KC10/KC18</f>
        <v>132.97297297297297</v>
      </c>
      <c r="KD17" s="583">
        <f t="shared" si="33"/>
        <v>133.02631578947367</v>
      </c>
      <c r="KE17" s="583">
        <f t="shared" ref="KE17" si="34">+KE10/KE18</f>
        <v>118.11251580278129</v>
      </c>
      <c r="KF17" s="583"/>
      <c r="KG17" s="583">
        <f>+KG10/KG18</f>
        <v>133</v>
      </c>
      <c r="KH17" s="583">
        <f>+KH10/KH18</f>
        <v>133</v>
      </c>
      <c r="KI17" s="1272"/>
      <c r="KJ17" s="1645"/>
      <c r="KK17" s="581"/>
      <c r="KL17" s="583">
        <f>KM17</f>
        <v>143.97496087636932</v>
      </c>
      <c r="KM17" s="583">
        <f>KM10/KM18</f>
        <v>143.97496087636932</v>
      </c>
      <c r="KN17" s="1645"/>
      <c r="KO17" s="583">
        <v>122</v>
      </c>
      <c r="KP17" s="546">
        <v>122</v>
      </c>
      <c r="KQ17" s="548">
        <v>122</v>
      </c>
      <c r="KR17" s="546">
        <v>108.05</v>
      </c>
      <c r="KS17" s="548">
        <v>110</v>
      </c>
      <c r="KT17" s="572">
        <f>KT10/KT18</f>
        <v>109.35649538728863</v>
      </c>
      <c r="KV17" s="572">
        <f>KV10/KV18</f>
        <v>110.18329938900203</v>
      </c>
      <c r="KW17" s="548">
        <v>110</v>
      </c>
      <c r="KX17" s="572">
        <f>KX10/KX18</f>
        <v>121.13475788385315</v>
      </c>
      <c r="KY17" s="572">
        <f>KY10/KY18</f>
        <v>110.17512901881668</v>
      </c>
      <c r="KZ17" s="548">
        <v>108</v>
      </c>
      <c r="LA17" s="546">
        <v>108</v>
      </c>
      <c r="LB17" s="572">
        <f>LB10/LB18</f>
        <v>107.98226164079823</v>
      </c>
      <c r="LC17" s="548">
        <v>108</v>
      </c>
      <c r="LD17" s="566">
        <v>111</v>
      </c>
      <c r="LE17" s="572">
        <f>LE10/LE18</f>
        <v>115.33240854762765</v>
      </c>
      <c r="LF17" s="572">
        <f>LF10/LF18</f>
        <v>113.88890837154932</v>
      </c>
      <c r="LG17" s="566">
        <f>+LG10/LG18</f>
        <v>111</v>
      </c>
    </row>
    <row r="18" spans="1:319" s="498" customFormat="1" ht="12">
      <c r="A18" s="477"/>
      <c r="B18" s="478" t="s">
        <v>1060</v>
      </c>
      <c r="C18" s="481" t="s">
        <v>1423</v>
      </c>
      <c r="D18" s="480"/>
      <c r="E18" s="477"/>
      <c r="F18" s="477"/>
      <c r="G18" s="481"/>
      <c r="H18" s="477"/>
      <c r="I18" s="477"/>
      <c r="J18" s="481"/>
      <c r="K18" s="484"/>
      <c r="L18" s="484"/>
      <c r="M18" s="484"/>
      <c r="N18" s="484"/>
      <c r="O18" s="484"/>
      <c r="P18" s="484"/>
      <c r="Q18" s="484"/>
      <c r="R18" s="484"/>
      <c r="S18" s="485"/>
      <c r="T18" s="484"/>
      <c r="U18" s="484"/>
      <c r="V18" s="484"/>
      <c r="W18" s="484"/>
      <c r="X18" s="484"/>
      <c r="Y18" s="484">
        <v>307</v>
      </c>
      <c r="Z18" s="484">
        <f>+AA18-Y18</f>
        <v>329</v>
      </c>
      <c r="AA18" s="484">
        <v>636</v>
      </c>
      <c r="AB18" s="485"/>
      <c r="AC18" s="484">
        <v>131</v>
      </c>
      <c r="AD18" s="484">
        <v>153</v>
      </c>
      <c r="AE18" s="484">
        <v>156</v>
      </c>
      <c r="AF18" s="484">
        <f>+AI18-AE18</f>
        <v>163</v>
      </c>
      <c r="AG18" s="484">
        <v>441</v>
      </c>
      <c r="AH18" s="484">
        <v>285</v>
      </c>
      <c r="AI18" s="484">
        <f>+AJ18-AH18</f>
        <v>319</v>
      </c>
      <c r="AJ18" s="484">
        <v>604</v>
      </c>
      <c r="AK18" s="480"/>
      <c r="AL18" s="484">
        <v>151</v>
      </c>
      <c r="AM18" s="484">
        <f>+AQ18-AL18</f>
        <v>181</v>
      </c>
      <c r="AN18" s="484">
        <v>182</v>
      </c>
      <c r="AO18" s="484">
        <f>+AR18-AN18</f>
        <v>187</v>
      </c>
      <c r="AP18" s="484">
        <v>514</v>
      </c>
      <c r="AQ18" s="484">
        <v>332</v>
      </c>
      <c r="AR18" s="484">
        <f>+AS18-AQ18</f>
        <v>369</v>
      </c>
      <c r="AS18" s="484">
        <v>701</v>
      </c>
      <c r="AT18" s="480"/>
      <c r="AU18" s="484">
        <v>172</v>
      </c>
      <c r="AV18" s="484">
        <f>+BB18-AU18</f>
        <v>195</v>
      </c>
      <c r="AW18" s="584">
        <v>191</v>
      </c>
      <c r="AX18" s="584"/>
      <c r="AY18" s="584">
        <f>+BC18-AW18</f>
        <v>193</v>
      </c>
      <c r="AZ18" s="584"/>
      <c r="BA18" s="584">
        <v>559</v>
      </c>
      <c r="BB18" s="507">
        <v>367</v>
      </c>
      <c r="BC18" s="507">
        <f>+BE18-BB18</f>
        <v>384</v>
      </c>
      <c r="BD18" s="508">
        <v>755.19900202797442</v>
      </c>
      <c r="BE18" s="584">
        <v>751</v>
      </c>
      <c r="BF18" s="480"/>
      <c r="BG18" s="584">
        <f>BI18-BA18</f>
        <v>174</v>
      </c>
      <c r="BH18" s="484">
        <f>BI18-BB18</f>
        <v>366</v>
      </c>
      <c r="BI18" s="484">
        <v>733</v>
      </c>
      <c r="BJ18" s="480"/>
      <c r="BK18" s="477">
        <f>BK10/BK17</f>
        <v>365.85365853658539</v>
      </c>
      <c r="BL18" s="477">
        <f>BL10/BL17</f>
        <v>365.85365853658539</v>
      </c>
      <c r="BM18" s="477">
        <v>731</v>
      </c>
      <c r="BN18" s="477"/>
      <c r="BO18" s="480"/>
      <c r="BP18" s="584">
        <f>BP10/BP17</f>
        <v>169.86204098194361</v>
      </c>
      <c r="BQ18" s="508"/>
      <c r="BR18" s="484">
        <f>+BR10/BR17</f>
        <v>191.2396694214876</v>
      </c>
      <c r="BS18" s="508"/>
      <c r="BT18" s="550">
        <f>BX18-BY18</f>
        <v>182.62536414269169</v>
      </c>
      <c r="BU18" s="550">
        <v>189.14</v>
      </c>
      <c r="BV18" s="484">
        <f>CC18-BT18</f>
        <v>189.46768529942108</v>
      </c>
      <c r="BW18" s="508"/>
      <c r="BX18" s="550">
        <f>+BX10/BX17</f>
        <v>543.53231470057892</v>
      </c>
      <c r="BY18" s="550">
        <f>+BY10/BY17</f>
        <v>360.90695055788723</v>
      </c>
      <c r="BZ18" s="508"/>
      <c r="CA18" s="554">
        <f>BV18+BR18</f>
        <v>380.70735472090871</v>
      </c>
      <c r="CB18" s="484"/>
      <c r="CC18" s="484">
        <f>CE18-BY18</f>
        <v>372.09304944211277</v>
      </c>
      <c r="CD18" s="484"/>
      <c r="CE18" s="585">
        <v>733</v>
      </c>
      <c r="CF18" s="480"/>
      <c r="CG18" s="586">
        <f>CG10/CG17</f>
        <v>163.50271336951161</v>
      </c>
      <c r="CH18" s="477">
        <v>165.62</v>
      </c>
      <c r="CI18" s="477">
        <f>BP18*(1+CI19)</f>
        <v>166.46480016230473</v>
      </c>
      <c r="CJ18" s="567">
        <f>CR18-CG18</f>
        <v>191.545253738757</v>
      </c>
      <c r="CK18" s="477">
        <v>183.5900826446281</v>
      </c>
      <c r="CL18" s="567">
        <f>CP18-CR18</f>
        <v>179.03464735755756</v>
      </c>
      <c r="CM18" s="567">
        <v>177.14660321841095</v>
      </c>
      <c r="CN18" s="477">
        <v>176.13483839285891</v>
      </c>
      <c r="CO18" s="477">
        <f>CW18-CP18</f>
        <v>182.06386909638775</v>
      </c>
      <c r="CP18" s="567">
        <f>CP10/CP17</f>
        <v>534.08261446582617</v>
      </c>
      <c r="CQ18" s="567">
        <v>532.19457032667958</v>
      </c>
      <c r="CR18" s="567">
        <f>CR10/CR17</f>
        <v>355.04796710826861</v>
      </c>
      <c r="CS18" s="567">
        <v>347.09279601413971</v>
      </c>
      <c r="CT18" s="567">
        <v>355.16948575041647</v>
      </c>
      <c r="CU18" s="567">
        <f t="shared" si="14"/>
        <v>361.09851645394531</v>
      </c>
      <c r="CV18" s="546">
        <v>710.21745285868508</v>
      </c>
      <c r="CW18" s="548">
        <f>CW10/CW17</f>
        <v>716.14648356221392</v>
      </c>
      <c r="CX18" s="559"/>
      <c r="CY18" s="559">
        <f>CY10/CY17</f>
        <v>158.65730153544592</v>
      </c>
      <c r="CZ18" s="559">
        <f>+DB18-CY18</f>
        <v>178.64256504227257</v>
      </c>
      <c r="DA18" s="559" t="e">
        <f>+CY18+#REF!</f>
        <v>#REF!</v>
      </c>
      <c r="DB18" s="559">
        <f>DB10/DB17</f>
        <v>337.29986657771849</v>
      </c>
      <c r="DC18" s="559">
        <f>+DG18-DB18</f>
        <v>172.09198607307383</v>
      </c>
      <c r="DD18" s="559">
        <f>CL18*0.97</f>
        <v>173.66360793683083</v>
      </c>
      <c r="DE18" s="559">
        <f t="shared" si="5"/>
        <v>177.39557409401323</v>
      </c>
      <c r="DF18" s="180">
        <f>+DJ18-DC18</f>
        <v>174.96387642977788</v>
      </c>
      <c r="DG18" s="559">
        <f>+DG10/DG17</f>
        <v>509.39185265079232</v>
      </c>
      <c r="DH18" s="559">
        <f>DD18+DB18</f>
        <v>510.96347451454932</v>
      </c>
      <c r="DI18" s="559">
        <f t="shared" si="3"/>
        <v>349.48756016708705</v>
      </c>
      <c r="DJ18" s="559">
        <f>DL18-DB18</f>
        <v>347.05586250285171</v>
      </c>
      <c r="DK18" s="559">
        <f>DK10/DK17</f>
        <v>686.78742674480554</v>
      </c>
      <c r="DL18" s="587">
        <v>684.3557290805702</v>
      </c>
      <c r="DM18" s="588"/>
      <c r="DN18" s="589"/>
      <c r="DO18" s="589"/>
      <c r="DP18" s="565"/>
      <c r="DQ18" s="565">
        <f>+DR18-DC18</f>
        <v>192.60814734920768</v>
      </c>
      <c r="DR18" s="565">
        <f>+DS18-DB18</f>
        <v>364.70013342228151</v>
      </c>
      <c r="DS18" s="566">
        <v>702</v>
      </c>
      <c r="DT18" s="588"/>
      <c r="DU18" s="589"/>
      <c r="DV18" s="590">
        <f>DW18-CY18</f>
        <v>201.34269846455408</v>
      </c>
      <c r="DW18" s="567">
        <v>360</v>
      </c>
      <c r="DX18" s="565">
        <f>DY18-DB18</f>
        <v>394.70013342228151</v>
      </c>
      <c r="DY18" s="565">
        <v>732</v>
      </c>
      <c r="DZ18" s="497"/>
      <c r="EB18" s="567">
        <f>ED18-CP18</f>
        <v>207.91738553417383</v>
      </c>
      <c r="EC18" s="565">
        <f>ED18-CR18</f>
        <v>386.95203289173139</v>
      </c>
      <c r="ED18" s="587">
        <v>742</v>
      </c>
      <c r="EE18" s="480"/>
      <c r="EF18" s="477"/>
      <c r="EG18" s="591">
        <f>EG10/EG17</f>
        <v>154.47746697746697</v>
      </c>
      <c r="EH18" s="592">
        <f>+CY18*0.987</f>
        <v>156.59475661548512</v>
      </c>
      <c r="EI18" s="592">
        <f t="shared" si="6"/>
        <v>167.55123168656075</v>
      </c>
      <c r="EJ18" s="592">
        <v>175</v>
      </c>
      <c r="EK18" s="592">
        <f>EK10/EK17</f>
        <v>322.02869866402773</v>
      </c>
      <c r="EL18" s="592">
        <f>+EG18+EJ18</f>
        <v>329.47746697746697</v>
      </c>
      <c r="EM18" s="592">
        <f>+EO18-EK18</f>
        <v>164.70836031099162</v>
      </c>
      <c r="EN18" s="592">
        <f>+(1+EN19)*DC18</f>
        <v>165.20830663015087</v>
      </c>
      <c r="EO18" s="592">
        <f>EO10/EO17</f>
        <v>486.73705897501935</v>
      </c>
      <c r="EP18" s="592">
        <f>+EN18+EK18</f>
        <v>487.23700529417863</v>
      </c>
      <c r="EQ18" s="592">
        <f>+EU18-EO18</f>
        <v>164.25679074420697</v>
      </c>
      <c r="ER18" s="593"/>
      <c r="ES18" s="592">
        <f>+EU18-EK18</f>
        <v>328.96515105519859</v>
      </c>
      <c r="ET18" s="593"/>
      <c r="EU18" s="594">
        <f>+EU10/EU17</f>
        <v>650.99384971922632</v>
      </c>
      <c r="EV18" s="570"/>
      <c r="EW18" s="592">
        <v>146.75359362859362</v>
      </c>
      <c r="EX18" s="592">
        <f>EX10/EX17</f>
        <v>150.97356198642373</v>
      </c>
      <c r="EY18" s="592">
        <v>170.38464126669965</v>
      </c>
      <c r="EZ18" s="180">
        <f>+FB18-EX18</f>
        <v>178.16427728978701</v>
      </c>
      <c r="FA18" s="180">
        <v>321.38464126669965</v>
      </c>
      <c r="FB18" s="180">
        <f>+FB10/FB17</f>
        <v>329.13783927621074</v>
      </c>
      <c r="FC18" s="180">
        <f>+FE18-FB18</f>
        <v>175.82676249370076</v>
      </c>
      <c r="FD18" s="180">
        <v>145.4307932244331</v>
      </c>
      <c r="FE18" s="180">
        <f>FE10/FE17</f>
        <v>504.9646017699115</v>
      </c>
      <c r="FF18" s="180">
        <v>474.56863250064384</v>
      </c>
      <c r="FG18" s="180">
        <f>FI18-FC18</f>
        <v>183.0353982300885</v>
      </c>
      <c r="FH18" s="595">
        <f>+FL18-FE18</f>
        <v>184.58021262209581</v>
      </c>
      <c r="FI18" s="595">
        <f>FK18-FB18</f>
        <v>358.86216072378926</v>
      </c>
      <c r="FJ18" s="595">
        <f>+FL18-FB18</f>
        <v>360.40697511579657</v>
      </c>
      <c r="FK18" s="596">
        <v>688</v>
      </c>
      <c r="FL18" s="587">
        <f>'maruchan inc'!Y5/1000</f>
        <v>689.54481439200731</v>
      </c>
      <c r="FM18" s="589">
        <f>+FN18-EX18</f>
        <v>165.02643801357627</v>
      </c>
      <c r="FN18" s="565">
        <v>316</v>
      </c>
      <c r="FO18" s="565">
        <f>FP18-FC18</f>
        <v>171.0353982300885</v>
      </c>
      <c r="FP18" s="565">
        <f>+FQ18-FB18</f>
        <v>346.86216072378926</v>
      </c>
      <c r="FQ18" s="566">
        <v>676</v>
      </c>
      <c r="FR18" s="566"/>
      <c r="FS18" s="592">
        <f>FS10/FS17</f>
        <v>171.7971933001358</v>
      </c>
      <c r="FT18" s="565">
        <f>EX18*1.07</f>
        <v>161.54171132547341</v>
      </c>
      <c r="FU18" s="565">
        <f>FW18-FS18</f>
        <v>183.2028066998642</v>
      </c>
      <c r="FV18" s="597">
        <f>+FY18-FS18</f>
        <v>187.16565227126762</v>
      </c>
      <c r="FW18" s="565">
        <v>355</v>
      </c>
      <c r="FX18" s="565"/>
      <c r="FY18" s="592">
        <f>+FY10/FY17</f>
        <v>358.96284557140342</v>
      </c>
      <c r="FZ18" s="592">
        <f>+GA18-FY18</f>
        <v>193.25297139851187</v>
      </c>
      <c r="GA18" s="592">
        <f>GA10/GA17</f>
        <v>552.21581696991529</v>
      </c>
      <c r="GB18" s="180">
        <f>+GD18-GA18</f>
        <v>202.61301185891352</v>
      </c>
      <c r="GC18" s="592">
        <f>+GD18-FY18</f>
        <v>395.8659832574254</v>
      </c>
      <c r="GD18" s="594">
        <f>+GD10/GD17</f>
        <v>754.82882882882882</v>
      </c>
      <c r="GE18" s="592">
        <v>752.55811828185517</v>
      </c>
      <c r="GF18" s="592">
        <f>FC18*1.05</f>
        <v>184.6181006183858</v>
      </c>
      <c r="GG18" s="592">
        <f>GH18-FZ18</f>
        <v>203.31837577347346</v>
      </c>
      <c r="GH18" s="565">
        <f>GI18-FY18</f>
        <v>396.57134717198534</v>
      </c>
      <c r="GI18" s="565">
        <f>'maruchan inc'!Z5/1000</f>
        <v>755.53419274338876</v>
      </c>
      <c r="GJ18" s="573"/>
      <c r="GK18" s="565">
        <f>FS18*1.08</f>
        <v>185.54096876414667</v>
      </c>
      <c r="GL18" s="565">
        <f>GL10/GL17</f>
        <v>183.39675174013922</v>
      </c>
      <c r="GM18" s="565">
        <f>FV18*1.07</f>
        <v>200.26724793025636</v>
      </c>
      <c r="GN18" s="565">
        <f>GM18+GL18</f>
        <v>383.66399967039558</v>
      </c>
      <c r="GO18" s="565">
        <f>+GP18-GL18</f>
        <v>204.44722120528837</v>
      </c>
      <c r="GP18" s="565">
        <f>+GP10/GP17</f>
        <v>387.84397294542759</v>
      </c>
      <c r="GQ18" s="565">
        <f>FZ18*(1+GQ19)</f>
        <v>204.84814968242259</v>
      </c>
      <c r="GR18" s="592">
        <f>+GS18-GP18</f>
        <v>210.51279170675423</v>
      </c>
      <c r="GS18" s="592">
        <f>GS10/GS17</f>
        <v>598.35676465218182</v>
      </c>
      <c r="GT18" s="180">
        <f>+GU18-GR18</f>
        <v>219.50924031059731</v>
      </c>
      <c r="GU18" s="592">
        <f>+GV18-GP18</f>
        <v>430.02203201735153</v>
      </c>
      <c r="GV18" s="594">
        <f>+GV10/GV17</f>
        <v>817.86600496277913</v>
      </c>
      <c r="GW18" s="592">
        <v>839.50034181223441</v>
      </c>
      <c r="GX18" s="565">
        <f>GY18-GR18</f>
        <v>218.04885744421449</v>
      </c>
      <c r="GY18" s="565">
        <f>GZ18-GP18</f>
        <v>428.56164915096872</v>
      </c>
      <c r="GZ18" s="565">
        <f>'maruchan inc'!AA5/1000</f>
        <v>816.40562209639631</v>
      </c>
      <c r="HA18" s="573"/>
      <c r="HB18" s="565">
        <f>GL18*1.18</f>
        <v>216.40816705336428</v>
      </c>
      <c r="HC18" s="565"/>
      <c r="HD18" s="565">
        <f>HD10/HD17</f>
        <v>219.86816451582956</v>
      </c>
      <c r="HE18" s="565">
        <f>+HE10/HE17</f>
        <v>219.86816451582956</v>
      </c>
      <c r="HF18" s="565">
        <f>+HI18-HD18</f>
        <v>201.2511397004684</v>
      </c>
      <c r="HG18" s="565">
        <f>+HL18-HE18</f>
        <v>200.69339355635088</v>
      </c>
      <c r="HH18" s="565">
        <f t="shared" si="9"/>
        <v>201.17153302670351</v>
      </c>
      <c r="HI18" s="565">
        <f>+HI10/HI17</f>
        <v>421.11930421629796</v>
      </c>
      <c r="HJ18" s="565">
        <f>GO18*(1+HI19)</f>
        <v>221.98790634562991</v>
      </c>
      <c r="HK18" s="565">
        <f>HI18+HD18</f>
        <v>640.98746873212758</v>
      </c>
      <c r="HL18" s="565">
        <f>+HL10/HL17</f>
        <v>420.56155807218045</v>
      </c>
      <c r="HM18" s="565">
        <f>+HM10/HM17</f>
        <v>421.03969754253308</v>
      </c>
      <c r="HN18" s="592">
        <f>+HP18-HI18</f>
        <v>214.88069578370204</v>
      </c>
      <c r="HO18" s="592">
        <f>+HQ18-HM18</f>
        <v>215.3371140516698</v>
      </c>
      <c r="HP18" s="592">
        <v>636</v>
      </c>
      <c r="HQ18" s="598">
        <f>+HQ10/HQ17</f>
        <v>636.37681159420288</v>
      </c>
      <c r="HR18" s="180">
        <f>+HT18-HN18</f>
        <v>213.08319031704457</v>
      </c>
      <c r="HS18" s="180"/>
      <c r="HT18" s="592">
        <f>+HV18-HI18</f>
        <v>427.96388610074661</v>
      </c>
      <c r="HU18" s="592">
        <f>HZ18-HM18</f>
        <v>428.10212720904769</v>
      </c>
      <c r="HV18" s="592">
        <f>+HV10/HV17</f>
        <v>849.08319031704457</v>
      </c>
      <c r="HW18" s="565">
        <f>GR18*(1+HW19)</f>
        <v>216.82817545795686</v>
      </c>
      <c r="HX18" s="565">
        <f>HY18-HN18</f>
        <v>212.35726108315316</v>
      </c>
      <c r="HY18" s="565">
        <f>IB18-HI18</f>
        <v>427.2379568668552</v>
      </c>
      <c r="HZ18" s="592">
        <f>+HZ10/HZ17</f>
        <v>849.14182475158077</v>
      </c>
      <c r="IA18" s="565">
        <v>853.90422788349861</v>
      </c>
      <c r="IB18" s="565">
        <f>'maruchan inc'!AB5/1000</f>
        <v>848.35726108315316</v>
      </c>
      <c r="IC18" s="573"/>
      <c r="ID18" s="565">
        <f>HD18*(1+ID19)</f>
        <v>213.27211958035468</v>
      </c>
      <c r="IE18" s="564">
        <f>IE10/IE17</f>
        <v>218.41605641442908</v>
      </c>
      <c r="IF18" s="565">
        <f>IG18-IE18</f>
        <v>228.58394358557092</v>
      </c>
      <c r="IG18" s="599">
        <v>447</v>
      </c>
      <c r="IH18" s="565">
        <f>+IJ18-IG18</f>
        <v>245</v>
      </c>
      <c r="II18" s="565">
        <f>II10/II17</f>
        <v>256.63716814159289</v>
      </c>
      <c r="IJ18" s="600">
        <v>692</v>
      </c>
      <c r="IK18" s="565">
        <f>+IP18-IL18</f>
        <v>692</v>
      </c>
      <c r="IL18" s="565">
        <f>IN18-IH18</f>
        <v>241</v>
      </c>
      <c r="IM18" s="565">
        <f>+IO18-IH18</f>
        <v>241</v>
      </c>
      <c r="IN18" s="565">
        <f>IP18-IG18</f>
        <v>486</v>
      </c>
      <c r="IO18" s="565">
        <f>+IR18-IG18</f>
        <v>486</v>
      </c>
      <c r="IP18" s="566">
        <f>'maruchan inc'!AD5/1000</f>
        <v>933</v>
      </c>
      <c r="IQ18" s="565">
        <v>937.37376639366892</v>
      </c>
      <c r="IR18" s="601">
        <v>933</v>
      </c>
      <c r="IS18" s="1285"/>
      <c r="IT18" s="602">
        <f>IE18*(1+IT19)</f>
        <v>268.65174938974775</v>
      </c>
      <c r="IU18" s="602">
        <f>IU10/IU17</f>
        <v>304.44964871194384</v>
      </c>
      <c r="IV18" s="603">
        <f>IX18-IU18</f>
        <v>306.55035128805616</v>
      </c>
      <c r="IW18" s="565">
        <v>294.87328722538649</v>
      </c>
      <c r="IX18" s="565">
        <v>611</v>
      </c>
      <c r="IY18" s="565">
        <v>599.32293593733039</v>
      </c>
      <c r="IZ18" s="565">
        <f>JA18-IX18</f>
        <v>360</v>
      </c>
      <c r="JA18" s="565">
        <v>971</v>
      </c>
      <c r="JB18" s="565">
        <f t="shared" ref="JB18" si="35">+JC18-IZ18</f>
        <v>365</v>
      </c>
      <c r="JC18" s="565">
        <f t="shared" ref="JC18" si="36">+JD18-IX18</f>
        <v>725</v>
      </c>
      <c r="JD18" s="565">
        <v>1336</v>
      </c>
      <c r="JE18" s="565">
        <v>941.75</v>
      </c>
      <c r="JF18" s="565">
        <f>JG18-IZ18</f>
        <v>365</v>
      </c>
      <c r="JG18" s="565">
        <f>JH18-IX18</f>
        <v>725</v>
      </c>
      <c r="JH18" s="566">
        <f>'maruchan inc'!AF5/1000</f>
        <v>1336</v>
      </c>
      <c r="JI18" s="1285"/>
      <c r="JJ18" s="1665">
        <f>+IU18*(1+JJ21+JJ24)</f>
        <v>380.5620608899298</v>
      </c>
      <c r="JK18" s="608">
        <f>+IV18*(1+JK21+JK24)</f>
        <v>361.7294145199063</v>
      </c>
      <c r="JL18" s="608">
        <v>327</v>
      </c>
      <c r="JM18" s="608">
        <f>+JP18-JL18</f>
        <v>382</v>
      </c>
      <c r="JN18" s="608">
        <f>JS18-JP18</f>
        <v>376.3557075371923</v>
      </c>
      <c r="JO18" s="608"/>
      <c r="JP18" s="608">
        <v>709</v>
      </c>
      <c r="JQ18" s="608"/>
      <c r="JR18" s="608"/>
      <c r="JS18" s="608">
        <f>+JS10/JS17</f>
        <v>1085.3557075371923</v>
      </c>
      <c r="JT18" s="608">
        <f>+IZ18*(1+JT21+JT24)</f>
        <v>378</v>
      </c>
      <c r="JU18" s="608">
        <f>+JW18-JN18</f>
        <v>382.54429246280779</v>
      </c>
      <c r="JV18" s="608">
        <f>+JL18+JK18</f>
        <v>688.7294145199063</v>
      </c>
      <c r="JW18" s="608">
        <f>+JX18-JP18</f>
        <v>758.90000000000009</v>
      </c>
      <c r="JX18" s="608">
        <f>+'maruchan inc'!AG5/1000</f>
        <v>1467.9</v>
      </c>
      <c r="JY18" s="608">
        <f>+JP18+JT18</f>
        <v>1087</v>
      </c>
      <c r="JZ18" s="1125"/>
      <c r="KA18" s="1126"/>
      <c r="KB18" s="1125">
        <f>+KC18-JL18</f>
        <v>413</v>
      </c>
      <c r="KC18" s="1125">
        <v>740</v>
      </c>
      <c r="KD18" s="1125">
        <f>+KH18-KC18</f>
        <v>760</v>
      </c>
      <c r="KE18" s="1125">
        <f>+KG18-JP18</f>
        <v>791</v>
      </c>
      <c r="KF18" s="1125"/>
      <c r="KG18" s="1125">
        <v>1500</v>
      </c>
      <c r="KH18" s="1125">
        <v>1500</v>
      </c>
      <c r="KI18" s="1126"/>
      <c r="KJ18" s="1125"/>
      <c r="KK18" s="565">
        <f>KL18-IZ18</f>
        <v>307</v>
      </c>
      <c r="KL18" s="604">
        <f>KM18-IX18</f>
        <v>667</v>
      </c>
      <c r="KM18" s="605">
        <v>1278</v>
      </c>
      <c r="KN18" s="1125"/>
      <c r="KO18" s="605">
        <v>565</v>
      </c>
      <c r="KP18" s="606">
        <v>650</v>
      </c>
      <c r="KQ18" s="607">
        <v>1215</v>
      </c>
      <c r="KR18" s="608">
        <v>546</v>
      </c>
      <c r="KS18" s="607">
        <v>993</v>
      </c>
      <c r="KT18" s="608">
        <f>KU18-IE18</f>
        <v>222.58394358557092</v>
      </c>
      <c r="KU18" s="608">
        <v>441</v>
      </c>
      <c r="KV18" s="608">
        <f>KW18-KU18</f>
        <v>491</v>
      </c>
      <c r="KW18" s="594">
        <v>932</v>
      </c>
      <c r="KX18" s="608">
        <f>KY18-HN18</f>
        <v>214.92592592592598</v>
      </c>
      <c r="KY18" s="608">
        <f>KZ18-HI18</f>
        <v>429.80662170962802</v>
      </c>
      <c r="KZ18" s="566">
        <f>+KZ10/KZ17</f>
        <v>850.92592592592598</v>
      </c>
      <c r="LA18" s="608">
        <v>425</v>
      </c>
      <c r="LB18" s="608">
        <f>LC18-LA18</f>
        <v>451</v>
      </c>
      <c r="LC18" s="594">
        <v>876</v>
      </c>
      <c r="LD18" s="594"/>
      <c r="LE18" s="608">
        <f>LF18-GR18</f>
        <v>201.64323534781818</v>
      </c>
      <c r="LF18" s="608">
        <f>LG18-GP18</f>
        <v>412.15602705457241</v>
      </c>
      <c r="LG18" s="594">
        <v>800</v>
      </c>
    </row>
    <row r="19" spans="1:319" s="546" customFormat="1" ht="12">
      <c r="B19" s="547" t="s">
        <v>669</v>
      </c>
      <c r="C19" s="548" t="s">
        <v>693</v>
      </c>
      <c r="D19" s="549"/>
      <c r="G19" s="548"/>
      <c r="J19" s="548"/>
      <c r="K19" s="550"/>
      <c r="L19" s="550"/>
      <c r="M19" s="550"/>
      <c r="N19" s="550"/>
      <c r="O19" s="550"/>
      <c r="P19" s="550"/>
      <c r="Q19" s="550"/>
      <c r="R19" s="550"/>
      <c r="S19" s="551"/>
      <c r="T19" s="550"/>
      <c r="U19" s="550"/>
      <c r="V19" s="550"/>
      <c r="W19" s="550"/>
      <c r="X19" s="550"/>
      <c r="Y19" s="550"/>
      <c r="Z19" s="550"/>
      <c r="AA19" s="550"/>
      <c r="AB19" s="551"/>
      <c r="AC19" s="550"/>
      <c r="AD19" s="550"/>
      <c r="AE19" s="550"/>
      <c r="AF19" s="550"/>
      <c r="AG19" s="550"/>
      <c r="AH19" s="550"/>
      <c r="AI19" s="550"/>
      <c r="AJ19" s="550"/>
      <c r="AK19" s="549"/>
      <c r="AL19" s="550"/>
      <c r="AM19" s="550"/>
      <c r="AN19" s="550"/>
      <c r="AO19" s="550"/>
      <c r="AP19" s="550"/>
      <c r="AQ19" s="486">
        <f>(AQ18-AH18)/AH18</f>
        <v>0.1649122807017544</v>
      </c>
      <c r="AR19" s="486">
        <f>(AR18-AI18)/AI18</f>
        <v>0.15673981191222572</v>
      </c>
      <c r="AS19" s="486">
        <f>(AS18-AJ18)/AJ18</f>
        <v>0.16059602649006621</v>
      </c>
      <c r="AT19" s="549"/>
      <c r="AU19" s="486"/>
      <c r="AV19" s="486"/>
      <c r="AW19" s="486">
        <f>+AW18/AN18-1</f>
        <v>4.9450549450549497E-2</v>
      </c>
      <c r="AX19" s="486"/>
      <c r="AY19" s="486">
        <f>(AY18-AO18)/AO18</f>
        <v>3.2085561497326207E-2</v>
      </c>
      <c r="AZ19" s="550"/>
      <c r="BA19" s="486">
        <f>+BA18/AP18-1</f>
        <v>8.7548638132295631E-2</v>
      </c>
      <c r="BB19" s="487">
        <f>(BB18-AQ18)/AQ18</f>
        <v>0.10542168674698796</v>
      </c>
      <c r="BC19" s="487">
        <f>(BC18-AR18)/AR18</f>
        <v>4.065040650406504E-2</v>
      </c>
      <c r="BD19" s="488">
        <v>7.7316693335198874E-2</v>
      </c>
      <c r="BE19" s="486">
        <f>+BE18/AS18-1</f>
        <v>7.1326676176890258E-2</v>
      </c>
      <c r="BF19" s="549"/>
      <c r="BG19" s="609">
        <f>(BG18-AO18)/AO18</f>
        <v>-6.9518716577540107E-2</v>
      </c>
      <c r="BH19" s="610">
        <f>(BH18-AR18)/AR18</f>
        <v>-8.130081300813009E-3</v>
      </c>
      <c r="BI19" s="486">
        <f>(BI18-AS18)/AS18</f>
        <v>4.5649072753209702E-2</v>
      </c>
      <c r="BJ19" s="549"/>
      <c r="BK19" s="611">
        <f>(BK18-AQ18)/AQ18</f>
        <v>0.1019688510138114</v>
      </c>
      <c r="BL19" s="611">
        <f>(BL18-AR18)/AR18</f>
        <v>-8.5266706325599316E-3</v>
      </c>
      <c r="BM19" s="611">
        <f>(BM18-AS18)/AS18</f>
        <v>4.2796005706134094E-2</v>
      </c>
      <c r="BO19" s="549"/>
      <c r="BP19" s="612">
        <f>+BP18/AU18-1</f>
        <v>-1.2429994291025537E-2</v>
      </c>
      <c r="BQ19" s="554"/>
      <c r="BR19" s="487">
        <f>+BR18/AV18-1</f>
        <v>-1.9283746556473802E-2</v>
      </c>
      <c r="BS19" s="555">
        <v>-0.03</v>
      </c>
      <c r="BT19" s="613">
        <f>+BT18/AW18-1</f>
        <v>-4.38462610330278E-2</v>
      </c>
      <c r="BU19" s="613">
        <v>-0.02</v>
      </c>
      <c r="BV19" s="487">
        <f>BV18/AY18-1</f>
        <v>-1.830214870766278E-2</v>
      </c>
      <c r="BW19" s="614"/>
      <c r="BX19" s="487">
        <f>+BX18/BA18-1</f>
        <v>-2.767027781649567E-2</v>
      </c>
      <c r="BY19" s="487">
        <f>+BY18/BB18-1</f>
        <v>-1.6602314556165565E-2</v>
      </c>
      <c r="BZ19" s="554"/>
      <c r="CA19" s="554"/>
      <c r="CB19" s="550"/>
      <c r="CC19" s="615">
        <f>CC18/BC18-1</f>
        <v>-3.1007683744498027E-2</v>
      </c>
      <c r="CD19" s="550"/>
      <c r="CE19" s="615">
        <f>CE18/BE18-1</f>
        <v>-2.3968042609853524E-2</v>
      </c>
      <c r="CF19" s="549"/>
      <c r="CG19" s="616">
        <f>(CG18-BP18)/BP18</f>
        <v>-3.743819146214071E-2</v>
      </c>
      <c r="CH19" s="617">
        <v>-1.9999999999999973E-2</v>
      </c>
      <c r="CI19" s="617">
        <v>-0.02</v>
      </c>
      <c r="CJ19" s="482">
        <f>(CJ18-BR18)/BR18</f>
        <v>1.5979128085391748E-3</v>
      </c>
      <c r="CK19" s="482">
        <v>-4.0000000000000015E-2</v>
      </c>
      <c r="CL19" s="482">
        <f>(CL18-BT18)/BT18</f>
        <v>-1.9661654349001485E-2</v>
      </c>
      <c r="CM19" s="482">
        <v>-2.9999999999999992E-2</v>
      </c>
      <c r="CN19" s="490">
        <v>-7.0370031097872432E-2</v>
      </c>
      <c r="CO19" s="490">
        <f>CO18/BV18-1</f>
        <v>-3.9076933838785632E-2</v>
      </c>
      <c r="CP19" s="490">
        <f>CP18/BX18-1</f>
        <v>-1.7385719264839672E-2</v>
      </c>
      <c r="CQ19" s="490"/>
      <c r="CR19" s="490">
        <f>CR18/BY18-1</f>
        <v>-1.6234055455462526E-2</v>
      </c>
      <c r="CS19" s="490">
        <v>-3.8276221952483036E-2</v>
      </c>
      <c r="CT19" s="482">
        <v>-4.5482074220601999E-2</v>
      </c>
      <c r="CU19" s="482">
        <f>(CU18-CC18)/CC18</f>
        <v>-2.9547805326253222E-2</v>
      </c>
      <c r="CV19" s="482">
        <v>-3.1081237573417356E-2</v>
      </c>
      <c r="CW19" s="491">
        <f>CW18/CE18-1</f>
        <v>-2.2992519014714996E-2</v>
      </c>
      <c r="CX19" s="492"/>
      <c r="CY19" s="492">
        <f>(CY18-CG18)/CG18</f>
        <v>-2.9635054576220943E-2</v>
      </c>
      <c r="CZ19" s="492">
        <f>+CZ18/CJ18-1</f>
        <v>-6.7361046252192858E-2</v>
      </c>
      <c r="DA19" s="492" t="e">
        <f>+DA18/CR18-1</f>
        <v>#REF!</v>
      </c>
      <c r="DB19" s="492">
        <f>+DB18/CR18-1</f>
        <v>-4.9987895086688328E-2</v>
      </c>
      <c r="DC19" s="492">
        <f>+DC18/CL18-1</f>
        <v>-3.877831127635456E-2</v>
      </c>
      <c r="DD19" s="492">
        <f>+DD18/CL18-1</f>
        <v>-3.0000000000000027E-2</v>
      </c>
      <c r="DE19" s="492">
        <f>+DE18/CO18-1</f>
        <v>-2.5640974376431869E-2</v>
      </c>
      <c r="DF19" s="492">
        <f>+DF18/CO18-1</f>
        <v>-3.8997263443033892E-2</v>
      </c>
      <c r="DG19" s="492">
        <f>+DG18/CP18-1</f>
        <v>-4.6230229455659799E-2</v>
      </c>
      <c r="DH19" s="492">
        <f>+DH18/CP18-1</f>
        <v>-4.3287572605972047E-2</v>
      </c>
      <c r="DI19" s="492">
        <f>+DI18/CU18-1</f>
        <v>-3.2154538880081796E-2</v>
      </c>
      <c r="DJ19" s="492">
        <f>(DJ18-CU18)/CU18</f>
        <v>-3.8888705744335575E-2</v>
      </c>
      <c r="DK19" s="492">
        <f>+DK18/CW18-1</f>
        <v>-4.0995882115307247E-2</v>
      </c>
      <c r="DL19" s="493">
        <v>-4.4391413225283193E-2</v>
      </c>
      <c r="DM19" s="494"/>
      <c r="DN19" s="487"/>
      <c r="DO19" s="487"/>
      <c r="DP19" s="495"/>
      <c r="DQ19" s="495">
        <f>+DQ18/CO18-1</f>
        <v>5.7915270641851535E-2</v>
      </c>
      <c r="DR19" s="495">
        <f>+DR18/CU18-1</f>
        <v>9.9740563979735519E-3</v>
      </c>
      <c r="DS19" s="496">
        <f>DS18/CW18-1</f>
        <v>-1.9753617293276848E-2</v>
      </c>
      <c r="DT19" s="494"/>
      <c r="DU19" s="487"/>
      <c r="DV19" s="487">
        <f>(DV18-CJ18)/CJ18</f>
        <v>5.114950401830122E-2</v>
      </c>
      <c r="DW19" s="490">
        <f>DW18/CR18-1</f>
        <v>1.3947503860010313E-2</v>
      </c>
      <c r="DX19" s="495">
        <f>DX18/CU18-1</f>
        <v>9.3053877092352355E-2</v>
      </c>
      <c r="DY19" s="495">
        <f>DY18/CW18-1</f>
        <v>2.2137253762566145E-2</v>
      </c>
      <c r="DZ19" s="568"/>
      <c r="EB19" s="490">
        <f>EB18/BV18-1</f>
        <v>9.7376500935218546E-2</v>
      </c>
      <c r="EC19" s="495">
        <f>EC18/CC18-1</f>
        <v>3.9933515210501813E-2</v>
      </c>
      <c r="ED19" s="499">
        <f>(ED18-CE18)/CE18</f>
        <v>1.227830832196453E-2</v>
      </c>
      <c r="EE19" s="549"/>
      <c r="EG19" s="500">
        <f>+EG18/CY18-1</f>
        <v>-2.6345050101870826E-2</v>
      </c>
      <c r="EH19" s="482">
        <f>+EH18/CY18-1</f>
        <v>-1.3000000000000012E-2</v>
      </c>
      <c r="EI19" s="482">
        <f>+EI18/CZ18-1</f>
        <v>-6.2086733657721771E-2</v>
      </c>
      <c r="EJ19" s="482">
        <f>+EJ18/CZ18-1</f>
        <v>-2.0390241493737027E-2</v>
      </c>
      <c r="EK19" s="482">
        <f>+EK18/DB18-1</f>
        <v>-4.5274752310558886E-2</v>
      </c>
      <c r="EL19" s="482">
        <f>+EL18/DB18-1</f>
        <v>-2.3191232417665741E-2</v>
      </c>
      <c r="EM19" s="482">
        <f>+EM18/DC18-1</f>
        <v>-4.2905110984929662E-2</v>
      </c>
      <c r="EN19" s="482">
        <v>-0.04</v>
      </c>
      <c r="EO19" s="482">
        <f>+EO18/DG18-1</f>
        <v>-4.4474197138963056E-2</v>
      </c>
      <c r="EP19" s="482">
        <f>+EP18/DG18-1</f>
        <v>-4.3492739904110067E-2</v>
      </c>
      <c r="EQ19" s="482">
        <f>+EQ18/DE18-1</f>
        <v>-7.4064888128737572E-2</v>
      </c>
      <c r="ER19" s="482">
        <f>+ER18/DE18-1</f>
        <v>-1</v>
      </c>
      <c r="ES19" s="482">
        <f>+ES18/DI18-1</f>
        <v>-5.8721429461114028E-2</v>
      </c>
      <c r="ET19" s="482"/>
      <c r="EU19" s="483">
        <f>+EU18/DK18-1</f>
        <v>-5.2117402898931187E-2</v>
      </c>
      <c r="EV19" s="501"/>
      <c r="EW19" s="482">
        <v>-5.0000000000000044E-2</v>
      </c>
      <c r="EX19" s="482">
        <f>+EX18/EG18-1</f>
        <v>-2.2682304802125852E-2</v>
      </c>
      <c r="EY19" s="482">
        <v>1.6910705768128143E-2</v>
      </c>
      <c r="EZ19" s="618">
        <f>+EZ18/EI18-1</f>
        <v>6.334209242388722E-2</v>
      </c>
      <c r="FA19" s="618">
        <v>-2.0000000000001128E-3</v>
      </c>
      <c r="FB19" s="618">
        <f>+FB18/EK18-1</f>
        <v>2.2076108873762212E-2</v>
      </c>
      <c r="FC19" s="618">
        <f>+FC18/EM18-1</f>
        <v>6.7503569106729611E-2</v>
      </c>
      <c r="FD19" s="618">
        <v>-0.1170406107507832</v>
      </c>
      <c r="FE19" s="618">
        <f>+FE18/EO18-1</f>
        <v>3.7448438451093136E-2</v>
      </c>
      <c r="FF19" s="618">
        <v>-2.5000000000000022E-2</v>
      </c>
      <c r="FG19" s="618">
        <f>+FG18/EQ18-1</f>
        <v>0.11432469489267572</v>
      </c>
      <c r="FH19" s="619">
        <f>+FH18/EQ18-1</f>
        <v>0.12372956871864127</v>
      </c>
      <c r="FI19" s="618">
        <f>+FI18/ES18-1</f>
        <v>9.0881996383787467E-2</v>
      </c>
      <c r="FJ19" s="618">
        <f>+FJ18/ES18-1</f>
        <v>9.5577978274428821E-2</v>
      </c>
      <c r="FK19" s="620">
        <f>+FK18/EU18-1</f>
        <v>5.684562196207299E-2</v>
      </c>
      <c r="FL19" s="493">
        <f>+FL18/EU18-1</f>
        <v>5.921863115820214E-2</v>
      </c>
      <c r="FM19" s="487">
        <f>+FM18/EI18-1</f>
        <v>-1.506878611138851E-2</v>
      </c>
      <c r="FN19" s="495">
        <f>+FN18/EK18-1</f>
        <v>-1.8720998125441812E-2</v>
      </c>
      <c r="FO19" s="495">
        <f>(FO18-EQ18)/EQ18</f>
        <v>4.1268354599948896E-2</v>
      </c>
      <c r="FP19" s="495">
        <f>+FP18/ES18-1</f>
        <v>5.4403968357084942E-2</v>
      </c>
      <c r="FQ19" s="496">
        <f>+FQ18/EU18-1</f>
        <v>3.8412268090641355E-2</v>
      </c>
      <c r="FR19" s="496"/>
      <c r="FS19" s="482">
        <f>+FS18/EX18-1</f>
        <v>0.13792899259795321</v>
      </c>
      <c r="FT19" s="503">
        <f>(FT18-EX18)/EX18</f>
        <v>7.0000000000000145E-2</v>
      </c>
      <c r="FU19" s="503">
        <f>(FU18-EZ18)/EZ18</f>
        <v>2.8280244989190181E-2</v>
      </c>
      <c r="FV19" s="621">
        <f>+FV18/EZ18-1</f>
        <v>5.0522894479232416E-2</v>
      </c>
      <c r="FW19" s="503">
        <f>(FW18-FB18)/FB18</f>
        <v>7.8575470935403055E-2</v>
      </c>
      <c r="FX19" s="503"/>
      <c r="FY19" s="482">
        <f>+FY18/FB18-1</f>
        <v>9.0615549888700908E-2</v>
      </c>
      <c r="FZ19" s="482">
        <f>+FZ18/FC18-1</f>
        <v>9.9110105069672993E-2</v>
      </c>
      <c r="GA19" s="482">
        <f>+GA18/FE18-1</f>
        <v>9.3573321841545543E-2</v>
      </c>
      <c r="GB19" s="618">
        <f>+GB18/FG18-1</f>
        <v>0.10696080549520026</v>
      </c>
      <c r="GC19" s="482">
        <f>+GC18/FI18-1</f>
        <v>0.1031143056682351</v>
      </c>
      <c r="GD19" s="483">
        <f>+GD18/FK18-1</f>
        <v>9.7134925623297619E-2</v>
      </c>
      <c r="GE19" s="482">
        <v>9.3834474246882515E-2</v>
      </c>
      <c r="GF19" s="482">
        <f>(GF18-FC18)/FC18</f>
        <v>5.0000000000000017E-2</v>
      </c>
      <c r="GG19" s="482">
        <f>(GG18-FG18)/FG18</f>
        <v>0.1108145076827588</v>
      </c>
      <c r="GH19" s="503">
        <f>(GH18-FI18)/FI18</f>
        <v>0.10507986234085089</v>
      </c>
      <c r="GI19" s="503">
        <f>(GI18-FK18)/FK18</f>
        <v>9.8160163871204589E-2</v>
      </c>
      <c r="GJ19" s="504"/>
      <c r="GK19" s="503">
        <f>(GK18-FS18)/FS18</f>
        <v>8.0000000000000016E-2</v>
      </c>
      <c r="GL19" s="503">
        <f>+GL18/FS18-1</f>
        <v>6.7518905385948846E-2</v>
      </c>
      <c r="GM19" s="503">
        <f>(GM18-FV18)/FV18</f>
        <v>7.0000000000000048E-2</v>
      </c>
      <c r="GN19" s="503">
        <f>(GN18-FY18)/FY18</f>
        <v>6.8812564876101392E-2</v>
      </c>
      <c r="GO19" s="503">
        <f>+GO18/FV18-1</f>
        <v>9.2333014761564192E-2</v>
      </c>
      <c r="GP19" s="503">
        <f>+GP18/FY18-1</f>
        <v>8.0457149619623358E-2</v>
      </c>
      <c r="GQ19" s="503">
        <v>0.06</v>
      </c>
      <c r="GR19" s="482">
        <f>+GR18/FZ18-1</f>
        <v>8.9312056540908014E-2</v>
      </c>
      <c r="GS19" s="482">
        <f>+GS18/GA18-1</f>
        <v>8.355600521449813E-2</v>
      </c>
      <c r="GT19" s="618">
        <f>+GT18/GB18-1</f>
        <v>8.3391625723668872E-2</v>
      </c>
      <c r="GU19" s="482">
        <f>+GU18/GC18-1</f>
        <v>8.6281848414631268E-2</v>
      </c>
      <c r="GV19" s="483">
        <f>+GV18/GD18-1</f>
        <v>8.3511882067033749E-2</v>
      </c>
      <c r="GW19" s="482">
        <v>0.11217313084713461</v>
      </c>
      <c r="GX19" s="503">
        <f>(GX18-GB18)/GB18</f>
        <v>7.6183881003898613E-2</v>
      </c>
      <c r="GY19" s="503">
        <f>(GY18-GC18)/GC18</f>
        <v>8.2592764411085678E-2</v>
      </c>
      <c r="GZ19" s="503">
        <f>(GZ18-GD18)/GD18</f>
        <v>8.1577161491179814E-2</v>
      </c>
      <c r="HA19" s="505"/>
      <c r="HB19" s="503">
        <f>(HB18-GL18)/GL18</f>
        <v>0.18</v>
      </c>
      <c r="HC19" s="503"/>
      <c r="HD19" s="503">
        <f>+HD18/GL18-1</f>
        <v>0.19886618726687089</v>
      </c>
      <c r="HE19" s="503"/>
      <c r="HF19" s="503">
        <f>+HF18/GO18-1</f>
        <v>-1.5632795036185643E-2</v>
      </c>
      <c r="HG19" s="503"/>
      <c r="HH19" s="503"/>
      <c r="HI19" s="503">
        <f>+HI18/GP18-1</f>
        <v>8.5795664215600587E-2</v>
      </c>
      <c r="HJ19" s="503">
        <f>HI21+HI24</f>
        <v>8.5795664215600587E-2</v>
      </c>
      <c r="HK19" s="503">
        <f>(HK18-GP18)/GP18</f>
        <v>0.65269415910794382</v>
      </c>
      <c r="HL19" s="503"/>
      <c r="HM19" s="503"/>
      <c r="HN19" s="482">
        <f>+HN18/GR18-1</f>
        <v>2.0748877260781118E-2</v>
      </c>
      <c r="HO19" s="482">
        <f>+HO18/GS18-1</f>
        <v>-0.64011919514799354</v>
      </c>
      <c r="HP19" s="482">
        <f>+HP18/GS18-1</f>
        <v>6.2911021603808237E-2</v>
      </c>
      <c r="HQ19" s="482">
        <f>+HQ18/GS18-1</f>
        <v>6.3540765623535167E-2</v>
      </c>
      <c r="HR19" s="618">
        <f>+HR18/GT18-1</f>
        <v>-2.9274621808449197E-2</v>
      </c>
      <c r="HS19" s="618"/>
      <c r="HT19" s="482">
        <f>+HT18/GU18-1</f>
        <v>-4.7861406238876025E-3</v>
      </c>
      <c r="HU19" s="482"/>
      <c r="HV19" s="482">
        <f>+HV18/GV18-1</f>
        <v>3.8169070684978657E-2</v>
      </c>
      <c r="HW19" s="503">
        <f>HW21+HW24</f>
        <v>3.0000000000000002E-2</v>
      </c>
      <c r="HX19" s="503">
        <f>(HX18-GT18)/GT18</f>
        <v>-3.258167727847977E-2</v>
      </c>
      <c r="HY19" s="503">
        <f>(HY18-GU18)/GU18</f>
        <v>-6.4742616498868052E-3</v>
      </c>
      <c r="HZ19" s="482"/>
      <c r="IA19" s="503">
        <v>4.4063725233768052E-2</v>
      </c>
      <c r="IB19" s="503">
        <f>(IB18-GV18)/GV18</f>
        <v>3.728148123941364E-2</v>
      </c>
      <c r="IC19" s="505"/>
      <c r="ID19" s="503">
        <f>ID21+ID24</f>
        <v>-3.0000000000000002E-2</v>
      </c>
      <c r="IE19" s="506">
        <f>+IE18/HE18-1</f>
        <v>-6.6044491006607142E-3</v>
      </c>
      <c r="IF19" s="503">
        <f>IF18/HH18-1</f>
        <v>0.13626386470509555</v>
      </c>
      <c r="IG19" s="503">
        <f>IG18/HM18-1</f>
        <v>6.1657612355767055E-2</v>
      </c>
      <c r="IH19" s="503">
        <f>+IH18/HO18-1</f>
        <v>0.13775092175337988</v>
      </c>
      <c r="II19" s="503">
        <f>(II18-HO18)/HO18</f>
        <v>0.19179254942560997</v>
      </c>
      <c r="IJ19" s="503">
        <f>+IJ18/HQ18-1</f>
        <v>8.7406057845593299E-2</v>
      </c>
      <c r="IK19" s="503"/>
      <c r="IL19" s="503">
        <f>(IL18-HR18)/HR18</f>
        <v>0.13101366485745899</v>
      </c>
      <c r="IM19" s="503">
        <f>+IM18/HR18-1</f>
        <v>0.13101366485745891</v>
      </c>
      <c r="IN19" s="503">
        <f>IN18/HU18-1</f>
        <v>0.13524313268053456</v>
      </c>
      <c r="IO19" s="503">
        <f>+IO18/HU18-1</f>
        <v>0.13524313268053456</v>
      </c>
      <c r="IP19" s="501">
        <f>(IP18-HZ18)/HZ18</f>
        <v>9.8756382978723509E-2</v>
      </c>
      <c r="IQ19" s="503">
        <v>0.10390719084871446</v>
      </c>
      <c r="IR19" s="501">
        <f>+IR18/HZ18-1</f>
        <v>9.8756382978723467E-2</v>
      </c>
      <c r="IS19" s="506"/>
      <c r="IT19" s="622">
        <f>IT21+IT24</f>
        <v>0.22999999999999998</v>
      </c>
      <c r="IU19" s="622">
        <f>+IU18/IE18-1</f>
        <v>0.393897745934356</v>
      </c>
      <c r="IV19" s="622">
        <f>IV21+IV24</f>
        <v>0.34988301469204219</v>
      </c>
      <c r="IW19" s="622">
        <v>0.29000000000000004</v>
      </c>
      <c r="IX19" s="503">
        <f>(IX18-IG18)/IG18</f>
        <v>0.36689038031319909</v>
      </c>
      <c r="IY19" s="503">
        <v>0.340767194490672</v>
      </c>
      <c r="IZ19" s="503">
        <f>(IZ18-IH18)/IH18</f>
        <v>0.46938775510204084</v>
      </c>
      <c r="JA19" s="503">
        <f>(JA18-IJ18)/IJ18</f>
        <v>0.40317919075144509</v>
      </c>
      <c r="JB19" s="503">
        <f>(JB18-IM18)/IM18</f>
        <v>0.51452282157676343</v>
      </c>
      <c r="JC19" s="503">
        <f>(JC18-IO18)/IO18</f>
        <v>0.49176954732510286</v>
      </c>
      <c r="JD19" s="503">
        <f>(JD18-IR18)/IR18</f>
        <v>0.43193997856377275</v>
      </c>
      <c r="JE19" s="503">
        <v>0.36091040462427748</v>
      </c>
      <c r="JF19" s="503">
        <f>(JF18-IM18)/IM18</f>
        <v>0.51452282157676343</v>
      </c>
      <c r="JG19" s="503">
        <f>(JG18-IO18)/IO18</f>
        <v>0.49176954732510286</v>
      </c>
      <c r="JH19" s="501">
        <f>(JH18-IR18)/IR18</f>
        <v>0.43193997856377275</v>
      </c>
      <c r="JI19" s="506"/>
      <c r="JJ19" s="995">
        <f>+JJ18/IU18-1</f>
        <v>0.25</v>
      </c>
      <c r="JK19" s="495">
        <f>+JK18/IV18-1</f>
        <v>0.18000000000000016</v>
      </c>
      <c r="JL19" s="1670">
        <f>+JL18/IU18-1</f>
        <v>7.4069230769230554E-2</v>
      </c>
      <c r="JM19" s="2353">
        <f t="shared" ref="JM19" si="37">+JM18/IV18-1</f>
        <v>0.24612481569478306</v>
      </c>
      <c r="JN19" s="1670">
        <f>+JN18/IZ18-1</f>
        <v>4.5432520936645293E-2</v>
      </c>
      <c r="JO19" s="1670">
        <f>+JO18/JB18-1</f>
        <v>-1</v>
      </c>
      <c r="JP19" s="1670">
        <f>+JP18/IX18-1</f>
        <v>0.16039279869067102</v>
      </c>
      <c r="JQ19" s="1670">
        <f>+JQ18/JC18-1</f>
        <v>-1</v>
      </c>
      <c r="JR19" s="1670">
        <f>+JR18/JD18-1</f>
        <v>-1</v>
      </c>
      <c r="JS19" s="1670">
        <f>+JS18/JA18-1</f>
        <v>0.1177710685244</v>
      </c>
      <c r="JT19" s="495">
        <f>+JT18/IZ18-1</f>
        <v>5.0000000000000044E-2</v>
      </c>
      <c r="JU19" s="495">
        <f>+JU18/JB18-1</f>
        <v>4.8066554692623997E-2</v>
      </c>
      <c r="JV19" s="495">
        <f>+JV18/IX18-1</f>
        <v>0.12721671770852105</v>
      </c>
      <c r="JW19" s="495">
        <f>+JW18/JC18-1</f>
        <v>4.6758620689655306E-2</v>
      </c>
      <c r="JX19" s="495">
        <f>+JX18/JD18-1</f>
        <v>9.8727544910179654E-2</v>
      </c>
      <c r="JY19" s="495"/>
      <c r="JZ19" s="503"/>
      <c r="KA19" s="501"/>
      <c r="KB19" s="495">
        <f>+KB18/IV18-1</f>
        <v>0.34725012796320787</v>
      </c>
      <c r="KC19" s="495">
        <f>+KC18/IX18-1</f>
        <v>0.21112929623567922</v>
      </c>
      <c r="KD19" s="495">
        <f>+KD18/JC18-1</f>
        <v>4.8275862068965614E-2</v>
      </c>
      <c r="KE19" s="495">
        <f>+KE18/JC18-1</f>
        <v>9.1034482758620694E-2</v>
      </c>
      <c r="KF19" s="495"/>
      <c r="KG19" s="495">
        <f>+KG18/JD18-1</f>
        <v>0.1227544910179641</v>
      </c>
      <c r="KH19" s="495">
        <f>+KH18/JD18-1</f>
        <v>0.1227544910179641</v>
      </c>
      <c r="KI19" s="501"/>
      <c r="KJ19" s="503"/>
      <c r="KK19" s="623">
        <f>(KK18-IM18)/IM18</f>
        <v>0.27385892116182575</v>
      </c>
      <c r="KL19" s="503">
        <f>KL18/IO18-1</f>
        <v>0.37242798353909468</v>
      </c>
      <c r="KM19" s="495">
        <f>KM18/IR18-1</f>
        <v>0.36977491961414799</v>
      </c>
      <c r="KN19" s="503"/>
      <c r="KO19" s="495">
        <v>0.26398210290827739</v>
      </c>
      <c r="KP19" s="495">
        <v>0.33744855967078191</v>
      </c>
      <c r="KQ19" s="496">
        <v>0.30225080385852099</v>
      </c>
      <c r="KR19" s="495">
        <v>0.27539660585097092</v>
      </c>
      <c r="KS19" s="496">
        <v>0.1694159574468086</v>
      </c>
      <c r="KT19" s="624">
        <f>+KT18/HG18-1</f>
        <v>0.10907459204965608</v>
      </c>
      <c r="KU19" s="495">
        <f>+KU18/HL18-1</f>
        <v>4.8597979381443501E-2</v>
      </c>
      <c r="KV19" s="495" t="e">
        <f>+KV18/#REF!-1</f>
        <v>#REF!</v>
      </c>
      <c r="KW19" s="496">
        <f>+KW18/HZ18-1</f>
        <v>9.757872340425533E-2</v>
      </c>
      <c r="KX19" s="495">
        <f>+KX18/GT18-1</f>
        <v>-2.0879824367239008E-2</v>
      </c>
      <c r="KY19" s="495">
        <f>+KY18/GU18-1</f>
        <v>-5.0092853780758784E-4</v>
      </c>
      <c r="KZ19" s="496">
        <f>+KZ18/GV18-1</f>
        <v>4.0422172779575716E-2</v>
      </c>
      <c r="LA19" s="495">
        <f>+LA18/GP18-1</f>
        <v>9.5801481127568033E-2</v>
      </c>
      <c r="LB19" s="495">
        <f>+LB18/GU18-1</f>
        <v>4.8783472521710225E-2</v>
      </c>
      <c r="LC19" s="496">
        <f>+LC18/GV18-1</f>
        <v>7.1080097087378613E-2</v>
      </c>
      <c r="LD19" s="496">
        <f>+LD18/LC18-1</f>
        <v>-1</v>
      </c>
      <c r="LE19" s="495">
        <f>+LE18/GB18-1</f>
        <v>-4.7863486268623356E-3</v>
      </c>
      <c r="LF19" s="495">
        <f>+LF18/GC18-1</f>
        <v>4.1150400605534765E-2</v>
      </c>
      <c r="LG19" s="496">
        <f>+LG18/GD18-1</f>
        <v>5.9842933186928571E-2</v>
      </c>
    </row>
    <row r="20" spans="1:319" s="2337" customFormat="1" ht="11.25" customHeight="1">
      <c r="C20" s="2338"/>
      <c r="D20" s="2339"/>
      <c r="G20" s="2338"/>
      <c r="J20" s="2338"/>
      <c r="K20" s="2340"/>
      <c r="L20" s="2340"/>
      <c r="M20" s="2340"/>
      <c r="N20" s="2340"/>
      <c r="O20" s="2340"/>
      <c r="P20" s="2340"/>
      <c r="Q20" s="2340"/>
      <c r="R20" s="2340"/>
      <c r="S20" s="2341"/>
      <c r="T20" s="2340"/>
      <c r="U20" s="2340"/>
      <c r="V20" s="2340"/>
      <c r="W20" s="2340"/>
      <c r="X20" s="2340"/>
      <c r="Y20" s="2340"/>
      <c r="Z20" s="2340"/>
      <c r="AA20" s="2340"/>
      <c r="AB20" s="2341"/>
      <c r="AC20" s="2340"/>
      <c r="AD20" s="2340"/>
      <c r="AE20" s="2340"/>
      <c r="AF20" s="2340"/>
      <c r="AG20" s="2340"/>
      <c r="AH20" s="2340"/>
      <c r="AI20" s="2340"/>
      <c r="AJ20" s="2340"/>
      <c r="AK20" s="2339"/>
      <c r="AL20" s="2340"/>
      <c r="AM20" s="2340"/>
      <c r="AN20" s="2340"/>
      <c r="AO20" s="2340"/>
      <c r="AP20" s="2340"/>
      <c r="AQ20" s="2340"/>
      <c r="AR20" s="2340"/>
      <c r="AS20" s="2340"/>
      <c r="AT20" s="2339"/>
      <c r="AU20" s="2340"/>
      <c r="AV20" s="2340"/>
      <c r="AW20" s="2340"/>
      <c r="AX20" s="2340"/>
      <c r="AY20" s="2340"/>
      <c r="AZ20" s="2340"/>
      <c r="BA20" s="2340"/>
      <c r="BB20" s="2340"/>
      <c r="BC20" s="2340"/>
      <c r="BD20" s="2342"/>
      <c r="BE20" s="2340"/>
      <c r="BF20" s="2339"/>
      <c r="BG20" s="2343"/>
      <c r="BH20" s="2343"/>
      <c r="BI20" s="2340"/>
      <c r="BJ20" s="2339"/>
      <c r="BO20" s="2339"/>
      <c r="BP20" s="2340"/>
      <c r="BQ20" s="2342"/>
      <c r="BR20" s="2340"/>
      <c r="BS20" s="2342"/>
      <c r="BT20" s="2340"/>
      <c r="BU20" s="2340"/>
      <c r="BV20" s="2340"/>
      <c r="BW20" s="2342"/>
      <c r="BX20" s="2340"/>
      <c r="BY20" s="2340"/>
      <c r="BZ20" s="2342"/>
      <c r="CA20" s="2342"/>
      <c r="CB20" s="2340"/>
      <c r="CC20" s="2340"/>
      <c r="CD20" s="2340"/>
      <c r="CE20" s="2340"/>
      <c r="CF20" s="2339"/>
      <c r="CG20" s="2344"/>
      <c r="CJ20" s="1318"/>
      <c r="CK20" s="1318"/>
      <c r="CL20" s="1318"/>
      <c r="CM20" s="1318"/>
      <c r="CN20" s="1318"/>
      <c r="CO20" s="1318"/>
      <c r="CP20" s="1318"/>
      <c r="CQ20" s="1318"/>
      <c r="CR20" s="1318"/>
      <c r="CW20" s="2338"/>
      <c r="CX20" s="1318"/>
      <c r="CY20" s="1318"/>
      <c r="CZ20" s="1318"/>
      <c r="DA20" s="1318"/>
      <c r="DB20" s="1318"/>
      <c r="DC20" s="1318"/>
      <c r="DD20" s="1318"/>
      <c r="DE20" s="1318"/>
      <c r="DF20" s="1318"/>
      <c r="DG20" s="1318"/>
      <c r="DH20" s="1318"/>
      <c r="DI20" s="1318">
        <f t="shared" si="3"/>
        <v>0</v>
      </c>
      <c r="DJ20" s="1318"/>
      <c r="DK20" s="1318"/>
      <c r="DL20" s="2345"/>
      <c r="DM20" s="2345"/>
      <c r="DN20" s="2343"/>
      <c r="DO20" s="2343"/>
      <c r="DP20" s="2346"/>
      <c r="DQ20" s="2346"/>
      <c r="DR20" s="2346"/>
      <c r="DS20" s="2347"/>
      <c r="DT20" s="2345"/>
      <c r="DU20" s="2343"/>
      <c r="DV20" s="2343"/>
      <c r="DW20" s="1318"/>
      <c r="DX20" s="2346"/>
      <c r="DY20" s="2346"/>
      <c r="DZ20" s="2348"/>
      <c r="EC20" s="2346"/>
      <c r="ED20" s="2345"/>
      <c r="EE20" s="2339"/>
      <c r="EG20" s="2344"/>
      <c r="EU20" s="2338"/>
      <c r="EV20" s="2347"/>
      <c r="EZ20" s="1318"/>
      <c r="FA20" s="1318"/>
      <c r="FB20" s="1318"/>
      <c r="FC20" s="1318"/>
      <c r="FD20" s="1318"/>
      <c r="FE20" s="1318"/>
      <c r="FF20" s="1318"/>
      <c r="FG20" s="1318"/>
      <c r="FH20" s="1318"/>
      <c r="FI20" s="1318"/>
      <c r="FJ20" s="1318"/>
      <c r="FK20" s="2349"/>
      <c r="FL20" s="2345"/>
      <c r="FM20" s="2343"/>
      <c r="FN20" s="2346"/>
      <c r="FO20" s="2346"/>
      <c r="FP20" s="2346"/>
      <c r="FQ20" s="2347"/>
      <c r="FR20" s="2347"/>
      <c r="FT20" s="2346"/>
      <c r="FU20" s="2346"/>
      <c r="FW20" s="2346"/>
      <c r="FX20" s="2346"/>
      <c r="GA20" s="1318"/>
      <c r="GD20" s="2338"/>
      <c r="GE20" s="1318"/>
      <c r="GH20" s="2346"/>
      <c r="GI20" s="2346"/>
      <c r="GJ20" s="2350"/>
      <c r="GK20" s="2346"/>
      <c r="GL20" s="2346"/>
      <c r="GM20" s="2346"/>
      <c r="GN20" s="2346"/>
      <c r="GO20" s="2346"/>
      <c r="GP20" s="2346"/>
      <c r="GQ20" s="2346"/>
      <c r="GS20" s="1318"/>
      <c r="GV20" s="2338"/>
      <c r="GW20" s="1318"/>
      <c r="GX20" s="2346"/>
      <c r="GY20" s="2346"/>
      <c r="GZ20" s="2346"/>
      <c r="HA20" s="2350"/>
      <c r="HB20" s="2346"/>
      <c r="HC20" s="2346"/>
      <c r="HD20" s="2346"/>
      <c r="HE20" s="2346"/>
      <c r="HF20" s="2346"/>
      <c r="HG20" s="2346"/>
      <c r="HH20" s="2346"/>
      <c r="HI20" s="2346"/>
      <c r="HJ20" s="2346"/>
      <c r="HK20" s="2346"/>
      <c r="HL20" s="2346"/>
      <c r="HM20" s="2346"/>
      <c r="HP20" s="1318"/>
      <c r="HQ20" s="1318"/>
      <c r="HW20" s="2346"/>
      <c r="HX20" s="2346"/>
      <c r="HY20" s="2346"/>
      <c r="IA20" s="2346"/>
      <c r="IB20" s="2346"/>
      <c r="IC20" s="2350"/>
      <c r="ID20" s="2346"/>
      <c r="IE20" s="2351"/>
      <c r="IF20" s="2346"/>
      <c r="IG20" s="2346"/>
      <c r="IH20" s="2346"/>
      <c r="II20" s="2346"/>
      <c r="IJ20" s="2346"/>
      <c r="IK20" s="2346"/>
      <c r="IL20" s="2346"/>
      <c r="IM20" s="2346"/>
      <c r="IN20" s="2346"/>
      <c r="IO20" s="2346"/>
      <c r="IP20" s="2347"/>
      <c r="IQ20" s="2346"/>
      <c r="IR20" s="2347"/>
      <c r="IS20" s="2351"/>
      <c r="IT20" s="2346"/>
      <c r="IU20" s="2346"/>
      <c r="IV20" s="2346"/>
      <c r="IW20" s="2346"/>
      <c r="IX20" s="2346"/>
      <c r="IY20" s="2346"/>
      <c r="IZ20" s="2352"/>
      <c r="JA20" s="2346">
        <f>JA10/JA18</f>
        <v>132.76107106076211</v>
      </c>
      <c r="JB20" s="2346">
        <f>JB10/JB18</f>
        <v>135.51506849315069</v>
      </c>
      <c r="JC20" s="2346">
        <f>JC10/JC18</f>
        <v>123.92827586206897</v>
      </c>
      <c r="JD20" s="2346">
        <f>JD10/JD18</f>
        <v>133.51347305389223</v>
      </c>
      <c r="JE20" s="2346"/>
      <c r="JF20" s="2346"/>
      <c r="JG20" s="2346"/>
      <c r="JH20" s="2347"/>
      <c r="JI20" s="2351"/>
      <c r="JJ20" s="2351"/>
      <c r="JK20" s="2346"/>
      <c r="JL20" s="2346">
        <f>JL10/JL18</f>
        <v>145.16207951070336</v>
      </c>
      <c r="JM20" s="2346">
        <f>JM10/JM18</f>
        <v>153.41623036649216</v>
      </c>
      <c r="JN20" s="2346">
        <f>JN10/JN18</f>
        <v>127.17490140698895</v>
      </c>
      <c r="JO20" s="2346"/>
      <c r="JP20" s="2346">
        <f>JP10/JP18</f>
        <v>149.60930888575459</v>
      </c>
      <c r="JQ20" s="2346"/>
      <c r="JR20" s="2346"/>
      <c r="JS20" s="2346"/>
      <c r="JT20" s="2346"/>
      <c r="JU20" s="2346"/>
      <c r="JV20" s="2346"/>
      <c r="JW20" s="2346"/>
      <c r="JX20" s="2346"/>
      <c r="JY20" s="2346"/>
      <c r="JZ20" s="2346"/>
      <c r="KA20" s="2347"/>
      <c r="KB20" s="2346"/>
      <c r="KC20" s="2346"/>
      <c r="KD20" s="2346"/>
      <c r="KE20" s="2346"/>
      <c r="KF20" s="2346"/>
      <c r="KG20" s="2346"/>
      <c r="KH20" s="2346"/>
      <c r="KI20" s="2347"/>
      <c r="KJ20" s="2346"/>
      <c r="KK20" s="2346"/>
      <c r="KL20" s="2346"/>
      <c r="KM20" s="2346"/>
      <c r="KN20" s="2346"/>
      <c r="KO20" s="2346"/>
      <c r="KP20" s="2346"/>
      <c r="KQ20" s="2347"/>
      <c r="KR20" s="2346"/>
      <c r="KS20" s="2347"/>
      <c r="KT20" s="2346"/>
      <c r="KU20" s="2346"/>
      <c r="KV20" s="2346"/>
      <c r="KW20" s="2347"/>
      <c r="KX20" s="2346"/>
      <c r="KY20" s="2346"/>
      <c r="KZ20" s="2347"/>
      <c r="LA20" s="2346"/>
      <c r="LB20" s="2346"/>
      <c r="LC20" s="2347"/>
      <c r="LD20" s="2347"/>
      <c r="LE20" s="2346"/>
      <c r="LF20" s="2346"/>
      <c r="LG20" s="2347"/>
    </row>
    <row r="21" spans="1:319" s="618" customFormat="1" ht="12">
      <c r="B21" s="618" t="s">
        <v>1062</v>
      </c>
      <c r="C21" s="620" t="s">
        <v>966</v>
      </c>
      <c r="D21" s="1625"/>
      <c r="G21" s="620"/>
      <c r="J21" s="620"/>
      <c r="K21" s="612"/>
      <c r="L21" s="612"/>
      <c r="M21" s="612"/>
      <c r="N21" s="612"/>
      <c r="O21" s="612"/>
      <c r="P21" s="612"/>
      <c r="Q21" s="612"/>
      <c r="R21" s="612"/>
      <c r="S21" s="1626"/>
      <c r="T21" s="612"/>
      <c r="U21" s="612"/>
      <c r="V21" s="612"/>
      <c r="W21" s="612"/>
      <c r="X21" s="612"/>
      <c r="Y21" s="612"/>
      <c r="Z21" s="612"/>
      <c r="AA21" s="612"/>
      <c r="AB21" s="1626"/>
      <c r="AC21" s="612">
        <v>-0.09</v>
      </c>
      <c r="AD21" s="612">
        <v>0</v>
      </c>
      <c r="AE21" s="612"/>
      <c r="AF21" s="612"/>
      <c r="AG21" s="612"/>
      <c r="AH21" s="612">
        <v>-0.05</v>
      </c>
      <c r="AI21" s="612">
        <v>0.03</v>
      </c>
      <c r="AJ21" s="612">
        <v>-0.01</v>
      </c>
      <c r="AK21" s="1625"/>
      <c r="AL21" s="612">
        <v>0.14000000000000001</v>
      </c>
      <c r="AM21" s="612">
        <v>0.11</v>
      </c>
      <c r="AN21" s="612">
        <v>0.03</v>
      </c>
      <c r="AO21" s="612"/>
      <c r="AP21" s="612">
        <v>0.05</v>
      </c>
      <c r="AQ21" s="612">
        <v>0.14000000000000001</v>
      </c>
      <c r="AR21" s="612"/>
      <c r="AS21" s="612"/>
      <c r="AT21" s="1625"/>
      <c r="AU21" s="612"/>
      <c r="AV21" s="612">
        <v>0.11</v>
      </c>
      <c r="AW21" s="612">
        <v>0.06</v>
      </c>
      <c r="AX21" s="612"/>
      <c r="AY21" s="612">
        <v>0.06</v>
      </c>
      <c r="AZ21" s="612"/>
      <c r="BA21" s="612">
        <v>0.04</v>
      </c>
      <c r="BB21" s="612">
        <v>0.03</v>
      </c>
      <c r="BC21" s="612">
        <v>0.06</v>
      </c>
      <c r="BD21" s="612"/>
      <c r="BE21" s="612">
        <v>0.04</v>
      </c>
      <c r="BF21" s="1625"/>
      <c r="BG21" s="612"/>
      <c r="BH21" s="612">
        <v>0.03</v>
      </c>
      <c r="BI21" s="612">
        <v>0.03</v>
      </c>
      <c r="BJ21" s="1625"/>
      <c r="BO21" s="1625"/>
      <c r="BP21" s="612">
        <v>0.01</v>
      </c>
      <c r="BQ21" s="612"/>
      <c r="BR21" s="612">
        <f>BY21*2-BP21</f>
        <v>0.01</v>
      </c>
      <c r="BS21" s="612">
        <v>-0.01</v>
      </c>
      <c r="BT21" s="612">
        <v>-0.03</v>
      </c>
      <c r="BU21" s="612">
        <v>9.9999999999999915E-4</v>
      </c>
      <c r="BV21" s="612">
        <v>0</v>
      </c>
      <c r="BW21" s="612"/>
      <c r="BX21" s="612">
        <f t="shared" ref="BX21:BX26" si="38">(BY21*2+BT21)/3</f>
        <v>-3.3333333333333327E-3</v>
      </c>
      <c r="BY21" s="612">
        <v>0.01</v>
      </c>
      <c r="BZ21" s="612"/>
      <c r="CA21" s="612"/>
      <c r="CB21" s="612"/>
      <c r="CC21" s="612">
        <v>-0.01</v>
      </c>
      <c r="CD21" s="612"/>
      <c r="CE21" s="612">
        <v>-0.01</v>
      </c>
      <c r="CF21" s="1625"/>
      <c r="CG21" s="701">
        <v>-0.02</v>
      </c>
      <c r="CJ21" s="618">
        <v>0</v>
      </c>
      <c r="CK21" s="618">
        <v>-0.02</v>
      </c>
      <c r="CL21" s="618">
        <v>0</v>
      </c>
      <c r="CM21" s="618">
        <v>-0.02</v>
      </c>
      <c r="CO21" s="618">
        <v>-0.04</v>
      </c>
      <c r="CP21" s="618">
        <v>-0.01</v>
      </c>
      <c r="CR21" s="618">
        <v>-0.01</v>
      </c>
      <c r="CU21" s="618">
        <v>-0.04</v>
      </c>
      <c r="CW21" s="620">
        <v>-0.01</v>
      </c>
      <c r="CY21" s="618">
        <v>-0.01</v>
      </c>
      <c r="CZ21" s="618">
        <v>-0.04</v>
      </c>
      <c r="DA21" s="618" t="e">
        <f>+AVERAGE(#REF!,CY21)</f>
        <v>#REF!</v>
      </c>
      <c r="DB21" s="618">
        <v>-0.03</v>
      </c>
      <c r="DC21" s="618">
        <v>-0.05</v>
      </c>
      <c r="DD21" s="618">
        <v>-0.03</v>
      </c>
      <c r="DI21" s="618">
        <f>+DK21*2-DB21</f>
        <v>-0.03</v>
      </c>
      <c r="DK21" s="618">
        <v>-0.03</v>
      </c>
      <c r="DL21" s="494"/>
      <c r="DM21" s="494"/>
      <c r="DN21" s="612"/>
      <c r="DO21" s="612"/>
      <c r="DP21" s="756"/>
      <c r="DQ21" s="756"/>
      <c r="DR21" s="756">
        <v>0.01</v>
      </c>
      <c r="DS21" s="1005">
        <v>-0.01</v>
      </c>
      <c r="DT21" s="494"/>
      <c r="DU21" s="612"/>
      <c r="DV21" s="612">
        <f>DW21*2-CY21</f>
        <v>0.05</v>
      </c>
      <c r="DW21" s="618">
        <v>0.02</v>
      </c>
      <c r="DX21" s="756">
        <v>0.03</v>
      </c>
      <c r="DY21" s="756">
        <v>0.03</v>
      </c>
      <c r="DZ21" s="1625"/>
      <c r="EC21" s="756">
        <v>0.05</v>
      </c>
      <c r="ED21" s="494">
        <v>0.02</v>
      </c>
      <c r="EE21" s="1625"/>
      <c r="EG21" s="701">
        <v>-0.01</v>
      </c>
      <c r="EI21" s="618">
        <v>-0.04</v>
      </c>
      <c r="EK21" s="618">
        <v>-0.03</v>
      </c>
      <c r="EM21" s="618">
        <v>-0.02</v>
      </c>
      <c r="EO21" s="618">
        <f>+(EK21*2+EM21)/3</f>
        <v>-2.6666666666666668E-2</v>
      </c>
      <c r="EQ21" s="618">
        <v>-0.05</v>
      </c>
      <c r="ES21" s="618">
        <v>-0.04</v>
      </c>
      <c r="EU21" s="620">
        <v>-0.03</v>
      </c>
      <c r="EV21" s="1005"/>
      <c r="EX21" s="618">
        <v>-0.02</v>
      </c>
      <c r="EZ21" s="618">
        <v>0.06</v>
      </c>
      <c r="FB21" s="618">
        <v>0.02</v>
      </c>
      <c r="FC21" s="618">
        <v>0.08</v>
      </c>
      <c r="FE21" s="618">
        <v>0.08</v>
      </c>
      <c r="FG21" s="618">
        <v>0.11</v>
      </c>
      <c r="FI21" s="618">
        <v>0.1</v>
      </c>
      <c r="FK21" s="620">
        <v>0.06</v>
      </c>
      <c r="FL21" s="494">
        <f>+'maruchan inc'!Y7</f>
        <v>6.0999999999999999E-2</v>
      </c>
      <c r="FM21" s="612"/>
      <c r="FN21" s="756"/>
      <c r="FO21" s="756">
        <f>FP21*2-FC21</f>
        <v>2.0000000000000004E-2</v>
      </c>
      <c r="FP21" s="756">
        <v>0.05</v>
      </c>
      <c r="FQ21" s="1005">
        <v>0.04</v>
      </c>
      <c r="FR21" s="1005"/>
      <c r="FS21" s="61">
        <v>0.13</v>
      </c>
      <c r="FT21" s="756"/>
      <c r="FU21" s="756"/>
      <c r="FV21" s="618">
        <v>0.05</v>
      </c>
      <c r="FW21" s="756"/>
      <c r="FX21" s="756"/>
      <c r="FY21" s="618">
        <v>0.09</v>
      </c>
      <c r="FZ21" s="618">
        <v>7.0000000000000007E-2</v>
      </c>
      <c r="GA21" s="618">
        <f>(FY21*2+FZ21)/3</f>
        <v>8.3333333333333329E-2</v>
      </c>
      <c r="GB21" s="618">
        <v>7.0000000000000007E-2</v>
      </c>
      <c r="GC21" s="618">
        <v>7.0000000000000007E-2</v>
      </c>
      <c r="GD21" s="620">
        <v>7.0000000000000007E-2</v>
      </c>
      <c r="GH21" s="756"/>
      <c r="GI21" s="756"/>
      <c r="GJ21" s="1627"/>
      <c r="GK21" s="756"/>
      <c r="GL21" s="756">
        <v>0.04</v>
      </c>
      <c r="GM21" s="756"/>
      <c r="GN21" s="756"/>
      <c r="GO21" s="756">
        <v>0.06</v>
      </c>
      <c r="GP21" s="756">
        <v>0.05</v>
      </c>
      <c r="GQ21" s="756"/>
      <c r="GR21" s="618">
        <v>0.06</v>
      </c>
      <c r="GS21" s="618">
        <v>0.06</v>
      </c>
      <c r="GT21" s="618">
        <v>0.05</v>
      </c>
      <c r="GU21" s="618">
        <v>0.06</v>
      </c>
      <c r="GV21" s="620">
        <v>0.06</v>
      </c>
      <c r="GX21" s="756"/>
      <c r="GY21" s="756"/>
      <c r="GZ21" s="756"/>
      <c r="HA21" s="1627"/>
      <c r="HB21" s="756">
        <v>0.13</v>
      </c>
      <c r="HC21" s="756"/>
      <c r="HD21" s="756">
        <v>0.11</v>
      </c>
      <c r="HE21" s="756"/>
      <c r="HF21" s="756">
        <v>-0.09</v>
      </c>
      <c r="HG21" s="756"/>
      <c r="HH21" s="756"/>
      <c r="HI21" s="756">
        <v>0.01</v>
      </c>
      <c r="HJ21" s="756">
        <v>0.08</v>
      </c>
      <c r="HK21" s="756"/>
      <c r="HL21" s="756"/>
      <c r="HM21" s="756"/>
      <c r="HN21" s="618">
        <v>-0.05</v>
      </c>
      <c r="HO21" s="618">
        <v>-0.05</v>
      </c>
      <c r="HP21" s="618">
        <v>-0.01</v>
      </c>
      <c r="HQ21" s="1628"/>
      <c r="HR21" s="618">
        <v>-0.09</v>
      </c>
      <c r="HT21" s="618">
        <v>-7.0000000000000007E-2</v>
      </c>
      <c r="HV21" s="618">
        <v>-0.03</v>
      </c>
      <c r="HW21" s="756">
        <v>-0.02</v>
      </c>
      <c r="HX21" s="756"/>
      <c r="HY21" s="756"/>
      <c r="IA21" s="756"/>
      <c r="IB21" s="756"/>
      <c r="IC21" s="1627"/>
      <c r="ID21" s="756">
        <v>-0.05</v>
      </c>
      <c r="IE21" s="1629">
        <v>-0.04</v>
      </c>
      <c r="IF21" s="1630">
        <v>0.09</v>
      </c>
      <c r="IG21" s="1630">
        <v>0.02</v>
      </c>
      <c r="IH21" s="1631">
        <v>0.01</v>
      </c>
      <c r="II21" s="756"/>
      <c r="IJ21" s="1632">
        <v>0.02</v>
      </c>
      <c r="IK21" s="1006"/>
      <c r="IL21" s="1631">
        <f>IN21*2-IH21</f>
        <v>1.4E-2</v>
      </c>
      <c r="IM21" s="1633">
        <v>0.01</v>
      </c>
      <c r="IN21" s="756">
        <f>IP21*2-IG21</f>
        <v>1.2E-2</v>
      </c>
      <c r="IO21" s="1634">
        <v>0.01</v>
      </c>
      <c r="IP21" s="1005">
        <f>'maruchan inc'!AD7</f>
        <v>1.6E-2</v>
      </c>
      <c r="IQ21" s="756">
        <v>2.0000000000000004E-2</v>
      </c>
      <c r="IR21" s="1005">
        <v>0.02</v>
      </c>
      <c r="IS21" s="1638"/>
      <c r="IT21" s="1634">
        <v>0.05</v>
      </c>
      <c r="IU21" s="1635">
        <v>0.12</v>
      </c>
      <c r="IV21" s="1634">
        <v>0.09</v>
      </c>
      <c r="IW21" s="1634">
        <v>7.0000000000000007E-2</v>
      </c>
      <c r="IX21" s="756">
        <v>0.1</v>
      </c>
      <c r="IY21" s="756">
        <v>9.5000000000000001E-2</v>
      </c>
      <c r="IZ21" s="756">
        <v>0.15</v>
      </c>
      <c r="JA21" s="756">
        <v>0.12</v>
      </c>
      <c r="JB21" s="756">
        <v>0.17</v>
      </c>
      <c r="JC21" s="756">
        <v>0.16</v>
      </c>
      <c r="JD21" s="756">
        <v>0.13</v>
      </c>
      <c r="JE21" s="756"/>
      <c r="JF21" s="756"/>
      <c r="JG21" s="756"/>
      <c r="JH21" s="1005">
        <f>'maruchan inc'!AF7</f>
        <v>0.128</v>
      </c>
      <c r="JI21" s="1638"/>
      <c r="JJ21" s="1662">
        <v>0.1</v>
      </c>
      <c r="JK21" s="1663">
        <v>0.08</v>
      </c>
      <c r="JL21" s="1663">
        <v>-0.05</v>
      </c>
      <c r="JM21" s="1663">
        <v>0.08</v>
      </c>
      <c r="JN21" s="1663">
        <v>0.04</v>
      </c>
      <c r="JO21" s="1663"/>
      <c r="JP21" s="1663">
        <v>0.01</v>
      </c>
      <c r="JQ21" s="1663"/>
      <c r="JR21" s="1663"/>
      <c r="JS21" s="1663">
        <v>0.02</v>
      </c>
      <c r="JT21" s="1663">
        <v>0.06</v>
      </c>
      <c r="JU21" s="1663">
        <v>0.06</v>
      </c>
      <c r="JV21" s="1641">
        <f>+JL21/2+JK21/2</f>
        <v>1.4999999999999999E-2</v>
      </c>
      <c r="JW21" s="1641">
        <f>+JU21/2+JN21/2</f>
        <v>0.05</v>
      </c>
      <c r="JX21" s="1641">
        <f>+JP21/2+JW21/2</f>
        <v>3.0000000000000002E-2</v>
      </c>
      <c r="JY21" s="1641"/>
      <c r="JZ21" s="1634"/>
      <c r="KA21" s="1639"/>
      <c r="KB21" s="2245"/>
      <c r="KC21" s="2245">
        <v>0.08</v>
      </c>
      <c r="KD21" s="2245">
        <v>0.06</v>
      </c>
      <c r="KE21" s="2245">
        <v>0.1</v>
      </c>
      <c r="KF21" s="2245"/>
      <c r="KG21" s="2245">
        <v>0.06</v>
      </c>
      <c r="KH21" s="2245">
        <v>7.0000000000000007E-2</v>
      </c>
      <c r="KI21" s="1639"/>
      <c r="KJ21" s="1634"/>
      <c r="KK21" s="756"/>
      <c r="KL21" s="1636">
        <v>0.11</v>
      </c>
      <c r="KM21" s="1637">
        <v>0.11</v>
      </c>
      <c r="KN21" s="1634"/>
      <c r="KO21" s="1634">
        <v>0.06</v>
      </c>
      <c r="KP21" s="756">
        <v>0.1</v>
      </c>
      <c r="KQ21" s="1640">
        <v>0.08</v>
      </c>
      <c r="KR21" s="756">
        <v>0.14000000000000001</v>
      </c>
      <c r="KS21" s="1005">
        <v>0.08</v>
      </c>
      <c r="KT21" s="1006">
        <v>0.11</v>
      </c>
      <c r="KU21" s="756">
        <v>0.05</v>
      </c>
      <c r="KV21" s="1006">
        <v>0.11</v>
      </c>
      <c r="KW21" s="1005">
        <v>0.08</v>
      </c>
      <c r="KX21" s="661">
        <f>KY21*2-HN21</f>
        <v>-0.03</v>
      </c>
      <c r="KY21" s="756">
        <v>-0.04</v>
      </c>
      <c r="KZ21" s="1005">
        <v>-0.02</v>
      </c>
      <c r="LA21" s="756">
        <v>0.06</v>
      </c>
      <c r="LB21" s="756">
        <v>0.02</v>
      </c>
      <c r="LC21" s="1005">
        <v>0.04</v>
      </c>
      <c r="LD21" s="1005"/>
      <c r="LE21" s="1641">
        <f>LF21*2-GR21</f>
        <v>0</v>
      </c>
      <c r="LF21" s="756">
        <v>0.03</v>
      </c>
      <c r="LG21" s="1005">
        <v>0.04</v>
      </c>
    </row>
    <row r="22" spans="1:319" s="644" customFormat="1" ht="12">
      <c r="B22" s="644" t="s">
        <v>1037</v>
      </c>
      <c r="C22" s="645" t="s">
        <v>964</v>
      </c>
      <c r="D22" s="646"/>
      <c r="G22" s="645"/>
      <c r="J22" s="645"/>
      <c r="K22" s="647"/>
      <c r="L22" s="647"/>
      <c r="M22" s="647"/>
      <c r="N22" s="647"/>
      <c r="O22" s="647"/>
      <c r="P22" s="647"/>
      <c r="Q22" s="647"/>
      <c r="R22" s="647"/>
      <c r="S22" s="648"/>
      <c r="T22" s="647"/>
      <c r="U22" s="647"/>
      <c r="V22" s="647"/>
      <c r="W22" s="647"/>
      <c r="X22" s="647"/>
      <c r="Y22" s="647"/>
      <c r="Z22" s="647"/>
      <c r="AA22" s="647"/>
      <c r="AB22" s="648"/>
      <c r="AC22" s="647"/>
      <c r="AD22" s="647"/>
      <c r="AE22" s="647"/>
      <c r="AF22" s="647"/>
      <c r="AG22" s="647"/>
      <c r="AH22" s="647"/>
      <c r="AI22" s="647"/>
      <c r="AJ22" s="647"/>
      <c r="AK22" s="646"/>
      <c r="AL22" s="647"/>
      <c r="AM22" s="647"/>
      <c r="AN22" s="647"/>
      <c r="AO22" s="647"/>
      <c r="AP22" s="647"/>
      <c r="AQ22" s="647"/>
      <c r="AR22" s="647"/>
      <c r="AS22" s="647"/>
      <c r="AT22" s="646"/>
      <c r="AU22" s="647"/>
      <c r="AV22" s="647"/>
      <c r="AW22" s="647">
        <v>0.04</v>
      </c>
      <c r="AX22" s="647"/>
      <c r="AY22" s="647">
        <v>0.05</v>
      </c>
      <c r="AZ22" s="647"/>
      <c r="BA22" s="647">
        <v>0.02</v>
      </c>
      <c r="BB22" s="612">
        <v>0</v>
      </c>
      <c r="BC22" s="612">
        <v>0.05</v>
      </c>
      <c r="BD22" s="647"/>
      <c r="BE22" s="647">
        <v>0.02</v>
      </c>
      <c r="BF22" s="646"/>
      <c r="BG22" s="647"/>
      <c r="BH22" s="647">
        <f>BI22*2-BB22</f>
        <v>0.04</v>
      </c>
      <c r="BI22" s="647">
        <v>0.02</v>
      </c>
      <c r="BJ22" s="646"/>
      <c r="BO22" s="646"/>
      <c r="BP22" s="647">
        <v>0</v>
      </c>
      <c r="BQ22" s="647"/>
      <c r="BR22" s="647">
        <f>BY22*2-BP22</f>
        <v>-0.02</v>
      </c>
      <c r="BS22" s="647">
        <v>-0.01</v>
      </c>
      <c r="BT22" s="647">
        <v>-0.04</v>
      </c>
      <c r="BU22" s="647">
        <v>0.01</v>
      </c>
      <c r="BV22" s="647">
        <v>0.01</v>
      </c>
      <c r="BW22" s="647"/>
      <c r="BX22" s="647">
        <f t="shared" si="38"/>
        <v>-0.02</v>
      </c>
      <c r="BY22" s="647">
        <v>-0.01</v>
      </c>
      <c r="BZ22" s="647"/>
      <c r="CA22" s="647"/>
      <c r="CB22" s="647"/>
      <c r="CC22" s="647">
        <v>-0.01</v>
      </c>
      <c r="CD22" s="647"/>
      <c r="CE22" s="647">
        <v>-0.02</v>
      </c>
      <c r="CF22" s="646"/>
      <c r="CG22" s="650">
        <v>-0.04</v>
      </c>
      <c r="CH22" s="644">
        <v>-0.03</v>
      </c>
      <c r="CI22" s="644">
        <v>-0.03</v>
      </c>
      <c r="CJ22" s="644">
        <v>0.01</v>
      </c>
      <c r="CL22" s="644">
        <v>-0.01</v>
      </c>
      <c r="CO22" s="644">
        <v>-7.0000000000000007E-2</v>
      </c>
      <c r="CP22" s="644">
        <v>-0.01</v>
      </c>
      <c r="CR22" s="644">
        <v>-0.01</v>
      </c>
      <c r="CU22" s="644">
        <v>0.03</v>
      </c>
      <c r="CW22" s="645">
        <v>-0.03</v>
      </c>
      <c r="CY22" s="644">
        <v>0</v>
      </c>
      <c r="CZ22" s="264">
        <f>+DB22*2-CY22</f>
        <v>-0.04</v>
      </c>
      <c r="DA22" s="644" t="e">
        <f>+(#REF!+CY22)/2</f>
        <v>#REF!</v>
      </c>
      <c r="DB22" s="644">
        <v>-0.02</v>
      </c>
      <c r="DC22" s="644">
        <v>-0.05</v>
      </c>
      <c r="DE22" s="644">
        <v>0.01</v>
      </c>
      <c r="DI22" s="651">
        <f t="shared" ref="DI22:DI23" si="39">+DK22*2-DB22</f>
        <v>-0.02</v>
      </c>
      <c r="DK22" s="644">
        <v>-0.02</v>
      </c>
      <c r="DL22" s="652"/>
      <c r="DM22" s="652"/>
      <c r="DN22" s="647"/>
      <c r="DO22" s="647"/>
      <c r="DP22" s="503"/>
      <c r="DQ22" s="503"/>
      <c r="DR22" s="503">
        <v>0.01</v>
      </c>
      <c r="DS22" s="501">
        <v>0</v>
      </c>
      <c r="DT22" s="652"/>
      <c r="DU22" s="647"/>
      <c r="DV22" s="649">
        <f>DW22*2-CY22</f>
        <v>0.04</v>
      </c>
      <c r="DW22" s="644">
        <v>0.02</v>
      </c>
      <c r="DX22" s="503">
        <v>0.04</v>
      </c>
      <c r="DY22" s="503">
        <v>0.03</v>
      </c>
      <c r="DZ22" s="646"/>
      <c r="EA22" s="644">
        <v>0.04</v>
      </c>
      <c r="EB22" s="644">
        <v>0.04</v>
      </c>
      <c r="EC22" s="503">
        <v>0.04</v>
      </c>
      <c r="ED22" s="652">
        <v>0.01</v>
      </c>
      <c r="EE22" s="646"/>
      <c r="EG22" s="650">
        <v>-0.03</v>
      </c>
      <c r="EI22" s="651">
        <v>-0.06</v>
      </c>
      <c r="EK22" s="644">
        <v>-0.05</v>
      </c>
      <c r="EM22" s="663">
        <v>-0.05</v>
      </c>
      <c r="EO22" s="644">
        <f>+(EK22*2+EM22)/3</f>
        <v>-5.000000000000001E-2</v>
      </c>
      <c r="EQ22" s="664">
        <v>-0.12</v>
      </c>
      <c r="ES22" s="644">
        <f t="shared" ref="ES22:ES24" si="40">+EU22*2-EK22</f>
        <v>-9.0000000000000011E-2</v>
      </c>
      <c r="EU22" s="645">
        <v>-7.0000000000000007E-2</v>
      </c>
      <c r="EV22" s="501"/>
      <c r="EW22" s="264"/>
      <c r="EX22" s="264">
        <v>-0.05</v>
      </c>
      <c r="EY22" s="264"/>
      <c r="EZ22" s="264">
        <v>0.05</v>
      </c>
      <c r="FA22" s="651"/>
      <c r="FB22" s="264">
        <v>0</v>
      </c>
      <c r="FC22" s="264">
        <v>0.08</v>
      </c>
      <c r="FD22" s="264"/>
      <c r="FE22" s="264">
        <v>0.08</v>
      </c>
      <c r="FF22" s="264"/>
      <c r="FG22" s="264">
        <v>0.18</v>
      </c>
      <c r="FH22" s="264"/>
      <c r="FI22" s="264">
        <v>0.13</v>
      </c>
      <c r="FJ22" s="264"/>
      <c r="FK22" s="645">
        <v>7.0000000000000007E-2</v>
      </c>
      <c r="FL22" s="626">
        <f>+'maruchan inc'!Y12</f>
        <v>7.0000000000000007E-2</v>
      </c>
      <c r="FM22" s="647">
        <f>+FN22*2-EX22</f>
        <v>-9.999999999999995E-3</v>
      </c>
      <c r="FN22" s="503">
        <v>-0.03</v>
      </c>
      <c r="FO22" s="503">
        <f>FP22*2-FC22</f>
        <v>6.0000000000000012E-2</v>
      </c>
      <c r="FP22" s="503">
        <v>7.0000000000000007E-2</v>
      </c>
      <c r="FQ22" s="501">
        <v>0.04</v>
      </c>
      <c r="FR22" s="501"/>
      <c r="FS22" s="342">
        <v>0.1</v>
      </c>
      <c r="FT22" s="503"/>
      <c r="FU22" s="503"/>
      <c r="FV22" s="264">
        <v>0.03</v>
      </c>
      <c r="FW22" s="503"/>
      <c r="FX22" s="503"/>
      <c r="FY22" s="264">
        <v>0.06</v>
      </c>
      <c r="FZ22" s="264">
        <v>0.06</v>
      </c>
      <c r="GA22" s="264">
        <f>(FY22*2+FZ22)/3</f>
        <v>0.06</v>
      </c>
      <c r="GB22" s="264">
        <v>0.04</v>
      </c>
      <c r="GC22" s="264">
        <v>0.05</v>
      </c>
      <c r="GD22" s="265">
        <v>0.05</v>
      </c>
      <c r="GE22" s="264"/>
      <c r="GF22" s="264"/>
      <c r="GG22" s="264"/>
      <c r="GH22" s="503"/>
      <c r="GI22" s="503"/>
      <c r="GJ22" s="504"/>
      <c r="GK22" s="503"/>
      <c r="GL22" s="503">
        <v>0.05</v>
      </c>
      <c r="GM22" s="503"/>
      <c r="GN22" s="503"/>
      <c r="GO22" s="503">
        <v>0.09</v>
      </c>
      <c r="GP22" s="503">
        <v>7.0000000000000007E-2</v>
      </c>
      <c r="GQ22" s="503"/>
      <c r="GR22" s="264">
        <v>0.1</v>
      </c>
      <c r="GS22" s="264">
        <v>0.08</v>
      </c>
      <c r="GT22" s="644">
        <v>0.09</v>
      </c>
      <c r="GU22" s="644">
        <v>0.1</v>
      </c>
      <c r="GV22" s="645">
        <v>0.09</v>
      </c>
      <c r="GW22" s="264"/>
      <c r="GX22" s="503"/>
      <c r="GY22" s="503"/>
      <c r="GZ22" s="503"/>
      <c r="HA22" s="504"/>
      <c r="HB22" s="503"/>
      <c r="HC22" s="503"/>
      <c r="HD22" s="503">
        <v>0.2</v>
      </c>
      <c r="HE22" s="503"/>
      <c r="HF22" s="503">
        <v>-0.1</v>
      </c>
      <c r="HG22" s="503"/>
      <c r="HH22" s="503"/>
      <c r="HI22" s="503">
        <v>0.03</v>
      </c>
      <c r="HJ22" s="503"/>
      <c r="HK22" s="503"/>
      <c r="HL22" s="503"/>
      <c r="HM22" s="503"/>
      <c r="HN22" s="264">
        <v>-0.08</v>
      </c>
      <c r="HO22" s="264">
        <v>-0.08</v>
      </c>
      <c r="HP22" s="264">
        <v>-0.01</v>
      </c>
      <c r="HQ22" s="653"/>
      <c r="HR22" s="665">
        <v>-0.12</v>
      </c>
      <c r="HS22" s="665"/>
      <c r="HT22" s="264">
        <v>-0.1</v>
      </c>
      <c r="HV22" s="264">
        <v>-0.04</v>
      </c>
      <c r="HW22" s="503"/>
      <c r="HX22" s="503"/>
      <c r="HY22" s="503"/>
      <c r="IA22" s="503"/>
      <c r="IB22" s="503"/>
      <c r="IC22" s="504"/>
      <c r="ID22" s="503"/>
      <c r="IE22" s="506">
        <v>-0.09</v>
      </c>
      <c r="IF22" s="654">
        <v>0.06</v>
      </c>
      <c r="IG22" s="654">
        <v>-0.02</v>
      </c>
      <c r="IH22" s="503">
        <v>0.03</v>
      </c>
      <c r="II22" s="503"/>
      <c r="IJ22" s="655">
        <v>0</v>
      </c>
      <c r="IK22" s="624"/>
      <c r="IL22" s="503"/>
      <c r="IM22" s="659">
        <v>0.01</v>
      </c>
      <c r="IN22" s="503">
        <f>IP22*2-IG22</f>
        <v>0.02</v>
      </c>
      <c r="IO22" s="659">
        <v>0.02</v>
      </c>
      <c r="IP22" s="501">
        <f>'maruchan inc'!AD12</f>
        <v>0</v>
      </c>
      <c r="IQ22" s="503">
        <v>0</v>
      </c>
      <c r="IR22" s="501">
        <v>0</v>
      </c>
      <c r="IS22" s="1286"/>
      <c r="IT22" s="503"/>
      <c r="IU22" s="657">
        <v>0.17</v>
      </c>
      <c r="IV22" s="503">
        <v>0.09</v>
      </c>
      <c r="IW22" s="503"/>
      <c r="IX22" s="503">
        <v>0.13</v>
      </c>
      <c r="IY22" s="503"/>
      <c r="IZ22" s="503">
        <v>0.12</v>
      </c>
      <c r="JA22" s="503">
        <v>0.12</v>
      </c>
      <c r="JB22" s="503">
        <v>0.18</v>
      </c>
      <c r="JC22" s="503">
        <v>0.15</v>
      </c>
      <c r="JD22" s="503">
        <v>0.14000000000000001</v>
      </c>
      <c r="JE22" s="503"/>
      <c r="JF22" s="503"/>
      <c r="JG22" s="503"/>
      <c r="JH22" s="501">
        <f>'maruchan inc'!AF12</f>
        <v>0.14000000000000001</v>
      </c>
      <c r="JI22" s="1286"/>
      <c r="JJ22" s="1286"/>
      <c r="JK22" s="659"/>
      <c r="JL22" s="1265">
        <v>-0.13</v>
      </c>
      <c r="JM22" s="1265">
        <v>7.0000000000000007E-2</v>
      </c>
      <c r="JN22" s="1265">
        <v>0.03</v>
      </c>
      <c r="JO22" s="1265"/>
      <c r="JP22" s="1265">
        <v>-0.03</v>
      </c>
      <c r="JQ22" s="1265"/>
      <c r="JR22" s="1265"/>
      <c r="JS22" s="1265">
        <v>-0.01</v>
      </c>
      <c r="JT22" s="659"/>
      <c r="JU22" s="659">
        <v>0.04</v>
      </c>
      <c r="JV22" s="662"/>
      <c r="JW22" s="662">
        <f>+JN22/2+JU22/2</f>
        <v>3.5000000000000003E-2</v>
      </c>
      <c r="JX22" s="662">
        <f>+JP22/2+JW22/2</f>
        <v>2.5000000000000022E-3</v>
      </c>
      <c r="JY22" s="662"/>
      <c r="JZ22" s="659"/>
      <c r="KA22" s="1273"/>
      <c r="KB22" s="2246"/>
      <c r="KC22" s="2246"/>
      <c r="KD22" s="2246"/>
      <c r="KE22" s="2246">
        <v>0.11</v>
      </c>
      <c r="KF22" s="2246"/>
      <c r="KG22" s="2246">
        <v>0.04</v>
      </c>
      <c r="KH22" s="2246"/>
      <c r="KI22" s="1273"/>
      <c r="KJ22" s="659"/>
      <c r="KK22" s="503"/>
      <c r="KL22" s="658">
        <v>0.1</v>
      </c>
      <c r="KM22" s="1265">
        <v>0.11</v>
      </c>
      <c r="KN22" s="659"/>
      <c r="KO22" s="659">
        <v>0.06</v>
      </c>
      <c r="KP22" s="503">
        <v>0.08</v>
      </c>
      <c r="KQ22" s="501">
        <v>7.0000000000000007E-2</v>
      </c>
      <c r="KR22" s="503">
        <v>0.16</v>
      </c>
      <c r="KS22" s="501">
        <v>7.0000000000000007E-2</v>
      </c>
      <c r="KT22" s="503">
        <v>0.15</v>
      </c>
      <c r="KU22" s="503">
        <v>0.04</v>
      </c>
      <c r="KV22" s="503">
        <v>0.15</v>
      </c>
      <c r="KW22" s="501">
        <v>0.09</v>
      </c>
      <c r="KX22" s="661">
        <f>KY22*2-HN22</f>
        <v>-2.0000000000000004E-2</v>
      </c>
      <c r="KY22" s="503">
        <v>-0.05</v>
      </c>
      <c r="KZ22" s="501">
        <v>-0.01</v>
      </c>
      <c r="LA22" s="503">
        <v>0.08</v>
      </c>
      <c r="LB22" s="503">
        <v>0.01</v>
      </c>
      <c r="LC22" s="501">
        <v>0.04</v>
      </c>
      <c r="LD22" s="501"/>
      <c r="LE22" s="666">
        <f>LF22*2-GR22</f>
        <v>-6.0000000000000005E-2</v>
      </c>
      <c r="LF22" s="503">
        <v>0.02</v>
      </c>
      <c r="LG22" s="501">
        <v>0.05</v>
      </c>
    </row>
    <row r="23" spans="1:319" s="644" customFormat="1" ht="12">
      <c r="B23" s="644" t="s">
        <v>1038</v>
      </c>
      <c r="C23" s="645" t="s">
        <v>963</v>
      </c>
      <c r="D23" s="646"/>
      <c r="G23" s="645"/>
      <c r="J23" s="645"/>
      <c r="K23" s="647"/>
      <c r="L23" s="647"/>
      <c r="M23" s="647"/>
      <c r="N23" s="647"/>
      <c r="O23" s="647"/>
      <c r="P23" s="647"/>
      <c r="Q23" s="647"/>
      <c r="R23" s="647"/>
      <c r="S23" s="648"/>
      <c r="T23" s="647"/>
      <c r="U23" s="647"/>
      <c r="V23" s="647"/>
      <c r="W23" s="647"/>
      <c r="X23" s="647"/>
      <c r="Y23" s="647"/>
      <c r="Z23" s="647"/>
      <c r="AA23" s="647"/>
      <c r="AB23" s="648"/>
      <c r="AC23" s="647"/>
      <c r="AD23" s="647"/>
      <c r="AE23" s="647"/>
      <c r="AF23" s="647"/>
      <c r="AG23" s="647"/>
      <c r="AH23" s="647"/>
      <c r="AI23" s="647"/>
      <c r="AJ23" s="647"/>
      <c r="AK23" s="646"/>
      <c r="AL23" s="647"/>
      <c r="AM23" s="647"/>
      <c r="AN23" s="647"/>
      <c r="AO23" s="647"/>
      <c r="AP23" s="647"/>
      <c r="AQ23" s="647"/>
      <c r="AR23" s="647"/>
      <c r="AS23" s="647"/>
      <c r="AT23" s="646"/>
      <c r="AU23" s="647"/>
      <c r="AV23" s="647"/>
      <c r="AW23" s="647">
        <v>0.12</v>
      </c>
      <c r="AX23" s="647"/>
      <c r="AY23" s="647">
        <v>0.08</v>
      </c>
      <c r="AZ23" s="647"/>
      <c r="BA23" s="647">
        <v>0.11</v>
      </c>
      <c r="BB23" s="612">
        <v>0.11</v>
      </c>
      <c r="BC23" s="612">
        <v>0.1</v>
      </c>
      <c r="BD23" s="647"/>
      <c r="BE23" s="647">
        <v>0.1</v>
      </c>
      <c r="BF23" s="646"/>
      <c r="BG23" s="647"/>
      <c r="BH23" s="647">
        <f>BI23*2-BB23</f>
        <v>9.999999999999995E-3</v>
      </c>
      <c r="BI23" s="647">
        <v>0.06</v>
      </c>
      <c r="BJ23" s="646"/>
      <c r="BO23" s="646"/>
      <c r="BP23" s="647">
        <v>0.05</v>
      </c>
      <c r="BQ23" s="647"/>
      <c r="BR23" s="647">
        <f>BY23*2-BP23</f>
        <v>6.9999999999999993E-2</v>
      </c>
      <c r="BS23" s="647">
        <v>-0.01</v>
      </c>
      <c r="BT23" s="647">
        <v>-0.01</v>
      </c>
      <c r="BU23" s="647">
        <v>-0.02</v>
      </c>
      <c r="BV23" s="647">
        <v>-0.02</v>
      </c>
      <c r="BW23" s="647"/>
      <c r="BX23" s="647">
        <f t="shared" si="38"/>
        <v>3.6666666666666667E-2</v>
      </c>
      <c r="BY23" s="647">
        <v>0.06</v>
      </c>
      <c r="BZ23" s="647"/>
      <c r="CA23" s="647"/>
      <c r="CB23" s="647"/>
      <c r="CC23" s="647">
        <v>-0.01</v>
      </c>
      <c r="CD23" s="647"/>
      <c r="CE23" s="647">
        <v>0.02</v>
      </c>
      <c r="CF23" s="646"/>
      <c r="CG23" s="650">
        <v>0.04</v>
      </c>
      <c r="CH23" s="644">
        <v>0.02</v>
      </c>
      <c r="CI23" s="644">
        <v>0.02</v>
      </c>
      <c r="CJ23" s="644">
        <v>-0.01</v>
      </c>
      <c r="CL23" s="644">
        <v>0.01</v>
      </c>
      <c r="CO23" s="644">
        <f>CW23*4-CP23*3</f>
        <v>0.05</v>
      </c>
      <c r="CP23" s="644">
        <v>0.01</v>
      </c>
      <c r="CR23" s="644">
        <v>0.01</v>
      </c>
      <c r="CU23" s="644">
        <v>-0.02</v>
      </c>
      <c r="CW23" s="645">
        <v>0.02</v>
      </c>
      <c r="CY23" s="644">
        <v>-0.03</v>
      </c>
      <c r="CZ23" s="264">
        <v>-0.08</v>
      </c>
      <c r="DA23" s="644" t="e">
        <f>+(#REF!+CY23)/2</f>
        <v>#REF!</v>
      </c>
      <c r="DB23" s="644">
        <v>-0.05</v>
      </c>
      <c r="DC23" s="644">
        <v>-0.06</v>
      </c>
      <c r="DE23" s="644">
        <v>-0.05</v>
      </c>
      <c r="DI23" s="651">
        <f t="shared" si="39"/>
        <v>-0.05</v>
      </c>
      <c r="DK23" s="644">
        <v>-0.05</v>
      </c>
      <c r="DL23" s="652"/>
      <c r="DM23" s="652"/>
      <c r="DN23" s="647"/>
      <c r="DO23" s="647"/>
      <c r="DP23" s="503"/>
      <c r="DQ23" s="503"/>
      <c r="DR23" s="503">
        <v>0.01</v>
      </c>
      <c r="DS23" s="501">
        <v>-0.02</v>
      </c>
      <c r="DT23" s="652"/>
      <c r="DU23" s="647"/>
      <c r="DV23" s="649">
        <f>DW23*2-CY23</f>
        <v>7.0000000000000007E-2</v>
      </c>
      <c r="DW23" s="644">
        <v>0.02</v>
      </c>
      <c r="DX23" s="503">
        <v>0.02</v>
      </c>
      <c r="DY23" s="503">
        <v>0.02</v>
      </c>
      <c r="DZ23" s="646"/>
      <c r="EA23" s="644">
        <v>7.0000000000000007E-2</v>
      </c>
      <c r="EB23" s="644">
        <v>0.05</v>
      </c>
      <c r="EC23" s="503">
        <v>0.06</v>
      </c>
      <c r="ED23" s="652">
        <v>0.04</v>
      </c>
      <c r="EE23" s="646"/>
      <c r="EG23" s="650">
        <v>0.02</v>
      </c>
      <c r="EI23" s="651">
        <v>0</v>
      </c>
      <c r="EK23" s="644">
        <v>0.01</v>
      </c>
      <c r="EM23" s="644">
        <v>0.05</v>
      </c>
      <c r="EO23" s="644">
        <f>+(EK23*2+EM23)/3</f>
        <v>2.3333333333333334E-2</v>
      </c>
      <c r="EQ23" s="264">
        <v>0.1</v>
      </c>
      <c r="ES23" s="644">
        <v>0.08</v>
      </c>
      <c r="EU23" s="645">
        <v>0.04</v>
      </c>
      <c r="EV23" s="501"/>
      <c r="EW23" s="264"/>
      <c r="EX23" s="264">
        <v>0.03</v>
      </c>
      <c r="EY23" s="264"/>
      <c r="EZ23" s="264">
        <v>0.09</v>
      </c>
      <c r="FA23" s="651"/>
      <c r="FB23" s="264">
        <v>0.06</v>
      </c>
      <c r="FC23" s="264">
        <v>7.0000000000000007E-2</v>
      </c>
      <c r="FD23" s="264"/>
      <c r="FE23" s="264">
        <v>7.0000000000000007E-2</v>
      </c>
      <c r="FF23" s="264"/>
      <c r="FG23" s="264">
        <v>-0.01</v>
      </c>
      <c r="FH23" s="264"/>
      <c r="FI23" s="264">
        <v>0.03</v>
      </c>
      <c r="FJ23" s="264"/>
      <c r="FK23" s="645">
        <v>0.04</v>
      </c>
      <c r="FL23" s="626">
        <f>+'maruchan inc'!Y20</f>
        <v>0.04</v>
      </c>
      <c r="FM23" s="647">
        <f>+FN23*2-EX23</f>
        <v>0.03</v>
      </c>
      <c r="FN23" s="503">
        <v>0.03</v>
      </c>
      <c r="FO23" s="503">
        <f>FP23*2-FC23</f>
        <v>-3.0000000000000006E-2</v>
      </c>
      <c r="FP23" s="503">
        <v>0.02</v>
      </c>
      <c r="FQ23" s="501">
        <v>0.04</v>
      </c>
      <c r="FR23" s="501"/>
      <c r="FS23" s="342">
        <v>0.18</v>
      </c>
      <c r="FT23" s="503"/>
      <c r="FU23" s="503"/>
      <c r="FV23" s="264">
        <v>0.1</v>
      </c>
      <c r="FW23" s="503"/>
      <c r="FX23" s="503"/>
      <c r="FY23" s="264">
        <v>0.14000000000000001</v>
      </c>
      <c r="FZ23" s="264">
        <v>0.09</v>
      </c>
      <c r="GA23" s="264">
        <f>(FY23*2+FZ23)/3</f>
        <v>0.12333333333333334</v>
      </c>
      <c r="GB23" s="264">
        <v>0.12</v>
      </c>
      <c r="GC23" s="264">
        <v>0.11</v>
      </c>
      <c r="GD23" s="265">
        <v>0.11</v>
      </c>
      <c r="GE23" s="264"/>
      <c r="GF23" s="264"/>
      <c r="GG23" s="264"/>
      <c r="GH23" s="503"/>
      <c r="GI23" s="503"/>
      <c r="GJ23" s="504"/>
      <c r="GK23" s="503"/>
      <c r="GL23" s="503">
        <v>0.02</v>
      </c>
      <c r="GM23" s="503"/>
      <c r="GN23" s="503"/>
      <c r="GO23" s="503">
        <v>0.01</v>
      </c>
      <c r="GP23" s="503">
        <v>0.02</v>
      </c>
      <c r="GQ23" s="503"/>
      <c r="GR23" s="264">
        <v>-0.02</v>
      </c>
      <c r="GS23" s="264">
        <v>0</v>
      </c>
      <c r="GT23" s="644">
        <v>-0.01</v>
      </c>
      <c r="GU23" s="644">
        <v>-0.02</v>
      </c>
      <c r="GV23" s="645">
        <v>0</v>
      </c>
      <c r="GW23" s="264"/>
      <c r="GX23" s="503"/>
      <c r="GY23" s="503"/>
      <c r="GZ23" s="503"/>
      <c r="HA23" s="504"/>
      <c r="HB23" s="503"/>
      <c r="HC23" s="503"/>
      <c r="HD23" s="503">
        <v>-0.02</v>
      </c>
      <c r="HE23" s="503"/>
      <c r="HF23" s="503">
        <v>-0.05</v>
      </c>
      <c r="HG23" s="503"/>
      <c r="HH23" s="503"/>
      <c r="HI23" s="503">
        <v>-0.03</v>
      </c>
      <c r="HJ23" s="503"/>
      <c r="HK23" s="503"/>
      <c r="HL23" s="503"/>
      <c r="HM23" s="503"/>
      <c r="HN23" s="264">
        <v>0.04</v>
      </c>
      <c r="HO23" s="264">
        <v>0.04</v>
      </c>
      <c r="HP23" s="264">
        <v>-0.01</v>
      </c>
      <c r="HQ23" s="653"/>
      <c r="HR23" s="664">
        <v>-0.03</v>
      </c>
      <c r="HS23" s="664"/>
      <c r="HT23" s="264">
        <v>0.01</v>
      </c>
      <c r="HV23" s="264">
        <v>-0.01</v>
      </c>
      <c r="HW23" s="503"/>
      <c r="HX23" s="503"/>
      <c r="HY23" s="503"/>
      <c r="IA23" s="503"/>
      <c r="IB23" s="503"/>
      <c r="IC23" s="504"/>
      <c r="ID23" s="503"/>
      <c r="IE23" s="506">
        <v>0.05</v>
      </c>
      <c r="IF23" s="654">
        <v>0.14000000000000001</v>
      </c>
      <c r="IG23" s="654">
        <v>0.09</v>
      </c>
      <c r="IH23" s="503">
        <v>-0.02</v>
      </c>
      <c r="II23" s="503"/>
      <c r="IJ23" s="655">
        <v>0.05</v>
      </c>
      <c r="IK23" s="624"/>
      <c r="IL23" s="503"/>
      <c r="IM23" s="659">
        <v>0.01</v>
      </c>
      <c r="IN23" s="503">
        <f>IP23*2-IG23</f>
        <v>-9.999999999999995E-3</v>
      </c>
      <c r="IO23" s="659">
        <v>0</v>
      </c>
      <c r="IP23" s="501">
        <f>'maruchan inc'!AD20</f>
        <v>0.04</v>
      </c>
      <c r="IQ23" s="503">
        <v>0.05</v>
      </c>
      <c r="IR23" s="501">
        <v>0.04</v>
      </c>
      <c r="IS23" s="1286"/>
      <c r="IT23" s="503"/>
      <c r="IU23" s="659">
        <v>0.02</v>
      </c>
      <c r="IV23" s="503">
        <v>0.1</v>
      </c>
      <c r="IW23" s="503"/>
      <c r="IX23" s="503">
        <v>0.06</v>
      </c>
      <c r="IY23" s="503"/>
      <c r="IZ23" s="503">
        <v>0.2</v>
      </c>
      <c r="JA23" s="503">
        <v>0.11</v>
      </c>
      <c r="JB23" s="503">
        <v>0.13</v>
      </c>
      <c r="JC23" s="503">
        <v>0.17</v>
      </c>
      <c r="JD23" s="503">
        <v>0.11</v>
      </c>
      <c r="JE23" s="503"/>
      <c r="JF23" s="503"/>
      <c r="JG23" s="503"/>
      <c r="JH23" s="501">
        <f>'maruchan inc'!AF20</f>
        <v>0.11</v>
      </c>
      <c r="JI23" s="1286"/>
      <c r="JJ23" s="1286"/>
      <c r="JK23" s="659"/>
      <c r="JL23" s="1265">
        <v>0.11</v>
      </c>
      <c r="JM23" s="1265">
        <v>0.08</v>
      </c>
      <c r="JN23" s="1265">
        <v>0.06</v>
      </c>
      <c r="JO23" s="1265"/>
      <c r="JP23" s="1265">
        <v>0.1</v>
      </c>
      <c r="JQ23" s="1265"/>
      <c r="JR23" s="1265"/>
      <c r="JS23" s="1265">
        <v>0.08</v>
      </c>
      <c r="JT23" s="659"/>
      <c r="JU23" s="659">
        <v>0.05</v>
      </c>
      <c r="JV23" s="662"/>
      <c r="JW23" s="662">
        <f>+JN23/2+JU23/2</f>
        <v>5.5E-2</v>
      </c>
      <c r="JX23" s="662">
        <f>+JP23/2+JW23/2</f>
        <v>7.7499999999999999E-2</v>
      </c>
      <c r="JY23" s="662"/>
      <c r="JZ23" s="659"/>
      <c r="KA23" s="1273"/>
      <c r="KB23" s="2246"/>
      <c r="KC23" s="2246"/>
      <c r="KD23" s="2246"/>
      <c r="KE23" s="2246">
        <v>0.08</v>
      </c>
      <c r="KF23" s="2246"/>
      <c r="KG23" s="2246">
        <v>0.09</v>
      </c>
      <c r="KH23" s="2246"/>
      <c r="KI23" s="1273"/>
      <c r="KJ23" s="659"/>
      <c r="KK23" s="503"/>
      <c r="KL23" s="658">
        <v>0.12</v>
      </c>
      <c r="KM23" s="1265">
        <v>0.09</v>
      </c>
      <c r="KN23" s="659"/>
      <c r="KO23" s="659">
        <v>0.05</v>
      </c>
      <c r="KP23" s="503">
        <v>0.13</v>
      </c>
      <c r="KQ23" s="501">
        <v>0.08</v>
      </c>
      <c r="KR23" s="503">
        <v>0.11</v>
      </c>
      <c r="KS23" s="501">
        <v>0.1</v>
      </c>
      <c r="KT23" s="503">
        <v>0.04</v>
      </c>
      <c r="KU23" s="503">
        <v>7.0000000000000007E-2</v>
      </c>
      <c r="KV23" s="503">
        <v>0.04</v>
      </c>
      <c r="KW23" s="501">
        <v>0.05</v>
      </c>
      <c r="KX23" s="661">
        <f>KY23*2-HN23</f>
        <v>-0.08</v>
      </c>
      <c r="KY23" s="503">
        <v>-0.02</v>
      </c>
      <c r="KZ23" s="501">
        <v>-0.03</v>
      </c>
      <c r="LA23" s="503">
        <v>0.02</v>
      </c>
      <c r="LB23" s="503">
        <v>0.05</v>
      </c>
      <c r="LC23" s="660">
        <v>0.04</v>
      </c>
      <c r="LD23" s="501"/>
      <c r="LE23" s="666">
        <f>LF23*2-GR23</f>
        <v>0.12000000000000001</v>
      </c>
      <c r="LF23" s="503">
        <v>0.05</v>
      </c>
      <c r="LG23" s="501">
        <v>0.04</v>
      </c>
    </row>
    <row r="24" spans="1:319" s="644" customFormat="1" ht="12">
      <c r="B24" s="644" t="s">
        <v>1063</v>
      </c>
      <c r="C24" s="645" t="s">
        <v>965</v>
      </c>
      <c r="D24" s="646"/>
      <c r="G24" s="645"/>
      <c r="J24" s="645"/>
      <c r="K24" s="647"/>
      <c r="L24" s="647"/>
      <c r="M24" s="647"/>
      <c r="N24" s="647"/>
      <c r="O24" s="647"/>
      <c r="P24" s="647"/>
      <c r="Q24" s="647"/>
      <c r="R24" s="647"/>
      <c r="S24" s="648"/>
      <c r="T24" s="647"/>
      <c r="U24" s="647"/>
      <c r="V24" s="647"/>
      <c r="W24" s="647"/>
      <c r="X24" s="647"/>
      <c r="Y24" s="647"/>
      <c r="Z24" s="647"/>
      <c r="AA24" s="647"/>
      <c r="AB24" s="648"/>
      <c r="AC24" s="647">
        <v>-0.01</v>
      </c>
      <c r="AD24" s="647">
        <v>-0.04</v>
      </c>
      <c r="AE24" s="647"/>
      <c r="AF24" s="647"/>
      <c r="AG24" s="647"/>
      <c r="AH24" s="647">
        <v>-0.02</v>
      </c>
      <c r="AI24" s="647">
        <v>-0.06</v>
      </c>
      <c r="AJ24" s="647">
        <v>-0.04</v>
      </c>
      <c r="AK24" s="646"/>
      <c r="AL24" s="647">
        <v>0</v>
      </c>
      <c r="AM24" s="647">
        <v>0.06</v>
      </c>
      <c r="AN24" s="647">
        <v>0.14000000000000001</v>
      </c>
      <c r="AO24" s="647"/>
      <c r="AP24" s="647">
        <v>0.12</v>
      </c>
      <c r="AQ24" s="647">
        <v>0.03</v>
      </c>
      <c r="AR24" s="647"/>
      <c r="AS24" s="647"/>
      <c r="AT24" s="646"/>
      <c r="AU24" s="647"/>
      <c r="AV24" s="647">
        <v>0.06</v>
      </c>
      <c r="AW24" s="647">
        <v>-0.01</v>
      </c>
      <c r="AX24" s="647"/>
      <c r="AY24" s="647"/>
      <c r="AZ24" s="647"/>
      <c r="BA24" s="647"/>
      <c r="BB24" s="612">
        <f>BB19-BB21</f>
        <v>7.5421686746987959E-2</v>
      </c>
      <c r="BC24" s="625"/>
      <c r="BD24" s="647"/>
      <c r="BE24" s="647"/>
      <c r="BF24" s="646"/>
      <c r="BG24" s="647"/>
      <c r="BH24" s="647">
        <f>BI24*2-BB24</f>
        <v>-4.4123541240568553E-2</v>
      </c>
      <c r="BI24" s="647">
        <f>BI19-BI21</f>
        <v>1.5649072753209703E-2</v>
      </c>
      <c r="BJ24" s="646"/>
      <c r="BO24" s="646"/>
      <c r="BP24" s="647">
        <f>BP19-BP21</f>
        <v>-2.2429994291025539E-2</v>
      </c>
      <c r="BQ24" s="647"/>
      <c r="BR24" s="647">
        <f>BY24*2-BP24</f>
        <v>-3.0774634821305595E-2</v>
      </c>
      <c r="BS24" s="647">
        <v>-0.02</v>
      </c>
      <c r="BT24" s="647">
        <v>-0.02</v>
      </c>
      <c r="BU24" s="647">
        <v>-0.02</v>
      </c>
      <c r="BV24" s="647">
        <f>CC24*2-BT24</f>
        <v>-2.2015367488996049E-2</v>
      </c>
      <c r="BW24" s="647"/>
      <c r="BX24" s="647">
        <f t="shared" si="38"/>
        <v>-2.4401543037443713E-2</v>
      </c>
      <c r="BY24" s="612">
        <f>BY19-BY21</f>
        <v>-2.6602314556165567E-2</v>
      </c>
      <c r="BZ24" s="647"/>
      <c r="CA24" s="647"/>
      <c r="CB24" s="647"/>
      <c r="CC24" s="647">
        <f>CC19-CC21</f>
        <v>-2.1007683744498025E-2</v>
      </c>
      <c r="CD24" s="647"/>
      <c r="CE24" s="609">
        <f>CE19-CE21</f>
        <v>-1.3968042609853524E-2</v>
      </c>
      <c r="CF24" s="646"/>
      <c r="CG24" s="650">
        <v>-0.02</v>
      </c>
      <c r="CJ24" s="644">
        <v>0</v>
      </c>
      <c r="CL24" s="644">
        <v>-0.02</v>
      </c>
      <c r="CM24" s="644">
        <v>-0.01</v>
      </c>
      <c r="CO24" s="644">
        <v>0</v>
      </c>
      <c r="CP24" s="644">
        <v>-0.01</v>
      </c>
      <c r="CR24" s="667">
        <f>CR19-CR21</f>
        <v>-6.2340554554625258E-3</v>
      </c>
      <c r="CW24" s="645"/>
      <c r="CY24" s="644">
        <v>-0.02</v>
      </c>
      <c r="DA24" s="644">
        <v>-0.02</v>
      </c>
      <c r="DB24" s="644">
        <f>DB19-DB21</f>
        <v>-1.9987895086688329E-2</v>
      </c>
      <c r="DC24" s="644">
        <v>0.01</v>
      </c>
      <c r="DD24" s="644">
        <v>0</v>
      </c>
      <c r="DI24" s="651"/>
      <c r="DK24" s="644">
        <v>-0.01</v>
      </c>
      <c r="DL24" s="652"/>
      <c r="DM24" s="652"/>
      <c r="DN24" s="647"/>
      <c r="DO24" s="647"/>
      <c r="DR24" s="644">
        <f>DR19-DR21</f>
        <v>-2.5943602026448284E-5</v>
      </c>
      <c r="DS24" s="645">
        <f>DS19-DS21</f>
        <v>-9.7536172932768481E-3</v>
      </c>
      <c r="DT24" s="652"/>
      <c r="DU24" s="647"/>
      <c r="DV24" s="649">
        <f>DW24*2-CY24</f>
        <v>7.8950077200206255E-3</v>
      </c>
      <c r="DW24" s="644">
        <f>DW19-DW21</f>
        <v>-6.0524961399896875E-3</v>
      </c>
      <c r="DX24" s="644">
        <f>DX19-DX21</f>
        <v>6.3053877092352356E-2</v>
      </c>
      <c r="DY24" s="644">
        <v>-0.01</v>
      </c>
      <c r="DZ24" s="646"/>
      <c r="EC24" s="503">
        <v>-0.01</v>
      </c>
      <c r="ED24" s="652">
        <v>-0.01</v>
      </c>
      <c r="EE24" s="646"/>
      <c r="EG24" s="668">
        <v>-1.4999999999999999E-2</v>
      </c>
      <c r="EI24" s="651">
        <f>+EI19-EI21</f>
        <v>-2.208673365772177E-2</v>
      </c>
      <c r="EK24" s="651">
        <f>+EK19-EK21</f>
        <v>-1.5274752310558887E-2</v>
      </c>
      <c r="EM24" s="651">
        <f>+EM19-EM21</f>
        <v>-2.2905110984929661E-2</v>
      </c>
      <c r="EO24" s="644">
        <f>+(EK24*2+EM24)/3</f>
        <v>-1.781820520201581E-2</v>
      </c>
      <c r="EQ24" s="264">
        <f>EQ19-EQ21</f>
        <v>-2.4064888128737569E-2</v>
      </c>
      <c r="ES24" s="644">
        <f t="shared" si="40"/>
        <v>-2.8960053487303489E-2</v>
      </c>
      <c r="EU24" s="645">
        <f>+EU19-EU21</f>
        <v>-2.2117402898931188E-2</v>
      </c>
      <c r="EV24" s="645"/>
      <c r="EW24" s="264"/>
      <c r="EX24" s="264">
        <f>+EX19-EX21</f>
        <v>-2.6823048021258518E-3</v>
      </c>
      <c r="EY24" s="264"/>
      <c r="EZ24" s="264">
        <f>+EZ19-EZ21</f>
        <v>3.3420924238872218E-3</v>
      </c>
      <c r="FA24" s="651"/>
      <c r="FB24" s="264">
        <f>+FB19-FB21</f>
        <v>2.076108873762212E-3</v>
      </c>
      <c r="FC24" s="264">
        <f>+FC19-FC21</f>
        <v>-1.2496430893270391E-2</v>
      </c>
      <c r="FD24" s="264"/>
      <c r="FE24" s="264">
        <f>+FE19-FE21</f>
        <v>-4.2551561548906866E-2</v>
      </c>
      <c r="FF24" s="264"/>
      <c r="FG24" s="264">
        <f>+FG19-FG21</f>
        <v>4.3246948926757151E-3</v>
      </c>
      <c r="FH24" s="264"/>
      <c r="FI24" s="264">
        <f>+FI19-FI21</f>
        <v>-9.1180036162125389E-3</v>
      </c>
      <c r="FJ24" s="264"/>
      <c r="FK24" s="265">
        <f>+FK19-FK21</f>
        <v>-3.1543780379270081E-3</v>
      </c>
      <c r="FL24" s="652"/>
      <c r="FM24" s="647"/>
      <c r="FO24" s="503">
        <f>FP24*2-FC24</f>
        <v>2.1304367607440269E-2</v>
      </c>
      <c r="FP24" s="264">
        <f>+FP19-FP21</f>
        <v>4.4039683570849392E-3</v>
      </c>
      <c r="FQ24" s="264">
        <f>+FQ19-FQ21</f>
        <v>-1.5877319093586459E-3</v>
      </c>
      <c r="FR24" s="645"/>
      <c r="FS24" s="342">
        <f>+FS19-FS21</f>
        <v>7.9289925979532105E-3</v>
      </c>
      <c r="FV24" s="264">
        <f>+FV19-FV21</f>
        <v>5.2289447923241361E-4</v>
      </c>
      <c r="FY24" s="264">
        <f t="shared" ref="FY24:GD24" si="41">+FY19-FY21</f>
        <v>6.1554988870091143E-4</v>
      </c>
      <c r="FZ24" s="264">
        <f t="shared" si="41"/>
        <v>2.9110105069672987E-2</v>
      </c>
      <c r="GA24" s="264">
        <f t="shared" si="41"/>
        <v>1.0239988508212214E-2</v>
      </c>
      <c r="GB24" s="264">
        <f t="shared" si="41"/>
        <v>3.6960805495200255E-2</v>
      </c>
      <c r="GC24" s="264">
        <f t="shared" si="41"/>
        <v>3.3114305668235089E-2</v>
      </c>
      <c r="GD24" s="265">
        <f t="shared" si="41"/>
        <v>2.7134925623297612E-2</v>
      </c>
      <c r="GE24" s="264"/>
      <c r="GF24" s="264"/>
      <c r="GG24" s="264"/>
      <c r="GI24" s="669"/>
      <c r="GJ24" s="670"/>
      <c r="GL24" s="264">
        <f>GL19-GL21</f>
        <v>2.7518905385948846E-2</v>
      </c>
      <c r="GO24" s="644">
        <f>+GO19-GO21</f>
        <v>3.2333014761564194E-2</v>
      </c>
      <c r="GP24" s="644">
        <f>+GP19-GP21</f>
        <v>3.0457149619623355E-2</v>
      </c>
      <c r="GR24" s="264">
        <f>+GR19-GR21</f>
        <v>2.9312056540908016E-2</v>
      </c>
      <c r="GS24" s="264">
        <f>+GS19-GS21</f>
        <v>2.3556005214498132E-2</v>
      </c>
      <c r="GT24" s="264">
        <f>+GT19-GT21</f>
        <v>3.3391625723668869E-2</v>
      </c>
      <c r="GU24" s="264">
        <f>+GU19-GU21</f>
        <v>2.628184841463127E-2</v>
      </c>
      <c r="GV24" s="265">
        <f>+GV19-GV21</f>
        <v>2.3511882067033751E-2</v>
      </c>
      <c r="GW24" s="264"/>
      <c r="HA24" s="646"/>
      <c r="HB24" s="644">
        <v>0.05</v>
      </c>
      <c r="HD24" s="644">
        <f>HD19-HD21</f>
        <v>8.8866187266870886E-2</v>
      </c>
      <c r="HF24" s="644">
        <f>+HF19-HF21</f>
        <v>7.4367204963814354E-2</v>
      </c>
      <c r="HI24" s="644">
        <f>+HI19-HI21</f>
        <v>7.5795664215600592E-2</v>
      </c>
      <c r="HJ24" s="644">
        <v>0.05</v>
      </c>
      <c r="HN24" s="264">
        <f>+HN19-HN21</f>
        <v>7.0748877260781121E-2</v>
      </c>
      <c r="HO24" s="264">
        <f>+HO19-HO21</f>
        <v>-0.59011919514799349</v>
      </c>
      <c r="HP24" s="264">
        <f>+HP19-HP21</f>
        <v>7.2911021603808232E-2</v>
      </c>
      <c r="HQ24" s="264"/>
      <c r="HR24" s="264">
        <f>+HR19-HR21</f>
        <v>6.07253781915508E-2</v>
      </c>
      <c r="HS24" s="264"/>
      <c r="HT24" s="264">
        <f>+HT19-HT21</f>
        <v>6.5213859376112404E-2</v>
      </c>
      <c r="HU24" s="264"/>
      <c r="HV24" s="264">
        <f>+HV19-HV21</f>
        <v>6.8169070684978655E-2</v>
      </c>
      <c r="HW24" s="644">
        <v>0.05</v>
      </c>
      <c r="HZ24" s="264"/>
      <c r="IC24" s="646"/>
      <c r="ID24" s="644">
        <v>0.02</v>
      </c>
      <c r="IE24" s="650">
        <f>IE19-IE21</f>
        <v>3.3395550899339287E-2</v>
      </c>
      <c r="IF24" s="644">
        <f>IF19-IF21</f>
        <v>4.6263864705095553E-2</v>
      </c>
      <c r="IG24" s="644">
        <f>IG19-IG21</f>
        <v>4.1657612355767051E-2</v>
      </c>
      <c r="IH24" s="644">
        <f>+IH19-IH21</f>
        <v>0.12775092175337988</v>
      </c>
      <c r="IJ24" s="644">
        <f>+IJ19-IJ21</f>
        <v>6.7406057845593295E-2</v>
      </c>
      <c r="IK24" s="671"/>
      <c r="IM24" s="288">
        <f>+IM19-IM21</f>
        <v>0.12101366485745892</v>
      </c>
      <c r="IN24" s="288"/>
      <c r="IO24" s="288">
        <f>+IO19-IO21</f>
        <v>0.12524313268053455</v>
      </c>
      <c r="IP24" s="501">
        <f>'maruchan inc'!AD8</f>
        <v>7.8756382978723463E-2</v>
      </c>
      <c r="IQ24" s="644">
        <v>8.3999999999999991E-2</v>
      </c>
      <c r="IR24" s="672">
        <f>+IR19-IR21</f>
        <v>7.8756382978723463E-2</v>
      </c>
      <c r="IS24" s="1287"/>
      <c r="IT24" s="673">
        <v>0.18</v>
      </c>
      <c r="IU24" s="674">
        <f>IU19-IU21</f>
        <v>0.27389774593435601</v>
      </c>
      <c r="IV24" s="674">
        <f>+IX24*2-IU24</f>
        <v>0.25988301469204222</v>
      </c>
      <c r="IW24" s="673">
        <v>0.22</v>
      </c>
      <c r="IX24" s="674">
        <f>IX19-IX21</f>
        <v>0.26689038031319912</v>
      </c>
      <c r="IY24" s="656">
        <v>0.24694887296717799</v>
      </c>
      <c r="IZ24" s="675">
        <f>IZ19-IZ21</f>
        <v>0.31938775510204087</v>
      </c>
      <c r="JA24" s="675">
        <f>JA19-JA21</f>
        <v>0.2831791907514451</v>
      </c>
      <c r="JB24" s="675">
        <f>JB19-JB21</f>
        <v>0.34452282157676339</v>
      </c>
      <c r="JC24" s="675">
        <f>JC19-JC21</f>
        <v>0.33176954732510289</v>
      </c>
      <c r="JD24" s="675">
        <f>JD19-JD21</f>
        <v>0.30193997856377275</v>
      </c>
      <c r="JE24" s="656"/>
      <c r="JF24" s="656"/>
      <c r="JG24" s="674">
        <f>JH24*2-IX24</f>
        <v>0.33698957681434638</v>
      </c>
      <c r="JH24" s="501">
        <f>'maruchan inc'!AF8</f>
        <v>0.30193997856377275</v>
      </c>
      <c r="JI24" s="1287"/>
      <c r="JJ24" s="1662">
        <v>0.15</v>
      </c>
      <c r="JK24" s="1663">
        <v>0.1</v>
      </c>
      <c r="JL24" s="1663">
        <f>+JL19-JL21</f>
        <v>0.12406923076923056</v>
      </c>
      <c r="JM24" s="1663">
        <f>+JM19-JM21</f>
        <v>0.16612481569478305</v>
      </c>
      <c r="JN24" s="1663">
        <f>+JN19-JN21</f>
        <v>5.4325209366452923E-3</v>
      </c>
      <c r="JO24" s="1663"/>
      <c r="JP24" s="1663">
        <f>+JP19-JP21</f>
        <v>0.15039279869067101</v>
      </c>
      <c r="JQ24" s="1663"/>
      <c r="JR24" s="1663"/>
      <c r="JS24" s="1663">
        <f>+JS19-JS21</f>
        <v>9.7771068524399998E-2</v>
      </c>
      <c r="JT24" s="1663">
        <v>-0.01</v>
      </c>
      <c r="JU24" s="1663">
        <v>-5.0000000000000001E-3</v>
      </c>
      <c r="JV24" s="1664">
        <f>+JL24/2+JK24/2</f>
        <v>0.11203461538461529</v>
      </c>
      <c r="JW24" s="1664">
        <f>+JU24/2+JN24/2</f>
        <v>2.1626046832264609E-4</v>
      </c>
      <c r="JX24" s="1664">
        <f>+JP24/2+JW24/2</f>
        <v>7.5304529579496834E-2</v>
      </c>
      <c r="JY24" s="1664"/>
      <c r="JZ24" s="61"/>
      <c r="KA24" s="1122"/>
      <c r="KB24" s="2244"/>
      <c r="KC24" s="2244">
        <f>+KC19-KC21</f>
        <v>0.1311292962356792</v>
      </c>
      <c r="KD24" s="2244">
        <f>+KD19-KD21</f>
        <v>-1.1724137931034384E-2</v>
      </c>
      <c r="KE24" s="2244">
        <f>+KE19-KE21</f>
        <v>-8.9655172413793116E-3</v>
      </c>
      <c r="KF24" s="2244"/>
      <c r="KG24" s="2244">
        <f>+KG19-KG21</f>
        <v>6.2754491017964098E-2</v>
      </c>
      <c r="KH24" s="2244">
        <v>0.05</v>
      </c>
      <c r="KI24" s="1122"/>
      <c r="KJ24" s="61"/>
      <c r="KK24" s="503"/>
      <c r="KL24" s="676">
        <f>KL19-KL21</f>
        <v>0.26242798353909469</v>
      </c>
      <c r="KM24" s="676">
        <f>KM19-KM21</f>
        <v>0.259774919614148</v>
      </c>
      <c r="KN24" s="61"/>
      <c r="KO24" s="676">
        <v>0.2039821029082774</v>
      </c>
      <c r="KP24" s="618">
        <v>0.23744855967078191</v>
      </c>
      <c r="KQ24" s="677">
        <v>0.22225080385852097</v>
      </c>
      <c r="KR24" s="618">
        <v>0.13539660585097091</v>
      </c>
      <c r="KS24" s="620">
        <v>8.9415957446808594E-2</v>
      </c>
      <c r="KT24" s="661">
        <f>+KT19-KT21</f>
        <v>-9.2540795034391776E-4</v>
      </c>
      <c r="KU24" s="661">
        <f>+KU19-KU21</f>
        <v>-1.4020206185565015E-3</v>
      </c>
      <c r="KV24" s="661" t="e">
        <f>+KV19-KV21</f>
        <v>#REF!</v>
      </c>
      <c r="KW24" s="265">
        <f>+KW19-KW21</f>
        <v>1.7578723404255328E-2</v>
      </c>
      <c r="KX24" s="618">
        <f>KY24*2-HN24</f>
        <v>1.9348485426320575E-2</v>
      </c>
      <c r="KY24" s="618">
        <f>KZ24*2-HI24</f>
        <v>4.5048681343550848E-2</v>
      </c>
      <c r="KZ24" s="265">
        <f>+KZ19-KZ21</f>
        <v>6.042217277957572E-2</v>
      </c>
      <c r="LA24" s="618">
        <f>+LA19-LA21</f>
        <v>3.5801481127568036E-2</v>
      </c>
      <c r="LB24" s="618">
        <f>LC24*2-LA24</f>
        <v>2.6358713047189189E-2</v>
      </c>
      <c r="LC24" s="265">
        <f>+LC19-LC21</f>
        <v>3.1080097087378612E-2</v>
      </c>
      <c r="LD24" s="265">
        <f>+LD19-LD21</f>
        <v>-1</v>
      </c>
      <c r="LE24" s="666">
        <f>LF24*2-GR24</f>
        <v>-1.0854623032440447E-2</v>
      </c>
      <c r="LF24" s="618">
        <f>LG24*2-GP24</f>
        <v>9.2287167542337845E-3</v>
      </c>
      <c r="LG24" s="265">
        <f>+LG19-LG21</f>
        <v>1.984293318692857E-2</v>
      </c>
    </row>
    <row r="25" spans="1:319" s="678" customFormat="1" hidden="1" outlineLevel="1">
      <c r="B25" s="678" t="s">
        <v>1037</v>
      </c>
      <c r="C25" s="679" t="s">
        <v>964</v>
      </c>
      <c r="D25" s="680"/>
      <c r="G25" s="679"/>
      <c r="J25" s="679"/>
      <c r="K25" s="681"/>
      <c r="L25" s="681"/>
      <c r="M25" s="681"/>
      <c r="N25" s="681"/>
      <c r="O25" s="681"/>
      <c r="P25" s="681"/>
      <c r="Q25" s="681"/>
      <c r="R25" s="681"/>
      <c r="S25" s="682"/>
      <c r="T25" s="681"/>
      <c r="U25" s="681"/>
      <c r="V25" s="681"/>
      <c r="W25" s="681"/>
      <c r="X25" s="681"/>
      <c r="Y25" s="681"/>
      <c r="Z25" s="681"/>
      <c r="AA25" s="681"/>
      <c r="AB25" s="682"/>
      <c r="AC25" s="681"/>
      <c r="AD25" s="681"/>
      <c r="AE25" s="681"/>
      <c r="AF25" s="681"/>
      <c r="AG25" s="681"/>
      <c r="AH25" s="681"/>
      <c r="AI25" s="681"/>
      <c r="AJ25" s="681"/>
      <c r="AK25" s="680"/>
      <c r="AL25" s="681"/>
      <c r="AM25" s="681"/>
      <c r="AN25" s="681"/>
      <c r="AO25" s="681"/>
      <c r="AP25" s="681"/>
      <c r="AQ25" s="681"/>
      <c r="AR25" s="681"/>
      <c r="AS25" s="681"/>
      <c r="AT25" s="680"/>
      <c r="AU25" s="681"/>
      <c r="AV25" s="681"/>
      <c r="AW25" s="647"/>
      <c r="AX25" s="647"/>
      <c r="AY25" s="647"/>
      <c r="AZ25" s="647"/>
      <c r="BA25" s="647"/>
      <c r="BB25" s="487">
        <f>BB13-BB21</f>
        <v>7.0000000000000007E-2</v>
      </c>
      <c r="BC25" s="683"/>
      <c r="BD25" s="684"/>
      <c r="BE25" s="685"/>
      <c r="BF25" s="680"/>
      <c r="BG25" s="647"/>
      <c r="BH25" s="681">
        <f>BH13-BH21</f>
        <v>-0.03</v>
      </c>
      <c r="BI25" s="681">
        <f>BI13-BI21</f>
        <v>2.0000000000000004E-2</v>
      </c>
      <c r="BJ25" s="680"/>
      <c r="BO25" s="680"/>
      <c r="BP25" s="647"/>
      <c r="BQ25" s="647"/>
      <c r="BR25" s="647"/>
      <c r="BS25" s="684"/>
      <c r="BT25" s="647">
        <v>-0.03</v>
      </c>
      <c r="BU25" s="647">
        <v>-0.02</v>
      </c>
      <c r="BV25" s="647"/>
      <c r="BW25" s="684"/>
      <c r="BX25" s="647">
        <f t="shared" si="38"/>
        <v>-0.01</v>
      </c>
      <c r="BY25" s="612"/>
      <c r="BZ25" s="684"/>
      <c r="CA25" s="684"/>
      <c r="CB25" s="681"/>
      <c r="CC25" s="681"/>
      <c r="CD25" s="681"/>
      <c r="CE25" s="681"/>
      <c r="CF25" s="680"/>
      <c r="CG25" s="650">
        <v>-0.04</v>
      </c>
      <c r="CJ25" s="644"/>
      <c r="CK25" s="644"/>
      <c r="CP25" s="644"/>
      <c r="CW25" s="679"/>
      <c r="CX25" s="644"/>
      <c r="CY25" s="644"/>
      <c r="CZ25" s="644"/>
      <c r="DA25" s="644"/>
      <c r="DB25" s="644"/>
      <c r="DC25" s="644"/>
      <c r="DD25" s="644"/>
      <c r="DE25" s="644"/>
      <c r="DF25" s="644"/>
      <c r="DG25" s="644"/>
      <c r="DH25" s="644"/>
      <c r="DI25" s="644"/>
      <c r="DJ25" s="644"/>
      <c r="DK25" s="644"/>
      <c r="DL25" s="652"/>
      <c r="DM25" s="652"/>
      <c r="DN25" s="647"/>
      <c r="DO25" s="647"/>
      <c r="DP25" s="686"/>
      <c r="DQ25" s="686"/>
      <c r="DR25" s="686"/>
      <c r="DS25" s="687"/>
      <c r="DT25" s="652"/>
      <c r="DU25" s="647"/>
      <c r="DV25" s="647"/>
      <c r="DW25" s="644"/>
      <c r="DX25" s="686"/>
      <c r="DY25" s="686"/>
      <c r="DZ25" s="646"/>
      <c r="EC25" s="686"/>
      <c r="ED25" s="652"/>
      <c r="EE25" s="680"/>
      <c r="EG25" s="688"/>
      <c r="EQ25" s="689"/>
      <c r="EU25" s="679"/>
      <c r="EV25" s="687"/>
      <c r="EW25" s="689"/>
      <c r="EX25" s="689"/>
      <c r="EY25" s="689"/>
      <c r="EZ25" s="689"/>
      <c r="FA25" s="689"/>
      <c r="FB25" s="689"/>
      <c r="FC25" s="690"/>
      <c r="FD25" s="691"/>
      <c r="FE25" s="689"/>
      <c r="FF25" s="689"/>
      <c r="FG25" s="689"/>
      <c r="FH25" s="689"/>
      <c r="FI25" s="689"/>
      <c r="FJ25" s="689"/>
      <c r="FK25" s="679"/>
      <c r="FL25" s="652"/>
      <c r="FM25" s="647"/>
      <c r="FN25" s="686"/>
      <c r="FO25" s="686"/>
      <c r="FP25" s="686"/>
      <c r="FQ25" s="687"/>
      <c r="FR25" s="687"/>
      <c r="FS25" s="689"/>
      <c r="FT25" s="686"/>
      <c r="FU25" s="686"/>
      <c r="FV25" s="689"/>
      <c r="FW25" s="686"/>
      <c r="FX25" s="686"/>
      <c r="FY25" s="689"/>
      <c r="FZ25" s="690"/>
      <c r="GA25" s="689"/>
      <c r="GB25" s="689"/>
      <c r="GC25" s="690"/>
      <c r="GD25" s="692"/>
      <c r="GE25" s="689"/>
      <c r="GF25" s="689"/>
      <c r="GG25" s="689"/>
      <c r="GH25" s="686"/>
      <c r="GI25" s="686"/>
      <c r="GJ25" s="693"/>
      <c r="GK25" s="686"/>
      <c r="GL25" s="686"/>
      <c r="GM25" s="686"/>
      <c r="GN25" s="686"/>
      <c r="GO25" s="686"/>
      <c r="GP25" s="686"/>
      <c r="GQ25" s="686"/>
      <c r="GR25" s="690"/>
      <c r="GS25" s="689"/>
      <c r="GT25" s="689"/>
      <c r="GU25" s="690"/>
      <c r="GV25" s="694"/>
      <c r="GW25" s="689"/>
      <c r="GX25" s="686"/>
      <c r="GY25" s="686"/>
      <c r="GZ25" s="686"/>
      <c r="HA25" s="693"/>
      <c r="HB25" s="686"/>
      <c r="HC25" s="686"/>
      <c r="HD25" s="686"/>
      <c r="HE25" s="686"/>
      <c r="HF25" s="686"/>
      <c r="HG25" s="686"/>
      <c r="HH25" s="686"/>
      <c r="HI25" s="686"/>
      <c r="HJ25" s="686"/>
      <c r="HK25" s="686"/>
      <c r="HL25" s="686"/>
      <c r="HM25" s="686"/>
      <c r="HN25" s="690"/>
      <c r="HO25" s="690"/>
      <c r="HP25" s="689"/>
      <c r="HQ25" s="689"/>
      <c r="HR25" s="689"/>
      <c r="HS25" s="689"/>
      <c r="HT25" s="690"/>
      <c r="HU25" s="690"/>
      <c r="HV25" s="690"/>
      <c r="HW25" s="686"/>
      <c r="HX25" s="686"/>
      <c r="HY25" s="686"/>
      <c r="HZ25" s="690"/>
      <c r="IA25" s="686"/>
      <c r="IB25" s="686"/>
      <c r="IC25" s="693"/>
      <c r="ID25" s="686"/>
      <c r="IE25" s="695"/>
      <c r="IF25" s="686"/>
      <c r="IG25" s="686"/>
      <c r="IH25" s="686"/>
      <c r="II25" s="686"/>
      <c r="IJ25" s="686"/>
      <c r="IK25" s="686"/>
      <c r="IL25" s="686"/>
      <c r="IM25" s="686"/>
      <c r="IN25" s="686"/>
      <c r="IO25" s="686"/>
      <c r="IP25" s="687"/>
      <c r="IQ25" s="686"/>
      <c r="IR25" s="687"/>
      <c r="IS25" s="695"/>
      <c r="IT25" s="686"/>
      <c r="IU25" s="686"/>
      <c r="IV25" s="686"/>
      <c r="IW25" s="686"/>
      <c r="IX25" s="686"/>
      <c r="IY25" s="686"/>
      <c r="IZ25" s="686"/>
      <c r="JA25" s="686"/>
      <c r="JB25" s="686"/>
      <c r="JC25" s="686"/>
      <c r="JD25" s="686"/>
      <c r="JE25" s="686"/>
      <c r="JF25" s="686"/>
      <c r="JG25" s="686"/>
      <c r="JH25" s="687"/>
      <c r="JI25" s="695"/>
      <c r="JJ25" s="695"/>
      <c r="JK25" s="686"/>
      <c r="JL25" s="686"/>
      <c r="JM25" s="686"/>
      <c r="JN25" s="686"/>
      <c r="JO25" s="686"/>
      <c r="JP25" s="686"/>
      <c r="JQ25" s="686"/>
      <c r="JR25" s="686"/>
      <c r="JS25" s="686"/>
      <c r="JT25" s="686"/>
      <c r="JU25" s="686"/>
      <c r="JV25" s="686"/>
      <c r="JW25" s="686"/>
      <c r="JX25" s="686"/>
      <c r="JY25" s="686"/>
      <c r="JZ25" s="686"/>
      <c r="KA25" s="687"/>
      <c r="KB25" s="686"/>
      <c r="KC25" s="686"/>
      <c r="KD25" s="686"/>
      <c r="KE25" s="686"/>
      <c r="KF25" s="686"/>
      <c r="KG25" s="686"/>
      <c r="KH25" s="686"/>
      <c r="KI25" s="687"/>
      <c r="KJ25" s="686"/>
      <c r="KK25" s="686"/>
      <c r="KL25" s="686"/>
      <c r="KM25" s="686"/>
      <c r="KN25" s="686"/>
      <c r="KO25" s="686"/>
      <c r="KP25" s="686"/>
      <c r="KQ25" s="687"/>
      <c r="KR25" s="686"/>
      <c r="KS25" s="687"/>
      <c r="KT25" s="686"/>
      <c r="KU25" s="686"/>
      <c r="KV25" s="686"/>
      <c r="KW25" s="687"/>
      <c r="KX25" s="686"/>
      <c r="KY25" s="686"/>
      <c r="KZ25" s="687"/>
      <c r="LA25" s="686"/>
      <c r="LB25" s="686"/>
      <c r="LC25" s="687"/>
      <c r="LD25" s="687"/>
      <c r="LE25" s="686"/>
      <c r="LF25" s="686"/>
      <c r="LG25" s="687"/>
    </row>
    <row r="26" spans="1:319" s="678" customFormat="1" hidden="1" outlineLevel="1">
      <c r="B26" s="678" t="s">
        <v>1038</v>
      </c>
      <c r="C26" s="679" t="s">
        <v>963</v>
      </c>
      <c r="D26" s="680"/>
      <c r="G26" s="679"/>
      <c r="J26" s="679"/>
      <c r="K26" s="681"/>
      <c r="L26" s="681"/>
      <c r="M26" s="681"/>
      <c r="N26" s="681"/>
      <c r="O26" s="681"/>
      <c r="P26" s="681"/>
      <c r="Q26" s="681"/>
      <c r="R26" s="681"/>
      <c r="S26" s="682"/>
      <c r="T26" s="681"/>
      <c r="U26" s="681"/>
      <c r="V26" s="681"/>
      <c r="W26" s="681"/>
      <c r="X26" s="681"/>
      <c r="Y26" s="681"/>
      <c r="Z26" s="681"/>
      <c r="AA26" s="681"/>
      <c r="AB26" s="682"/>
      <c r="AC26" s="681"/>
      <c r="AD26" s="681"/>
      <c r="AE26" s="681"/>
      <c r="AF26" s="681"/>
      <c r="AG26" s="681"/>
      <c r="AH26" s="681"/>
      <c r="AI26" s="681"/>
      <c r="AJ26" s="681"/>
      <c r="AK26" s="680"/>
      <c r="AL26" s="681"/>
      <c r="AM26" s="647"/>
      <c r="AN26" s="647"/>
      <c r="AO26" s="647"/>
      <c r="AP26" s="647"/>
      <c r="AQ26" s="647"/>
      <c r="AR26" s="647"/>
      <c r="AS26" s="647"/>
      <c r="AT26" s="646"/>
      <c r="AU26" s="647"/>
      <c r="AV26" s="647"/>
      <c r="AW26" s="647"/>
      <c r="AX26" s="647"/>
      <c r="AY26" s="647"/>
      <c r="AZ26" s="647"/>
      <c r="BA26" s="647"/>
      <c r="BB26" s="487">
        <f>BB14-BB22</f>
        <v>0.12</v>
      </c>
      <c r="BC26" s="683"/>
      <c r="BD26" s="684"/>
      <c r="BE26" s="685"/>
      <c r="BF26" s="680"/>
      <c r="BG26" s="647"/>
      <c r="BH26" s="681">
        <f>BH14-BH22</f>
        <v>-5.9999999999999991E-2</v>
      </c>
      <c r="BI26" s="681">
        <f>BI14-BI22</f>
        <v>3.0000000000000002E-2</v>
      </c>
      <c r="BJ26" s="680"/>
      <c r="BO26" s="680"/>
      <c r="BP26" s="647"/>
      <c r="BQ26" s="647"/>
      <c r="BR26" s="647"/>
      <c r="BS26" s="684"/>
      <c r="BT26" s="647">
        <v>0</v>
      </c>
      <c r="BU26" s="647"/>
      <c r="BV26" s="647"/>
      <c r="BW26" s="684"/>
      <c r="BX26" s="647">
        <f t="shared" si="38"/>
        <v>0</v>
      </c>
      <c r="BY26" s="612"/>
      <c r="BZ26" s="684"/>
      <c r="CA26" s="684"/>
      <c r="CB26" s="681"/>
      <c r="CC26" s="681"/>
      <c r="CD26" s="681"/>
      <c r="CE26" s="681"/>
      <c r="CF26" s="680"/>
      <c r="CG26" s="650">
        <v>0.04</v>
      </c>
      <c r="CJ26" s="644"/>
      <c r="CK26" s="644"/>
      <c r="CP26" s="644"/>
      <c r="CW26" s="679"/>
      <c r="CX26" s="644"/>
      <c r="CY26" s="644"/>
      <c r="CZ26" s="644"/>
      <c r="DA26" s="644"/>
      <c r="DB26" s="644"/>
      <c r="DC26" s="644"/>
      <c r="DD26" s="644"/>
      <c r="DE26" s="644"/>
      <c r="DF26" s="644"/>
      <c r="DG26" s="644"/>
      <c r="DH26" s="644"/>
      <c r="DI26" s="644"/>
      <c r="DJ26" s="644"/>
      <c r="DK26" s="644"/>
      <c r="DL26" s="652"/>
      <c r="DM26" s="652"/>
      <c r="DN26" s="647"/>
      <c r="DO26" s="647"/>
      <c r="DP26" s="686"/>
      <c r="DQ26" s="686"/>
      <c r="DR26" s="686"/>
      <c r="DS26" s="687"/>
      <c r="DT26" s="652"/>
      <c r="DU26" s="647"/>
      <c r="DV26" s="647"/>
      <c r="DX26" s="686"/>
      <c r="DY26" s="686"/>
      <c r="DZ26" s="646"/>
      <c r="EC26" s="686"/>
      <c r="ED26" s="652"/>
      <c r="EE26" s="680"/>
      <c r="EG26" s="688"/>
      <c r="EQ26" s="689"/>
      <c r="EU26" s="679"/>
      <c r="EV26" s="687"/>
      <c r="EW26" s="689"/>
      <c r="EX26" s="689"/>
      <c r="EY26" s="689"/>
      <c r="EZ26" s="689"/>
      <c r="FA26" s="689"/>
      <c r="FB26" s="689"/>
      <c r="FC26" s="689"/>
      <c r="FD26" s="689"/>
      <c r="FE26" s="689"/>
      <c r="FF26" s="689"/>
      <c r="FG26" s="689"/>
      <c r="FH26" s="689"/>
      <c r="FI26" s="689"/>
      <c r="FJ26" s="689"/>
      <c r="FK26" s="679"/>
      <c r="FL26" s="652"/>
      <c r="FM26" s="647"/>
      <c r="FN26" s="686"/>
      <c r="FO26" s="686"/>
      <c r="FP26" s="686"/>
      <c r="FQ26" s="687"/>
      <c r="FR26" s="687"/>
      <c r="FS26" s="689"/>
      <c r="FT26" s="686"/>
      <c r="FU26" s="686"/>
      <c r="FV26" s="689"/>
      <c r="FW26" s="686"/>
      <c r="FX26" s="686"/>
      <c r="FY26" s="689"/>
      <c r="FZ26" s="689"/>
      <c r="GA26" s="689"/>
      <c r="GB26" s="689"/>
      <c r="GC26" s="689"/>
      <c r="GD26" s="692"/>
      <c r="GE26" s="689"/>
      <c r="GF26" s="689"/>
      <c r="GG26" s="689"/>
      <c r="GH26" s="686"/>
      <c r="GI26" s="686"/>
      <c r="GJ26" s="693"/>
      <c r="GK26" s="686"/>
      <c r="GL26" s="686"/>
      <c r="GM26" s="686"/>
      <c r="GN26" s="686"/>
      <c r="GO26" s="686"/>
      <c r="GP26" s="686"/>
      <c r="GQ26" s="686"/>
      <c r="GR26" s="689"/>
      <c r="GS26" s="689"/>
      <c r="GT26" s="689"/>
      <c r="GU26" s="689"/>
      <c r="GV26" s="692"/>
      <c r="GW26" s="689"/>
      <c r="GX26" s="686"/>
      <c r="GY26" s="686"/>
      <c r="GZ26" s="686"/>
      <c r="HA26" s="693"/>
      <c r="HB26" s="686"/>
      <c r="HC26" s="686"/>
      <c r="HD26" s="686"/>
      <c r="HE26" s="686"/>
      <c r="HF26" s="686"/>
      <c r="HG26" s="686"/>
      <c r="HH26" s="686"/>
      <c r="HI26" s="686"/>
      <c r="HJ26" s="686"/>
      <c r="HK26" s="686"/>
      <c r="HL26" s="686"/>
      <c r="HM26" s="686"/>
      <c r="HN26" s="689"/>
      <c r="HO26" s="689"/>
      <c r="HP26" s="689"/>
      <c r="HQ26" s="689"/>
      <c r="HR26" s="689"/>
      <c r="HS26" s="689"/>
      <c r="HT26" s="689"/>
      <c r="HU26" s="689"/>
      <c r="HV26" s="689"/>
      <c r="HW26" s="686"/>
      <c r="HX26" s="686"/>
      <c r="HY26" s="686"/>
      <c r="HZ26" s="689"/>
      <c r="IA26" s="686"/>
      <c r="IB26" s="686"/>
      <c r="IC26" s="693"/>
      <c r="ID26" s="686"/>
      <c r="IE26" s="695"/>
      <c r="IF26" s="686"/>
      <c r="IG26" s="686"/>
      <c r="IH26" s="686"/>
      <c r="II26" s="686"/>
      <c r="IJ26" s="686"/>
      <c r="IK26" s="686"/>
      <c r="IL26" s="686"/>
      <c r="IM26" s="686"/>
      <c r="IN26" s="686"/>
      <c r="IO26" s="686"/>
      <c r="IP26" s="687"/>
      <c r="IQ26" s="686"/>
      <c r="IR26" s="687"/>
      <c r="IS26" s="695"/>
      <c r="IT26" s="686"/>
      <c r="IU26" s="686"/>
      <c r="IV26" s="686"/>
      <c r="IW26" s="686"/>
      <c r="IX26" s="686"/>
      <c r="IY26" s="686"/>
      <c r="IZ26" s="686"/>
      <c r="JA26" s="686"/>
      <c r="JB26" s="686"/>
      <c r="JC26" s="686"/>
      <c r="JD26" s="686"/>
      <c r="JE26" s="686"/>
      <c r="JF26" s="686"/>
      <c r="JG26" s="686"/>
      <c r="JH26" s="687"/>
      <c r="JI26" s="695"/>
      <c r="JJ26" s="695"/>
      <c r="JK26" s="686"/>
      <c r="JL26" s="686"/>
      <c r="JM26" s="686"/>
      <c r="JN26" s="686"/>
      <c r="JO26" s="686"/>
      <c r="JP26" s="686"/>
      <c r="JQ26" s="686"/>
      <c r="JR26" s="686"/>
      <c r="JS26" s="686"/>
      <c r="JT26" s="686"/>
      <c r="JU26" s="686"/>
      <c r="JV26" s="686"/>
      <c r="JW26" s="686"/>
      <c r="JX26" s="686"/>
      <c r="JY26" s="686"/>
      <c r="JZ26" s="686"/>
      <c r="KA26" s="687"/>
      <c r="KB26" s="686"/>
      <c r="KC26" s="686"/>
      <c r="KD26" s="686"/>
      <c r="KE26" s="686"/>
      <c r="KF26" s="686"/>
      <c r="KG26" s="686"/>
      <c r="KH26" s="686"/>
      <c r="KI26" s="687"/>
      <c r="KJ26" s="686"/>
      <c r="KK26" s="686"/>
      <c r="KL26" s="686"/>
      <c r="KM26" s="686"/>
      <c r="KN26" s="686"/>
      <c r="KO26" s="686"/>
      <c r="KP26" s="686"/>
      <c r="KQ26" s="687"/>
      <c r="KR26" s="686"/>
      <c r="KS26" s="687"/>
      <c r="KT26" s="686"/>
      <c r="KU26" s="686"/>
      <c r="KV26" s="686"/>
      <c r="KW26" s="687"/>
      <c r="KX26" s="686"/>
      <c r="KY26" s="686"/>
      <c r="KZ26" s="687"/>
      <c r="LA26" s="686"/>
      <c r="LB26" s="686"/>
      <c r="LC26" s="687"/>
      <c r="LD26" s="687"/>
      <c r="LE26" s="686"/>
      <c r="LF26" s="686"/>
      <c r="LG26" s="687"/>
    </row>
    <row r="27" spans="1:319" s="532" customFormat="1" collapsed="1">
      <c r="A27" s="520"/>
      <c r="B27" s="521" t="s">
        <v>638</v>
      </c>
      <c r="C27" s="522" t="s">
        <v>431</v>
      </c>
      <c r="D27" s="523"/>
      <c r="E27" s="520"/>
      <c r="F27" s="520"/>
      <c r="G27" s="522"/>
      <c r="H27" s="520"/>
      <c r="I27" s="520"/>
      <c r="J27" s="522"/>
      <c r="K27" s="524"/>
      <c r="L27" s="524"/>
      <c r="M27" s="524"/>
      <c r="N27" s="524"/>
      <c r="O27" s="524"/>
      <c r="P27" s="524"/>
      <c r="Q27" s="524"/>
      <c r="R27" s="524"/>
      <c r="S27" s="525"/>
      <c r="T27" s="524">
        <v>21400</v>
      </c>
      <c r="U27" s="524">
        <f>+Y27-T27</f>
        <v>20943</v>
      </c>
      <c r="V27" s="524">
        <f>+X27-Y27</f>
        <v>31977</v>
      </c>
      <c r="W27" s="524">
        <f>+Z27-V27</f>
        <v>22711</v>
      </c>
      <c r="X27" s="524">
        <v>74320</v>
      </c>
      <c r="Y27" s="524">
        <v>42343</v>
      </c>
      <c r="Z27" s="524">
        <f>+AA27-Y27</f>
        <v>54688</v>
      </c>
      <c r="AA27" s="524">
        <v>97031</v>
      </c>
      <c r="AB27" s="525"/>
      <c r="AC27" s="524">
        <v>22661</v>
      </c>
      <c r="AD27" s="524">
        <f>+AH27-AC27</f>
        <v>20347</v>
      </c>
      <c r="AE27" s="524">
        <f>+AG27-AH27</f>
        <v>33089</v>
      </c>
      <c r="AF27" s="524">
        <f>+AI27-AE27</f>
        <v>25658</v>
      </c>
      <c r="AG27" s="524">
        <v>76097</v>
      </c>
      <c r="AH27" s="524">
        <v>43008</v>
      </c>
      <c r="AI27" s="524">
        <f>+AJ27-AH27</f>
        <v>58747</v>
      </c>
      <c r="AJ27" s="524">
        <v>101755</v>
      </c>
      <c r="AK27" s="523"/>
      <c r="AL27" s="524">
        <v>24081</v>
      </c>
      <c r="AM27" s="524">
        <f>+AQ27-AL27</f>
        <v>20982</v>
      </c>
      <c r="AN27" s="524">
        <f>+AP27-AQ27</f>
        <v>34855</v>
      </c>
      <c r="AO27" s="524">
        <f>+AR27-AN27</f>
        <v>26765</v>
      </c>
      <c r="AP27" s="524">
        <v>79918</v>
      </c>
      <c r="AQ27" s="524">
        <v>45063</v>
      </c>
      <c r="AR27" s="524">
        <f>+AS27-AQ27</f>
        <v>61620</v>
      </c>
      <c r="AS27" s="524">
        <v>106683</v>
      </c>
      <c r="AT27" s="523"/>
      <c r="AU27" s="524">
        <v>24958</v>
      </c>
      <c r="AV27" s="524">
        <f>+BB27-AU27</f>
        <v>24315</v>
      </c>
      <c r="AW27" s="524">
        <f>+BA27-BB27</f>
        <v>39203</v>
      </c>
      <c r="AX27" s="524">
        <v>35527</v>
      </c>
      <c r="AY27" s="524">
        <f>+BC27-AW27</f>
        <v>28498</v>
      </c>
      <c r="AZ27" s="524">
        <v>84800</v>
      </c>
      <c r="BA27" s="524">
        <v>88476</v>
      </c>
      <c r="BB27" s="526">
        <v>49273</v>
      </c>
      <c r="BC27" s="526">
        <f>+BE27-BB27</f>
        <v>67701</v>
      </c>
      <c r="BD27" s="524">
        <v>116400</v>
      </c>
      <c r="BE27" s="524">
        <v>116974</v>
      </c>
      <c r="BF27" s="523"/>
      <c r="BG27" s="524">
        <f>+BH27-AW27</f>
        <v>-39203</v>
      </c>
      <c r="BH27" s="524"/>
      <c r="BI27" s="524"/>
      <c r="BJ27" s="523"/>
      <c r="BK27" s="520">
        <v>47500</v>
      </c>
      <c r="BL27" s="520">
        <v>62900</v>
      </c>
      <c r="BM27" s="520">
        <v>110400</v>
      </c>
      <c r="BN27" s="520"/>
      <c r="BO27" s="523"/>
      <c r="BP27" s="524">
        <v>28270</v>
      </c>
      <c r="BQ27" s="524">
        <v>27453.800000000003</v>
      </c>
      <c r="BR27" s="524">
        <f>+BY27-BP27</f>
        <v>25478</v>
      </c>
      <c r="BS27" s="524">
        <v>41000</v>
      </c>
      <c r="BT27" s="524">
        <f>+BX27-BY27</f>
        <v>41213</v>
      </c>
      <c r="BU27" s="524">
        <v>29039</v>
      </c>
      <c r="BV27" s="524">
        <f>CC27-BT27</f>
        <v>29819</v>
      </c>
      <c r="BW27" s="524">
        <v>94748</v>
      </c>
      <c r="BX27" s="524">
        <v>94961</v>
      </c>
      <c r="BY27" s="524">
        <v>53748</v>
      </c>
      <c r="BZ27" s="524">
        <v>52984.55</v>
      </c>
      <c r="CA27" s="524">
        <v>54270</v>
      </c>
      <c r="CB27" s="524">
        <v>70252</v>
      </c>
      <c r="CC27" s="524">
        <f>CE27-BY27</f>
        <v>71032</v>
      </c>
      <c r="CD27" s="524">
        <v>124000</v>
      </c>
      <c r="CE27" s="524">
        <v>124780</v>
      </c>
      <c r="CF27" s="523"/>
      <c r="CG27" s="527">
        <v>25042</v>
      </c>
      <c r="CH27" s="520">
        <v>25000</v>
      </c>
      <c r="CI27" s="696">
        <f>CI33+CI37</f>
        <v>24895.55</v>
      </c>
      <c r="CJ27" s="542">
        <f>CR27-CG27</f>
        <v>26029</v>
      </c>
      <c r="CK27" s="542">
        <v>25987.56</v>
      </c>
      <c r="CL27" s="528">
        <f>CP27-CR27</f>
        <v>40753</v>
      </c>
      <c r="CM27" s="520">
        <v>42037.26</v>
      </c>
      <c r="CN27" s="520">
        <v>25976</v>
      </c>
      <c r="CO27" s="520">
        <f>CW27-CP27</f>
        <v>25573</v>
      </c>
      <c r="CP27" s="520">
        <v>91824</v>
      </c>
      <c r="CQ27" s="520">
        <v>93108.260000000009</v>
      </c>
      <c r="CR27" s="542">
        <v>51071</v>
      </c>
      <c r="CS27" s="542">
        <v>51029.56</v>
      </c>
      <c r="CT27" s="520">
        <v>66729</v>
      </c>
      <c r="CU27" s="520">
        <f>CW27-CR27</f>
        <v>66326</v>
      </c>
      <c r="CV27" s="520">
        <v>117800</v>
      </c>
      <c r="CW27" s="522">
        <v>117397</v>
      </c>
      <c r="CX27" s="520"/>
      <c r="CY27" s="520">
        <v>26645</v>
      </c>
      <c r="CZ27" s="520">
        <f>+DB27-CY27</f>
        <v>27299</v>
      </c>
      <c r="DA27" s="520" t="e">
        <f>+#REF!+CY27</f>
        <v>#REF!</v>
      </c>
      <c r="DB27" s="520">
        <v>53944</v>
      </c>
      <c r="DC27" s="520">
        <f>+DG27-DB27</f>
        <v>41023</v>
      </c>
      <c r="DD27" s="696">
        <f>DD33+DD37</f>
        <v>41739</v>
      </c>
      <c r="DE27" s="696">
        <f t="shared" ref="DE27:DE108" si="42">+DK27-DG27</f>
        <v>28906</v>
      </c>
      <c r="DF27" s="520">
        <f>DJ27-DC27</f>
        <v>30833</v>
      </c>
      <c r="DG27" s="520">
        <v>94967</v>
      </c>
      <c r="DH27" s="520">
        <f>+DD27+DB27</f>
        <v>95683</v>
      </c>
      <c r="DI27" s="520">
        <f t="shared" si="3"/>
        <v>69929</v>
      </c>
      <c r="DJ27" s="520">
        <f>DL27-DB27</f>
        <v>71856</v>
      </c>
      <c r="DK27" s="520">
        <v>123873</v>
      </c>
      <c r="DL27" s="529">
        <v>125800</v>
      </c>
      <c r="DM27" s="529"/>
      <c r="DN27" s="524"/>
      <c r="DO27" s="524"/>
      <c r="DP27" s="530"/>
      <c r="DQ27" s="530">
        <f>+DR27-DC27</f>
        <v>34733</v>
      </c>
      <c r="DR27" s="530">
        <f>+DS27-DB27</f>
        <v>75756</v>
      </c>
      <c r="DS27" s="531">
        <v>129700</v>
      </c>
      <c r="DT27" s="529"/>
      <c r="DU27" s="524"/>
      <c r="DV27" s="524">
        <f>DW27-CY27</f>
        <v>26755</v>
      </c>
      <c r="DW27" s="528">
        <v>53400</v>
      </c>
      <c r="DX27" s="530">
        <f>DY27-DB27</f>
        <v>70456</v>
      </c>
      <c r="DY27" s="530">
        <v>124400</v>
      </c>
      <c r="DZ27" s="523"/>
      <c r="EB27" s="528">
        <f>ED27-CP27</f>
        <v>33776</v>
      </c>
      <c r="EC27" s="530">
        <f>ED27-CR27</f>
        <v>74529</v>
      </c>
      <c r="ED27" s="529">
        <v>125600</v>
      </c>
      <c r="EE27" s="523"/>
      <c r="EF27" s="520"/>
      <c r="EG27" s="527">
        <v>28646</v>
      </c>
      <c r="EH27" s="520">
        <f>+CY27*1.08</f>
        <v>28776.600000000002</v>
      </c>
      <c r="EI27" s="520">
        <f t="shared" ref="EI27" si="43">+EK27-EG27</f>
        <v>26868</v>
      </c>
      <c r="EJ27" s="520">
        <v>28134.319999999996</v>
      </c>
      <c r="EK27" s="520">
        <v>55514</v>
      </c>
      <c r="EL27" s="520">
        <f>+EG27+EJ27</f>
        <v>56780.319999999992</v>
      </c>
      <c r="EM27" s="520">
        <f>+EO27-EK27</f>
        <v>41086</v>
      </c>
      <c r="EN27" s="520">
        <f>+(1+EN28)*DC27</f>
        <v>44304.840000000004</v>
      </c>
      <c r="EO27" s="520">
        <v>96600</v>
      </c>
      <c r="EP27" s="520">
        <f>+EN27+EK27</f>
        <v>99818.84</v>
      </c>
      <c r="EQ27" s="520">
        <f>+EU27-EO27</f>
        <v>29469</v>
      </c>
      <c r="ER27" s="520"/>
      <c r="ES27" s="520">
        <f>+EU27-EK27</f>
        <v>70555</v>
      </c>
      <c r="ET27" s="520"/>
      <c r="EU27" s="522">
        <v>126069</v>
      </c>
      <c r="EV27" s="533"/>
      <c r="EW27" s="520">
        <v>29505.38</v>
      </c>
      <c r="EX27" s="520">
        <v>28573</v>
      </c>
      <c r="EY27" s="520">
        <v>28051.279999999999</v>
      </c>
      <c r="EZ27" s="520">
        <f>+FB27-EX27</f>
        <v>27868</v>
      </c>
      <c r="FA27" s="520">
        <v>56624.28</v>
      </c>
      <c r="FB27" s="520">
        <v>56441</v>
      </c>
      <c r="FC27" s="520">
        <f>+FE27-FB27</f>
        <v>42360</v>
      </c>
      <c r="FD27" s="520">
        <v>45955</v>
      </c>
      <c r="FE27" s="520">
        <v>98801</v>
      </c>
      <c r="FF27" s="520">
        <v>102396</v>
      </c>
      <c r="FG27" s="520">
        <f>FK27-FE27</f>
        <v>30207</v>
      </c>
      <c r="FH27" s="520">
        <f>+FL27-FE27</f>
        <v>30299</v>
      </c>
      <c r="FI27" s="520">
        <f>FK27-FB27</f>
        <v>72567</v>
      </c>
      <c r="FJ27" s="520">
        <f>+FL27-FB27</f>
        <v>72659</v>
      </c>
      <c r="FK27" s="522">
        <v>129008</v>
      </c>
      <c r="FL27" s="529">
        <f>Driver!AD77</f>
        <v>129100</v>
      </c>
      <c r="FM27" s="524">
        <f>+FN27-EX27</f>
        <v>31927</v>
      </c>
      <c r="FN27" s="530">
        <v>60500</v>
      </c>
      <c r="FO27" s="530">
        <f>+FQ27-FE27</f>
        <v>34199</v>
      </c>
      <c r="FP27" s="530">
        <f>+FQ27-FB27</f>
        <v>76559</v>
      </c>
      <c r="FQ27" s="531">
        <v>133000</v>
      </c>
      <c r="FR27" s="531"/>
      <c r="FS27" s="520">
        <v>29021</v>
      </c>
      <c r="FT27" s="530">
        <f>EX27*1.02</f>
        <v>29144.46</v>
      </c>
      <c r="FU27" s="530">
        <f>EZ27*1.02</f>
        <v>28425.360000000001</v>
      </c>
      <c r="FV27" s="520">
        <f>+FY27-FS27</f>
        <v>28114</v>
      </c>
      <c r="FW27" s="530">
        <f>FU27+FS27</f>
        <v>57446.36</v>
      </c>
      <c r="FX27" s="530"/>
      <c r="FY27" s="520">
        <v>57135</v>
      </c>
      <c r="FZ27" s="520">
        <f>+GA27-FY27</f>
        <v>41216</v>
      </c>
      <c r="GA27" s="520">
        <v>98351</v>
      </c>
      <c r="GB27" s="520">
        <f>+GD27-GA27</f>
        <v>29219</v>
      </c>
      <c r="GC27" s="520">
        <f>+GD27-FY27</f>
        <v>70435</v>
      </c>
      <c r="GD27" s="522">
        <v>127570</v>
      </c>
      <c r="GE27" s="520">
        <v>130800</v>
      </c>
      <c r="GF27" s="520">
        <f>FC27*1.02</f>
        <v>43207.200000000004</v>
      </c>
      <c r="GG27" s="520">
        <f>GH27-FZ27</f>
        <v>29219</v>
      </c>
      <c r="GH27" s="530">
        <f>GI27-FY27</f>
        <v>70435</v>
      </c>
      <c r="GI27" s="530">
        <f>Segments!O22</f>
        <v>127570</v>
      </c>
      <c r="GJ27" s="534"/>
      <c r="GK27" s="530">
        <f>FS27*1.015</f>
        <v>29456.314999999999</v>
      </c>
      <c r="GL27" s="530">
        <v>29356</v>
      </c>
      <c r="GM27" s="530">
        <f>FV27*1.04</f>
        <v>29238.560000000001</v>
      </c>
      <c r="GN27" s="530">
        <f>GL27+GM27</f>
        <v>58594.559999999998</v>
      </c>
      <c r="GO27" s="530">
        <f>+GP27-GL27</f>
        <v>28184</v>
      </c>
      <c r="GP27" s="530">
        <v>57540</v>
      </c>
      <c r="GQ27" s="530">
        <v>44000</v>
      </c>
      <c r="GR27" s="520">
        <f>+GS27-GP27</f>
        <v>43041</v>
      </c>
      <c r="GS27" s="520">
        <v>100581</v>
      </c>
      <c r="GT27" s="520">
        <f>+GU27-GR27</f>
        <v>32721</v>
      </c>
      <c r="GU27" s="520">
        <f>+GV27-GP27</f>
        <v>75762</v>
      </c>
      <c r="GV27" s="522">
        <v>133302</v>
      </c>
      <c r="GW27" s="520">
        <v>133200</v>
      </c>
      <c r="GX27" s="530">
        <f>GY27-GR27</f>
        <v>32721</v>
      </c>
      <c r="GY27" s="530">
        <f>GZ27-GP27</f>
        <v>75762</v>
      </c>
      <c r="GZ27" s="530">
        <f>Segments!P22</f>
        <v>133302</v>
      </c>
      <c r="HA27" s="534"/>
      <c r="HB27" s="530">
        <f>GL27*1.1</f>
        <v>32291.600000000002</v>
      </c>
      <c r="HC27" s="530"/>
      <c r="HD27" s="530">
        <v>30945</v>
      </c>
      <c r="HE27" s="530">
        <v>22565</v>
      </c>
      <c r="HF27" s="530">
        <f>+HI27-HD27</f>
        <v>29072</v>
      </c>
      <c r="HG27" s="530">
        <f>+HL27-HE27</f>
        <v>21475.404040404042</v>
      </c>
      <c r="HH27" s="530">
        <f>HM27-HE27</f>
        <v>21287</v>
      </c>
      <c r="HI27" s="530">
        <v>60017</v>
      </c>
      <c r="HJ27" s="530">
        <f>GO27*1.04</f>
        <v>29311.360000000001</v>
      </c>
      <c r="HK27" s="530">
        <f>HD27+HI27</f>
        <v>90962</v>
      </c>
      <c r="HL27" s="530">
        <f>KU27/0.99</f>
        <v>44040.404040404042</v>
      </c>
      <c r="HM27" s="530">
        <v>43852</v>
      </c>
      <c r="HN27" s="520">
        <f>+HP27-HI27</f>
        <v>42256</v>
      </c>
      <c r="HO27" s="520">
        <f>+HQ27-HM27</f>
        <v>30025</v>
      </c>
      <c r="HP27" s="520">
        <v>102273</v>
      </c>
      <c r="HQ27" s="535">
        <v>73877</v>
      </c>
      <c r="HR27" s="520">
        <f>+HT27-HN27</f>
        <v>31153</v>
      </c>
      <c r="HS27" s="520">
        <f>HU27-HO27</f>
        <v>21923</v>
      </c>
      <c r="HT27" s="520">
        <f>+HV27-HI27</f>
        <v>73409</v>
      </c>
      <c r="HU27" s="520">
        <f>HZ27-HM27</f>
        <v>51948</v>
      </c>
      <c r="HV27" s="520">
        <v>133426</v>
      </c>
      <c r="HW27" s="530">
        <f>GR27*1.04</f>
        <v>44762.64</v>
      </c>
      <c r="HX27" s="530">
        <f>HY27-HN27</f>
        <v>31153</v>
      </c>
      <c r="HY27" s="530">
        <f>IB27-HI27</f>
        <v>73409</v>
      </c>
      <c r="HZ27" s="520">
        <v>95800</v>
      </c>
      <c r="IA27" s="530">
        <v>134800</v>
      </c>
      <c r="IB27" s="530">
        <f>Segments!Q22</f>
        <v>133426</v>
      </c>
      <c r="IC27" s="534"/>
      <c r="ID27" s="530">
        <f>IP27*0.25</f>
        <v>23875</v>
      </c>
      <c r="IE27" s="536">
        <v>21135</v>
      </c>
      <c r="IF27" s="530">
        <f>IG27-IE27</f>
        <v>21864</v>
      </c>
      <c r="IG27" s="537">
        <v>42999</v>
      </c>
      <c r="IH27" s="530">
        <f>+IJ27-IG27</f>
        <v>29981</v>
      </c>
      <c r="II27" s="538">
        <v>32000</v>
      </c>
      <c r="IJ27" s="538">
        <v>72980</v>
      </c>
      <c r="IK27" s="530">
        <f>+IP27-IL27</f>
        <v>72980</v>
      </c>
      <c r="IL27" s="530">
        <f>IN27-IH27</f>
        <v>22520</v>
      </c>
      <c r="IM27" s="530">
        <f>+IO27-IH27</f>
        <v>22520</v>
      </c>
      <c r="IN27" s="530">
        <f>IP27-IG27</f>
        <v>52501</v>
      </c>
      <c r="IO27" s="530">
        <f>+IR27-IG27</f>
        <v>52501</v>
      </c>
      <c r="IP27" s="531">
        <f>Segments!S22</f>
        <v>95500</v>
      </c>
      <c r="IQ27" s="530">
        <v>96100</v>
      </c>
      <c r="IR27" s="539">
        <v>95500</v>
      </c>
      <c r="IS27" s="1283"/>
      <c r="IT27" s="530">
        <f>IE27*1.06</f>
        <v>22403.100000000002</v>
      </c>
      <c r="IU27" s="540">
        <v>21700</v>
      </c>
      <c r="IV27" s="540">
        <f>IX27-IU27</f>
        <v>21511</v>
      </c>
      <c r="IW27" s="530">
        <v>23175.84</v>
      </c>
      <c r="IX27" s="530">
        <v>43211</v>
      </c>
      <c r="IY27" s="530">
        <v>44875.839999999997</v>
      </c>
      <c r="IZ27" s="530">
        <f>JA27-IX27</f>
        <v>31429</v>
      </c>
      <c r="JA27" s="530">
        <v>74640</v>
      </c>
      <c r="JB27" s="530">
        <f>+JC27-IZ27</f>
        <v>22995</v>
      </c>
      <c r="JC27" s="530">
        <f>+JD27-IX27</f>
        <v>54424</v>
      </c>
      <c r="JD27" s="530">
        <v>97635</v>
      </c>
      <c r="JE27" s="530">
        <v>74711</v>
      </c>
      <c r="JF27" s="530">
        <f>JG27-IZ27</f>
        <v>22995</v>
      </c>
      <c r="JG27" s="530">
        <f>JH27-IX27</f>
        <v>54424</v>
      </c>
      <c r="JH27" s="531">
        <f>Segments!T22</f>
        <v>97635</v>
      </c>
      <c r="JI27" s="1283"/>
      <c r="JJ27" s="1669">
        <f>ROUND(+IU27*(1+JJ28),-2)</f>
        <v>21900</v>
      </c>
      <c r="JK27" s="1138">
        <f>ROUND(+IV27*(1+JK28),-2)</f>
        <v>22200</v>
      </c>
      <c r="JL27" s="1138">
        <v>21989</v>
      </c>
      <c r="JM27" s="1138">
        <f>+JP27-JL27</f>
        <v>21743</v>
      </c>
      <c r="JN27" s="1138">
        <f>JS27-JP27</f>
        <v>32538</v>
      </c>
      <c r="JO27" s="1138"/>
      <c r="JP27" s="1138">
        <v>43732</v>
      </c>
      <c r="JQ27" s="1138"/>
      <c r="JR27" s="1138"/>
      <c r="JS27" s="1138">
        <v>76270</v>
      </c>
      <c r="JT27" s="1138">
        <f>ROUND(+IZ27*(1+JT28),-2)</f>
        <v>31600</v>
      </c>
      <c r="JU27" s="1138">
        <f>+JW27-JN27</f>
        <v>24130</v>
      </c>
      <c r="JV27" s="1138">
        <f>+JL27+JK27</f>
        <v>44189</v>
      </c>
      <c r="JW27" s="1138">
        <f>+JX27-JP27</f>
        <v>56668</v>
      </c>
      <c r="JX27" s="1138">
        <f>+Driver!AL77</f>
        <v>100400</v>
      </c>
      <c r="JY27" s="1138">
        <f>+JP27+JT27</f>
        <v>75332</v>
      </c>
      <c r="JZ27" s="899"/>
      <c r="KA27" s="1271"/>
      <c r="KB27" s="540">
        <f>+KC27-JL27</f>
        <v>21011</v>
      </c>
      <c r="KC27" s="540">
        <v>43000</v>
      </c>
      <c r="KD27" s="540">
        <f t="shared" ref="KD27" si="44">+KH27-KC27</f>
        <v>57000</v>
      </c>
      <c r="KE27" s="540">
        <f>+KG27-JP27</f>
        <v>56268</v>
      </c>
      <c r="KF27" s="540">
        <f>+KG27-JS27</f>
        <v>23730</v>
      </c>
      <c r="KG27" s="540">
        <v>100000</v>
      </c>
      <c r="KH27" s="540">
        <v>100000</v>
      </c>
      <c r="KI27" s="1271"/>
      <c r="KJ27" s="899"/>
      <c r="KK27" s="541">
        <f>KL27-IZ27</f>
        <v>25360</v>
      </c>
      <c r="KL27" s="530">
        <f>KM27-IX27</f>
        <v>56789</v>
      </c>
      <c r="KM27" s="540">
        <v>100000</v>
      </c>
      <c r="KN27" s="899"/>
      <c r="KO27" s="540">
        <v>45000</v>
      </c>
      <c r="KP27" s="530">
        <v>56000</v>
      </c>
      <c r="KQ27" s="531">
        <v>101000</v>
      </c>
      <c r="KR27" s="530">
        <v>53601</v>
      </c>
      <c r="KS27" s="531">
        <v>96600</v>
      </c>
      <c r="KT27" s="530">
        <f>+KU27-IE27</f>
        <v>22465</v>
      </c>
      <c r="KU27" s="530">
        <v>43600</v>
      </c>
      <c r="KV27" s="530">
        <f>+KW27-KU27</f>
        <v>53000</v>
      </c>
      <c r="KW27" s="531">
        <v>96600</v>
      </c>
      <c r="KX27" s="530">
        <f>+KY27-HN27</f>
        <v>32227</v>
      </c>
      <c r="KY27" s="530">
        <f>+KZ27-HI27</f>
        <v>74483</v>
      </c>
      <c r="KZ27" s="531">
        <v>134500</v>
      </c>
      <c r="LA27" s="530">
        <v>59400</v>
      </c>
      <c r="LB27" s="530">
        <f>+LC27-LA27</f>
        <v>73900</v>
      </c>
      <c r="LC27" s="531">
        <v>133300</v>
      </c>
      <c r="LD27" s="531"/>
      <c r="LE27" s="530">
        <f>+LF27-GR27</f>
        <v>30619</v>
      </c>
      <c r="LF27" s="530">
        <f>+LG27-GP27</f>
        <v>73660</v>
      </c>
      <c r="LG27" s="531">
        <v>131200</v>
      </c>
    </row>
    <row r="28" spans="1:319" s="1699" customFormat="1" ht="12">
      <c r="A28" s="712"/>
      <c r="B28" s="1692" t="s">
        <v>669</v>
      </c>
      <c r="C28" s="1676" t="s">
        <v>1443</v>
      </c>
      <c r="D28" s="1020"/>
      <c r="E28" s="712"/>
      <c r="F28" s="712"/>
      <c r="G28" s="1693"/>
      <c r="H28" s="712"/>
      <c r="I28" s="712"/>
      <c r="J28" s="1693"/>
      <c r="K28" s="709"/>
      <c r="L28" s="709"/>
      <c r="M28" s="709"/>
      <c r="N28" s="709"/>
      <c r="O28" s="709"/>
      <c r="P28" s="709"/>
      <c r="Q28" s="709"/>
      <c r="R28" s="709"/>
      <c r="S28" s="1694"/>
      <c r="T28" s="709"/>
      <c r="U28" s="709"/>
      <c r="V28" s="709"/>
      <c r="W28" s="709"/>
      <c r="X28" s="709"/>
      <c r="Y28" s="709"/>
      <c r="Z28" s="709"/>
      <c r="AA28" s="709"/>
      <c r="AB28" s="1694"/>
      <c r="AC28" s="1695">
        <f t="shared" ref="AC28:AJ28" si="45">+AC27/T27-1</f>
        <v>5.8925233644859798E-2</v>
      </c>
      <c r="AD28" s="1695">
        <f t="shared" si="45"/>
        <v>-2.8458196055961449E-2</v>
      </c>
      <c r="AE28" s="1695">
        <f t="shared" si="45"/>
        <v>3.4774994527316583E-2</v>
      </c>
      <c r="AF28" s="1695">
        <f t="shared" si="45"/>
        <v>0.12976090881070856</v>
      </c>
      <c r="AG28" s="1695">
        <f t="shared" si="45"/>
        <v>2.3910118406889058E-2</v>
      </c>
      <c r="AH28" s="1695">
        <f t="shared" si="45"/>
        <v>1.5705075219044407E-2</v>
      </c>
      <c r="AI28" s="1695">
        <f t="shared" si="45"/>
        <v>7.4221035693387893E-2</v>
      </c>
      <c r="AJ28" s="1695">
        <f t="shared" si="45"/>
        <v>4.8685471653389101E-2</v>
      </c>
      <c r="AK28" s="1020"/>
      <c r="AL28" s="1695">
        <f t="shared" ref="AL28:AS28" si="46">+AL27/AC27-1</f>
        <v>6.2662724504655598E-2</v>
      </c>
      <c r="AM28" s="1695">
        <f t="shared" si="46"/>
        <v>3.1208531970315034E-2</v>
      </c>
      <c r="AN28" s="1695">
        <f t="shared" si="46"/>
        <v>5.3371210976457473E-2</v>
      </c>
      <c r="AO28" s="1695">
        <f t="shared" si="46"/>
        <v>4.3144438381791161E-2</v>
      </c>
      <c r="AP28" s="1695">
        <f t="shared" si="46"/>
        <v>5.0212229128612229E-2</v>
      </c>
      <c r="AQ28" s="1695">
        <f t="shared" si="46"/>
        <v>4.7781808035714191E-2</v>
      </c>
      <c r="AR28" s="1695">
        <f t="shared" si="46"/>
        <v>4.8904624917017081E-2</v>
      </c>
      <c r="AS28" s="1695">
        <f t="shared" si="46"/>
        <v>4.8430052577268956E-2</v>
      </c>
      <c r="AT28" s="1020"/>
      <c r="AU28" s="1695">
        <f>+AU27/AL27-1</f>
        <v>3.6418753374029222E-2</v>
      </c>
      <c r="AV28" s="1695">
        <f>+AV27/AM27-1</f>
        <v>0.15885044323706032</v>
      </c>
      <c r="AW28" s="1695">
        <f>+AW27/AN27-1</f>
        <v>0.12474537369100558</v>
      </c>
      <c r="AX28" s="1695">
        <f>+AX27/AN27-1</f>
        <v>1.9279873762731325E-2</v>
      </c>
      <c r="AY28" s="1695">
        <f>+AY27/AO27-1</f>
        <v>6.4748739024845792E-2</v>
      </c>
      <c r="AZ28" s="1695">
        <f>+AZ27/AP27-1</f>
        <v>6.1087614805175328E-2</v>
      </c>
      <c r="BA28" s="1695">
        <f>+BA27/AP27-1</f>
        <v>0.10708476188092786</v>
      </c>
      <c r="BB28" s="725">
        <f>+BB27/AQ27-1</f>
        <v>9.3424760890309155E-2</v>
      </c>
      <c r="BC28" s="725">
        <f>+BC27/AR27-1</f>
        <v>9.8685491723466301E-2</v>
      </c>
      <c r="BD28" s="1695">
        <v>9.1082927926661172E-2</v>
      </c>
      <c r="BE28" s="1695">
        <f>+BE27/AS27-1</f>
        <v>9.6463354048911265E-2</v>
      </c>
      <c r="BF28" s="1020"/>
      <c r="BG28" s="1695"/>
      <c r="BH28" s="1695"/>
      <c r="BI28" s="1695"/>
      <c r="BJ28" s="1020"/>
      <c r="BK28" s="712"/>
      <c r="BL28" s="712"/>
      <c r="BM28" s="712"/>
      <c r="BN28" s="712"/>
      <c r="BO28" s="1020"/>
      <c r="BP28" s="1695">
        <f>+BP27/AU27-1</f>
        <v>0.1327029409407805</v>
      </c>
      <c r="BQ28" s="1695">
        <v>0.10000000000000012</v>
      </c>
      <c r="BR28" s="1695">
        <f>(BR27-AV27)/AV27</f>
        <v>4.7830557269175407E-2</v>
      </c>
      <c r="BS28" s="1695">
        <v>4.5838328699334234E-2</v>
      </c>
      <c r="BT28" s="1695">
        <f>(BT27-AW27)/AW27</f>
        <v>5.127158635818687E-2</v>
      </c>
      <c r="BU28" s="1695">
        <v>1.8983788336023582E-2</v>
      </c>
      <c r="BV28" s="1695">
        <f>(BV27-AY27)/AY27</f>
        <v>4.6354130114393995E-2</v>
      </c>
      <c r="BW28" s="1695">
        <v>7.0889280708892805E-2</v>
      </c>
      <c r="BX28" s="725">
        <f>+BX27/BA27-1</f>
        <v>7.3296713232967159E-2</v>
      </c>
      <c r="BY28" s="725">
        <f>+BY27/BB27-1</f>
        <v>9.0820530513668674E-2</v>
      </c>
      <c r="BZ28" s="1695">
        <v>7.5326243581677652E-2</v>
      </c>
      <c r="CA28" s="1695">
        <v>0.1014145678160453</v>
      </c>
      <c r="CB28" s="1695">
        <v>3.7680388768260437E-2</v>
      </c>
      <c r="CC28" s="1695">
        <f>(CC27-BC27)/BC27</f>
        <v>4.9201636608026469E-2</v>
      </c>
      <c r="CD28" s="1695">
        <v>6.0064629746781339E-2</v>
      </c>
      <c r="CE28" s="1695">
        <f>(CE27-BE27)/BE27</f>
        <v>6.6732778224220773E-2</v>
      </c>
      <c r="CF28" s="1020"/>
      <c r="CG28" s="727">
        <f>(CG27-BP27)/BP27</f>
        <v>-0.11418464803678811</v>
      </c>
      <c r="CH28" s="666">
        <v>-0.11567032189600283</v>
      </c>
      <c r="CI28" s="666">
        <f>CI27/BP27-1</f>
        <v>-0.1193650512911214</v>
      </c>
      <c r="CJ28" s="704">
        <f>CJ27/BR27-1</f>
        <v>2.1626501295235023E-2</v>
      </c>
      <c r="CK28" s="704">
        <v>2.0000000000000018E-2</v>
      </c>
      <c r="CL28" s="704">
        <f>CL27/BT27-1</f>
        <v>-1.1161526702739399E-2</v>
      </c>
      <c r="CM28" s="704">
        <f>CM27/BT27-1</f>
        <v>2.0000000000000018E-2</v>
      </c>
      <c r="CN28" s="666">
        <v>-0.12887756128642811</v>
      </c>
      <c r="CO28" s="704">
        <f>CO27/BV27-1</f>
        <v>-0.14239243435393545</v>
      </c>
      <c r="CP28" s="704">
        <f>CP27/BX27-1</f>
        <v>-3.3034614210044166E-2</v>
      </c>
      <c r="CQ28" s="712"/>
      <c r="CR28" s="666">
        <f>(CR27-BY27)/BY27</f>
        <v>-4.9806504428071739E-2</v>
      </c>
      <c r="CS28" s="666">
        <v>-5.0577509860832072E-2</v>
      </c>
      <c r="CT28" s="666">
        <v>-6.0578330893118593E-2</v>
      </c>
      <c r="CU28" s="666">
        <f>(CU27-CC27)/CC27</f>
        <v>-6.6251830161054168E-2</v>
      </c>
      <c r="CV28" s="748">
        <v>-5.5938451674947931E-2</v>
      </c>
      <c r="CW28" s="1696">
        <f>CW27/CE27-1</f>
        <v>-5.9168135919217768E-2</v>
      </c>
      <c r="CX28" s="704"/>
      <c r="CY28" s="704">
        <f>(CY27-CG27)/CG27</f>
        <v>6.4012459068764474E-2</v>
      </c>
      <c r="CZ28" s="704">
        <f>+CZ27/CJ27-1</f>
        <v>4.8791732298590018E-2</v>
      </c>
      <c r="DA28" s="704" t="e">
        <f>+DA27/CR27-1</f>
        <v>#REF!</v>
      </c>
      <c r="DB28" s="704">
        <f>+DB27/CR27-1</f>
        <v>5.6255017524622586E-2</v>
      </c>
      <c r="DC28" s="704">
        <f>+DC27/CL27-1</f>
        <v>6.6252791205554384E-3</v>
      </c>
      <c r="DD28" s="704">
        <f>(DD27-CL27)/CL27</f>
        <v>2.4194537825436166E-2</v>
      </c>
      <c r="DE28" s="704">
        <f>+DE27/CO27-1</f>
        <v>0.13033277284636147</v>
      </c>
      <c r="DF28" s="704">
        <f>+DF27/CO27-1</f>
        <v>0.20568568411997035</v>
      </c>
      <c r="DG28" s="704">
        <f>+DG27/CP27-1</f>
        <v>3.4228524133124161E-2</v>
      </c>
      <c r="DH28" s="704">
        <f>+DH27/CP27-1</f>
        <v>4.2026049834466006E-2</v>
      </c>
      <c r="DI28" s="704">
        <f>+DI27/CU27-1</f>
        <v>5.4322588426861218E-2</v>
      </c>
      <c r="DJ28" s="704">
        <f>(DJ27-CU27)/CU27</f>
        <v>8.3376051623797603E-2</v>
      </c>
      <c r="DK28" s="704">
        <f>+DK27/CW27-1</f>
        <v>5.5163249486784194E-2</v>
      </c>
      <c r="DL28" s="1685">
        <v>7.1577638270143185E-2</v>
      </c>
      <c r="DM28" s="1685"/>
      <c r="DN28" s="725"/>
      <c r="DO28" s="725"/>
      <c r="DP28" s="662"/>
      <c r="DQ28" s="662">
        <f>+DQ27/CO27-1</f>
        <v>0.35819027880968202</v>
      </c>
      <c r="DR28" s="662">
        <f>+DR27/CU27-1</f>
        <v>0.14217652202756081</v>
      </c>
      <c r="DS28" s="1274">
        <f>DS27/CW27-1</f>
        <v>0.10479824867756427</v>
      </c>
      <c r="DT28" s="1685"/>
      <c r="DU28" s="725"/>
      <c r="DV28" s="725">
        <f>(DV27-CJ27)/CJ27</f>
        <v>2.7891966652579814E-2</v>
      </c>
      <c r="DW28" s="704">
        <f>DW27/CR27-1</f>
        <v>4.5603179886824163E-2</v>
      </c>
      <c r="DX28" s="662">
        <f>DX27/CU27-1</f>
        <v>6.2268190453215855E-2</v>
      </c>
      <c r="DY28" s="662">
        <f>DY27/CW27-1</f>
        <v>5.9652290944402386E-2</v>
      </c>
      <c r="DZ28" s="1020"/>
      <c r="EB28" s="704">
        <f>EB27/BV27-1</f>
        <v>0.13270062711693886</v>
      </c>
      <c r="EC28" s="662">
        <f>EC27/CC27-1</f>
        <v>4.9231332357247526E-2</v>
      </c>
      <c r="ED28" s="1697">
        <f>(ED27-CE27)/CE27</f>
        <v>6.5715659560827058E-3</v>
      </c>
      <c r="EE28" s="1020"/>
      <c r="EF28" s="712"/>
      <c r="EG28" s="727">
        <f>+EG27/CY27-1</f>
        <v>7.5098517545505672E-2</v>
      </c>
      <c r="EH28" s="666">
        <f>+EH27/CY27-1</f>
        <v>8.0000000000000071E-2</v>
      </c>
      <c r="EI28" s="666">
        <f>+EI27/CZ27-1</f>
        <v>-1.5788124107110169E-2</v>
      </c>
      <c r="EJ28" s="666">
        <f>+EJ27/CZ27-1</f>
        <v>3.0598923037473691E-2</v>
      </c>
      <c r="EK28" s="666">
        <f>+EK27/DB27-1</f>
        <v>2.9104256265757078E-2</v>
      </c>
      <c r="EL28" s="666">
        <f>+EL27/DB27-1</f>
        <v>5.2578970784517232E-2</v>
      </c>
      <c r="EM28" s="666">
        <f>+EM27/DC27-1</f>
        <v>1.5357238622235592E-3</v>
      </c>
      <c r="EN28" s="666">
        <v>0.08</v>
      </c>
      <c r="EO28" s="666">
        <f>+EO27/DG27-1</f>
        <v>1.7195446839428419E-2</v>
      </c>
      <c r="EP28" s="666">
        <f>+EP27/DG27-1</f>
        <v>5.1089746964735117E-2</v>
      </c>
      <c r="EQ28" s="666">
        <f>+EQ27/DE27-1</f>
        <v>1.9476925205839546E-2</v>
      </c>
      <c r="ER28" s="666">
        <f>+ER27/DE27-1</f>
        <v>-1</v>
      </c>
      <c r="ES28" s="666">
        <f>+ES27/DI27-1</f>
        <v>8.9519369646355873E-3</v>
      </c>
      <c r="ET28" s="666"/>
      <c r="EU28" s="1700">
        <f>+EU27/DK27-1</f>
        <v>1.7727834152720945E-2</v>
      </c>
      <c r="EV28" s="1274"/>
      <c r="EW28" s="617">
        <v>3.0000000000000027E-2</v>
      </c>
      <c r="EX28" s="617">
        <f>+EX27/EG27-1</f>
        <v>-2.5483488096069706E-3</v>
      </c>
      <c r="EY28" s="617">
        <v>4.4040494268274388E-2</v>
      </c>
      <c r="EZ28" s="617">
        <f>+EZ27/EI27-1</f>
        <v>3.7218996575852259E-2</v>
      </c>
      <c r="FA28" s="617">
        <v>2.0000000000000018E-2</v>
      </c>
      <c r="FB28" s="617">
        <f>+FB27/EK27-1</f>
        <v>1.669849047087224E-2</v>
      </c>
      <c r="FC28" s="617">
        <f>+FC27/EM27-1</f>
        <v>3.100812928978236E-2</v>
      </c>
      <c r="FD28" s="617">
        <v>0.11850752081000837</v>
      </c>
      <c r="FE28" s="617">
        <f>+FE27/EO27-1</f>
        <v>2.2784679089026927E-2</v>
      </c>
      <c r="FF28" s="617">
        <v>6.0000000000000053E-2</v>
      </c>
      <c r="FG28" s="666">
        <f>+FG27/EQ27-1</f>
        <v>2.5043265804743919E-2</v>
      </c>
      <c r="FH28" s="617">
        <f>+FH27/EQ27-1</f>
        <v>2.8165190539210627E-2</v>
      </c>
      <c r="FI28" s="617">
        <f>+FI27/ES27-1</f>
        <v>2.8516759974487993E-2</v>
      </c>
      <c r="FJ28" s="617">
        <f>+FJ27/ES27-1</f>
        <v>2.9820707249663458E-2</v>
      </c>
      <c r="FK28" s="1700">
        <f>+FK27/EU27-1</f>
        <v>2.3312630384948019E-2</v>
      </c>
      <c r="FL28" s="1685">
        <f>+FL27/EU27-1</f>
        <v>2.4042389485123161E-2</v>
      </c>
      <c r="FM28" s="725">
        <f>+FM27/EI27-1</f>
        <v>0.18829090367723689</v>
      </c>
      <c r="FN28" s="662">
        <f>+FN27/EK27-1</f>
        <v>8.9815181755953377E-2</v>
      </c>
      <c r="FO28" s="1670">
        <f>(FO27-EQ27)/EQ27</f>
        <v>0.1605076521089959</v>
      </c>
      <c r="FP28" s="1266">
        <f>+FP27/ES27-1</f>
        <v>8.5096733045141981E-2</v>
      </c>
      <c r="FQ28" s="1274">
        <f>+FQ27/EU27-1</f>
        <v>5.4977829601250194E-2</v>
      </c>
      <c r="FR28" s="1274"/>
      <c r="FS28" s="617">
        <f>+FS27/EX27-1</f>
        <v>1.5679137647429453E-2</v>
      </c>
      <c r="FT28" s="662">
        <f>(FT27-EX27)/EX27</f>
        <v>1.9999999999999969E-2</v>
      </c>
      <c r="FU28" s="662">
        <f>(FU27-EZ27)/EZ27</f>
        <v>2.0000000000000021E-2</v>
      </c>
      <c r="FV28" s="617">
        <f>+FV27/EZ27-1</f>
        <v>8.8273288359408397E-3</v>
      </c>
      <c r="FW28" s="662">
        <f>(FW27-FB27)/FB27</f>
        <v>1.7812583051327945E-2</v>
      </c>
      <c r="FX28" s="662"/>
      <c r="FY28" s="617">
        <f>+FY27/FB27-1</f>
        <v>1.2296025938590693E-2</v>
      </c>
      <c r="FZ28" s="617">
        <f>+FZ27/FC27-1</f>
        <v>-2.7006610009442822E-2</v>
      </c>
      <c r="GA28" s="617">
        <f>+GA27/FE27-1</f>
        <v>-4.5546097711561817E-3</v>
      </c>
      <c r="GB28" s="617">
        <f>+GB27/FG27-1</f>
        <v>-3.2707650544575806E-2</v>
      </c>
      <c r="GC28" s="617">
        <f>+GC27/FI27-1</f>
        <v>-2.9379745614397712E-2</v>
      </c>
      <c r="GD28" s="1677">
        <f>+GD27/FK27-1</f>
        <v>-1.1146595559965222E-2</v>
      </c>
      <c r="GE28" s="617">
        <v>1.3890611434949771E-2</v>
      </c>
      <c r="GF28" s="617">
        <f>(GF27-FC27)/FC27</f>
        <v>2.0000000000000104E-2</v>
      </c>
      <c r="GG28" s="617">
        <f>(GG27-FG27)/FG27</f>
        <v>-3.2707650544575757E-2</v>
      </c>
      <c r="GH28" s="662">
        <f>(GH27-FI27)/FI27</f>
        <v>-2.9379745614397729E-2</v>
      </c>
      <c r="GI28" s="662">
        <f>(GI27-FK27)/FK27</f>
        <v>-1.1146595559965274E-2</v>
      </c>
      <c r="GJ28" s="1689"/>
      <c r="GK28" s="662">
        <f>(GK27-FS27)/FS27</f>
        <v>1.4999999999999954E-2</v>
      </c>
      <c r="GL28" s="662">
        <f>+GL27/FS27-1</f>
        <v>1.1543365149374596E-2</v>
      </c>
      <c r="GM28" s="662">
        <f>(GM27-FV27)/FV27</f>
        <v>4.0000000000000049E-2</v>
      </c>
      <c r="GN28" s="662">
        <f>(GN27-FY27)/FY27</f>
        <v>2.5545812549225479E-2</v>
      </c>
      <c r="GO28" s="662">
        <f>+GO27/FV27-1</f>
        <v>2.4898627018568043E-3</v>
      </c>
      <c r="GP28" s="662">
        <f>+GP27/FY27-1</f>
        <v>7.0884746652664088E-3</v>
      </c>
      <c r="GQ28" s="662">
        <f>(GQ27-FZ27)/FZ27</f>
        <v>6.754658385093168E-2</v>
      </c>
      <c r="GR28" s="617">
        <f>+GR27/FZ27-1</f>
        <v>4.4278920807453437E-2</v>
      </c>
      <c r="GS28" s="617">
        <f>+GS27/GA27-1</f>
        <v>2.2673892487112379E-2</v>
      </c>
      <c r="GT28" s="617">
        <f>+GT27/GB27-1</f>
        <v>0.11985351996988269</v>
      </c>
      <c r="GU28" s="617">
        <f>+GU27/GC27-1</f>
        <v>7.5630013487612668E-2</v>
      </c>
      <c r="GV28" s="1677">
        <f>+GV27/GD27-1</f>
        <v>4.4932194089519539E-2</v>
      </c>
      <c r="GW28" s="617">
        <v>4.4132633064200046E-2</v>
      </c>
      <c r="GX28" s="662">
        <f>(GX27-GB27)/GB27</f>
        <v>0.11985351996988261</v>
      </c>
      <c r="GY28" s="662">
        <f>(GY27-GC27)/GC27</f>
        <v>7.5630013487612696E-2</v>
      </c>
      <c r="GZ28" s="662">
        <f>(GZ27-GD27)/GD27</f>
        <v>4.4932194089519477E-2</v>
      </c>
      <c r="HA28" s="1689"/>
      <c r="HB28" s="662">
        <f>(HB27-GL27)/GL27</f>
        <v>0.10000000000000007</v>
      </c>
      <c r="HC28" s="662"/>
      <c r="HD28" s="662">
        <f>+HD27/GL27-1</f>
        <v>5.4128627878457625E-2</v>
      </c>
      <c r="HE28" s="662"/>
      <c r="HF28" s="662">
        <f>+HF27/GO27-1</f>
        <v>3.1507238149304673E-2</v>
      </c>
      <c r="HG28" s="662"/>
      <c r="HH28" s="662"/>
      <c r="HI28" s="662">
        <f>+HI27/GP27-1</f>
        <v>4.3048314216197481E-2</v>
      </c>
      <c r="HJ28" s="662">
        <f>(HI27-GO27)/GO27</f>
        <v>1.1294706216292931</v>
      </c>
      <c r="HK28" s="662">
        <f>(HK27-GP27)/GP27</f>
        <v>0.58084810566562395</v>
      </c>
      <c r="HL28" s="662"/>
      <c r="HM28" s="662"/>
      <c r="HN28" s="1701">
        <f>+HN27/GR27-1</f>
        <v>-1.8238423828442651E-2</v>
      </c>
      <c r="HO28" s="1701">
        <f>+HO27/GS27-1</f>
        <v>-0.70148437577673717</v>
      </c>
      <c r="HP28" s="617">
        <f>+HP27/GS27-1</f>
        <v>1.6822262653980458E-2</v>
      </c>
      <c r="HQ28" s="617">
        <f>+HQ27/GS27-1</f>
        <v>-0.26549745975880135</v>
      </c>
      <c r="HR28" s="617">
        <f>+HR27/GT27-1</f>
        <v>-4.7920295834479432E-2</v>
      </c>
      <c r="HS28" s="617"/>
      <c r="HT28" s="617">
        <f>+HT27/GU27-1</f>
        <v>-3.1057786225284434E-2</v>
      </c>
      <c r="HU28" s="617"/>
      <c r="HV28" s="617">
        <f>+HV27/GV27-1</f>
        <v>9.3021860137132428E-4</v>
      </c>
      <c r="HW28" s="662">
        <f>(HW27-GR27)/GR27</f>
        <v>3.9999999999999987E-2</v>
      </c>
      <c r="HX28" s="662">
        <f>(HX27-GT27)/GT27</f>
        <v>-4.7920295834479383E-2</v>
      </c>
      <c r="HY28" s="662">
        <f>(HY27-GU27)/GU27</f>
        <v>-3.1057786225284444E-2</v>
      </c>
      <c r="HZ28" s="617"/>
      <c r="IA28" s="662">
        <v>1.1237640845598716E-2</v>
      </c>
      <c r="IB28" s="662">
        <f>(IB27-GV27)/GV27</f>
        <v>9.3021860137132222E-4</v>
      </c>
      <c r="IC28" s="1689"/>
      <c r="ID28" s="662"/>
      <c r="IE28" s="1288">
        <f>+IE27/HE27-1</f>
        <v>-6.3372479503656098E-2</v>
      </c>
      <c r="IF28" s="662">
        <f>IF27/HH27-1</f>
        <v>2.7105745290552985E-2</v>
      </c>
      <c r="IG28" s="662">
        <f>IG27/HM27-1</f>
        <v>-1.9451792392593314E-2</v>
      </c>
      <c r="IH28" s="662">
        <f>+IH27/HO27-1</f>
        <v>-1.4654454621149116E-3</v>
      </c>
      <c r="II28" s="662"/>
      <c r="IJ28" s="662">
        <f>+IJ27/HQ27-1</f>
        <v>-1.2141803267593398E-2</v>
      </c>
      <c r="IK28" s="662"/>
      <c r="IL28" s="662">
        <f>(IL27-HS27)/HS27</f>
        <v>2.7231674497103498E-2</v>
      </c>
      <c r="IM28" s="662">
        <f>+IM27/HS27-1</f>
        <v>2.7231674497103509E-2</v>
      </c>
      <c r="IN28" s="662">
        <f>IN27/HU27-1</f>
        <v>1.0645260645260723E-2</v>
      </c>
      <c r="IO28" s="662">
        <f>+IO27/HU27-1</f>
        <v>1.0645260645260723E-2</v>
      </c>
      <c r="IP28" s="1274">
        <f>(IP27-HZ27)/HZ27</f>
        <v>-3.1315240083507308E-3</v>
      </c>
      <c r="IQ28" s="662">
        <v>3.1315240083507308E-3</v>
      </c>
      <c r="IR28" s="1274">
        <f>+IR27/HZ27-1</f>
        <v>-3.1315240083507057E-3</v>
      </c>
      <c r="IS28" s="1288"/>
      <c r="IT28" s="662">
        <f>(IT27-IE27)/IE27</f>
        <v>6.0000000000000102E-2</v>
      </c>
      <c r="IU28" s="662">
        <f>+IU27/IE27-1</f>
        <v>2.6732907499408487E-2</v>
      </c>
      <c r="IV28" s="662">
        <f>(IV27-IF27)/IF27</f>
        <v>-1.6145261617270399E-2</v>
      </c>
      <c r="IW28" s="662">
        <v>6.0000000000000005E-2</v>
      </c>
      <c r="IX28" s="662">
        <f>(IX27-IG27)/IG27</f>
        <v>4.9303472173771483E-3</v>
      </c>
      <c r="IY28" s="662">
        <v>4.3648456940859011E-2</v>
      </c>
      <c r="IZ28" s="1704">
        <f>(IZ27-IH27)/IH27</f>
        <v>4.829725492812114E-2</v>
      </c>
      <c r="JA28" s="662">
        <f>(JA27-IJ27)/IJ27</f>
        <v>2.274595779665662E-2</v>
      </c>
      <c r="JB28" s="662">
        <f>(JB27-IM27)/IM27</f>
        <v>2.1092362344582592E-2</v>
      </c>
      <c r="JC28" s="662">
        <f>(JC27-IO27)/IO27</f>
        <v>3.6627873754785621E-2</v>
      </c>
      <c r="JD28" s="662">
        <f>(JD27-IR27)/IR27</f>
        <v>2.2356020942408378E-2</v>
      </c>
      <c r="JE28" s="662"/>
      <c r="JF28" s="662">
        <f>(JF27-IM27)/IM27</f>
        <v>2.1092362344582592E-2</v>
      </c>
      <c r="JG28" s="662">
        <f>(JG27-IO27)/IO27</f>
        <v>3.6627873754785621E-2</v>
      </c>
      <c r="JH28" s="1274">
        <f>(JH27-IR27)/IR27</f>
        <v>2.2356020942408378E-2</v>
      </c>
      <c r="JI28" s="1288"/>
      <c r="JJ28" s="1671">
        <f>+JJ29+JJ32</f>
        <v>1.0000000000000009E-2</v>
      </c>
      <c r="JK28" s="1670">
        <f>+JK29+JK32</f>
        <v>0.03</v>
      </c>
      <c r="JL28" s="1670">
        <f>+JL27/IU27-1</f>
        <v>1.3317972350230356E-2</v>
      </c>
      <c r="JM28" s="1670">
        <f t="shared" ref="JM28" si="47">+JM27/IV27-1</f>
        <v>1.0785179675514955E-2</v>
      </c>
      <c r="JN28" s="1670">
        <f>+JN27/IZ27-1</f>
        <v>3.5285882465239116E-2</v>
      </c>
      <c r="JO28" s="1670">
        <f>+JO27/JB27-1</f>
        <v>-1</v>
      </c>
      <c r="JP28" s="1670">
        <f>+JP27/IX27-1</f>
        <v>1.2057115086436365E-2</v>
      </c>
      <c r="JQ28" s="1670">
        <f>+JQ27/JC27-1</f>
        <v>-1</v>
      </c>
      <c r="JR28" s="1670">
        <f>+JR27/JD27-1</f>
        <v>-1</v>
      </c>
      <c r="JS28" s="1670">
        <f>+JS27/JA27-1</f>
        <v>2.1838156484458748E-2</v>
      </c>
      <c r="JT28" s="1670">
        <f t="shared" ref="JT28" si="48">+JT29+JT32</f>
        <v>4.9999999999999906E-3</v>
      </c>
      <c r="JU28" s="495">
        <f>+JU27/JB27-1</f>
        <v>4.9358556207871329E-2</v>
      </c>
      <c r="JV28" s="1670">
        <f>+JV27/IX27-1</f>
        <v>2.2633125824442768E-2</v>
      </c>
      <c r="JW28" s="1670">
        <f>+JW27/JC27-1</f>
        <v>4.1231809495810623E-2</v>
      </c>
      <c r="JX28" s="1670">
        <f>+JX27/JD27-1</f>
        <v>2.8319762380293989E-2</v>
      </c>
      <c r="JY28" s="1670">
        <f>+JY27/JA27-1</f>
        <v>9.2711682743837898E-3</v>
      </c>
      <c r="JZ28" s="662"/>
      <c r="KA28" s="1274"/>
      <c r="KB28" s="1670">
        <f>+KB27/IV27-1</f>
        <v>-2.3243921714471649E-2</v>
      </c>
      <c r="KC28" s="1670">
        <f>+KC27/IX27-1</f>
        <v>-4.8830158987295258E-3</v>
      </c>
      <c r="KD28" s="1670">
        <f>+KD27/JC27-1</f>
        <v>4.7332059385565284E-2</v>
      </c>
      <c r="KE28" s="1670">
        <f>+KE27/JC27-1</f>
        <v>3.3882110833455936E-2</v>
      </c>
      <c r="KF28" s="1670">
        <f>+KF27/JB27-1</f>
        <v>3.1963470319634757E-2</v>
      </c>
      <c r="KG28" s="1670">
        <f>+KG27/JD27-1</f>
        <v>2.422287089670716E-2</v>
      </c>
      <c r="KH28" s="1670">
        <f>+KH27/JD27-1</f>
        <v>2.422287089670716E-2</v>
      </c>
      <c r="KI28" s="1274"/>
      <c r="KJ28" s="662"/>
      <c r="KK28" s="1704">
        <f>(KK27-IM27)/IM27</f>
        <v>0.12611012433392541</v>
      </c>
      <c r="KL28" s="662">
        <f>KL27/IO27-1</f>
        <v>8.1674634768861498E-2</v>
      </c>
      <c r="KM28" s="1670">
        <f>KM27/IR27-1</f>
        <v>4.7120418848167533E-2</v>
      </c>
      <c r="KN28" s="662"/>
      <c r="KO28" s="1670">
        <v>4.653596595269649E-2</v>
      </c>
      <c r="KP28" s="1670">
        <v>6.6646349593341148E-2</v>
      </c>
      <c r="KQ28" s="1686">
        <v>5.7591623036649109E-2</v>
      </c>
      <c r="KR28" s="1670">
        <v>3.1820281820281737E-2</v>
      </c>
      <c r="KS28" s="1686">
        <v>8.3507306889352151E-3</v>
      </c>
      <c r="KT28" s="1266">
        <f>+KT27/HG27-1</f>
        <v>4.6080434981997209E-2</v>
      </c>
      <c r="KU28" s="1670">
        <f>+KU27/HL27-1</f>
        <v>-1.0000000000000009E-2</v>
      </c>
      <c r="KV28" s="1670" t="e">
        <f>+KV27/#REF!-1</f>
        <v>#REF!</v>
      </c>
      <c r="KW28" s="1274">
        <f>+KW27/HZ27-1</f>
        <v>8.3507306889352151E-3</v>
      </c>
      <c r="KX28" s="1670">
        <f>+KX27/GT27-1</f>
        <v>-1.5097338100913738E-2</v>
      </c>
      <c r="KY28" s="1670">
        <f>+KY27/GU27-1</f>
        <v>-1.6881814102056469E-2</v>
      </c>
      <c r="KZ28" s="1274">
        <f>+KZ27/GV27-1</f>
        <v>8.9871119713131886E-3</v>
      </c>
      <c r="LA28" s="1670">
        <f>+LA27/GP27-1</f>
        <v>3.2325338894682032E-2</v>
      </c>
      <c r="LB28" s="1670">
        <f>+LB27/GU27-1</f>
        <v>-2.4576964705261162E-2</v>
      </c>
      <c r="LC28" s="1274">
        <f>+LC27/GV27-1</f>
        <v>-1.5003525828616304E-5</v>
      </c>
      <c r="LD28" s="1274">
        <f>+LD27/LC27-1</f>
        <v>-1</v>
      </c>
      <c r="LE28" s="1670">
        <f>+LE27/GB27-1</f>
        <v>4.7914028543071252E-2</v>
      </c>
      <c r="LF28" s="1670">
        <f>+LF27/GC27-1</f>
        <v>4.5786895719457599E-2</v>
      </c>
      <c r="LG28" s="1274">
        <f>+LG27/GD27-1</f>
        <v>2.8454965901073992E-2</v>
      </c>
    </row>
    <row r="29" spans="1:319" s="1699" customFormat="1" ht="12">
      <c r="A29" s="712"/>
      <c r="B29" s="2361" t="s">
        <v>1397</v>
      </c>
      <c r="C29" s="1705" t="s">
        <v>1397</v>
      </c>
      <c r="D29" s="1020"/>
      <c r="E29" s="712"/>
      <c r="F29" s="712"/>
      <c r="G29" s="1693"/>
      <c r="H29" s="712"/>
      <c r="I29" s="712"/>
      <c r="J29" s="1693"/>
      <c r="K29" s="709"/>
      <c r="L29" s="709"/>
      <c r="M29" s="709"/>
      <c r="N29" s="709"/>
      <c r="O29" s="709"/>
      <c r="P29" s="709"/>
      <c r="Q29" s="709"/>
      <c r="R29" s="709"/>
      <c r="S29" s="1694"/>
      <c r="T29" s="709"/>
      <c r="U29" s="709"/>
      <c r="V29" s="709"/>
      <c r="W29" s="709"/>
      <c r="X29" s="709"/>
      <c r="Y29" s="709"/>
      <c r="Z29" s="709"/>
      <c r="AA29" s="709"/>
      <c r="AB29" s="1694"/>
      <c r="AC29" s="1695"/>
      <c r="AD29" s="1695"/>
      <c r="AE29" s="1695"/>
      <c r="AF29" s="1695"/>
      <c r="AG29" s="1695"/>
      <c r="AH29" s="1695"/>
      <c r="AI29" s="1695"/>
      <c r="AJ29" s="1695"/>
      <c r="AK29" s="1020"/>
      <c r="AL29" s="1695"/>
      <c r="AM29" s="1695"/>
      <c r="AN29" s="1695"/>
      <c r="AO29" s="1695"/>
      <c r="AP29" s="1695"/>
      <c r="AQ29" s="1695"/>
      <c r="AR29" s="1695"/>
      <c r="AS29" s="1695"/>
      <c r="AT29" s="1020"/>
      <c r="AU29" s="1695"/>
      <c r="AV29" s="1695"/>
      <c r="AW29" s="1695"/>
      <c r="AX29" s="1695"/>
      <c r="AY29" s="1695"/>
      <c r="AZ29" s="1695"/>
      <c r="BA29" s="1695"/>
      <c r="BB29" s="725"/>
      <c r="BC29" s="725"/>
      <c r="BD29" s="1695"/>
      <c r="BE29" s="1695"/>
      <c r="BF29" s="1020"/>
      <c r="BG29" s="1695"/>
      <c r="BH29" s="1695"/>
      <c r="BI29" s="1695"/>
      <c r="BJ29" s="1020"/>
      <c r="BK29" s="712"/>
      <c r="BL29" s="712"/>
      <c r="BM29" s="712"/>
      <c r="BN29" s="712"/>
      <c r="BO29" s="1020"/>
      <c r="BP29" s="1695"/>
      <c r="BQ29" s="1695"/>
      <c r="BR29" s="1695"/>
      <c r="BS29" s="1695"/>
      <c r="BT29" s="1695"/>
      <c r="BU29" s="1695"/>
      <c r="BV29" s="1695"/>
      <c r="BW29" s="1695"/>
      <c r="BX29" s="725"/>
      <c r="BY29" s="725"/>
      <c r="BZ29" s="1695"/>
      <c r="CA29" s="1695"/>
      <c r="CB29" s="1695"/>
      <c r="CC29" s="1695"/>
      <c r="CD29" s="1695"/>
      <c r="CE29" s="1695"/>
      <c r="CF29" s="1020"/>
      <c r="CG29" s="727"/>
      <c r="CH29" s="666"/>
      <c r="CI29" s="666"/>
      <c r="CJ29" s="704"/>
      <c r="CK29" s="704"/>
      <c r="CL29" s="704"/>
      <c r="CM29" s="704"/>
      <c r="CN29" s="666"/>
      <c r="CO29" s="704"/>
      <c r="CP29" s="704"/>
      <c r="CQ29" s="712"/>
      <c r="CR29" s="666"/>
      <c r="CS29" s="666"/>
      <c r="CT29" s="666"/>
      <c r="CU29" s="666"/>
      <c r="CV29" s="748"/>
      <c r="CW29" s="1696"/>
      <c r="CX29" s="704"/>
      <c r="CY29" s="704"/>
      <c r="CZ29" s="704"/>
      <c r="DA29" s="704"/>
      <c r="DB29" s="704"/>
      <c r="DC29" s="704"/>
      <c r="DD29" s="704"/>
      <c r="DE29" s="704"/>
      <c r="DF29" s="704"/>
      <c r="DG29" s="704"/>
      <c r="DH29" s="704"/>
      <c r="DI29" s="704"/>
      <c r="DJ29" s="704"/>
      <c r="DK29" s="704"/>
      <c r="DL29" s="1685"/>
      <c r="DM29" s="1685"/>
      <c r="DN29" s="725"/>
      <c r="DO29" s="725"/>
      <c r="DP29" s="662"/>
      <c r="DQ29" s="662"/>
      <c r="DR29" s="662"/>
      <c r="DS29" s="1274"/>
      <c r="DT29" s="1685"/>
      <c r="DU29" s="725"/>
      <c r="DV29" s="725"/>
      <c r="DW29" s="704"/>
      <c r="DX29" s="662"/>
      <c r="DY29" s="662"/>
      <c r="DZ29" s="1020"/>
      <c r="EB29" s="704"/>
      <c r="EC29" s="662"/>
      <c r="ED29" s="1697"/>
      <c r="EE29" s="1020"/>
      <c r="EF29" s="712"/>
      <c r="EG29" s="727"/>
      <c r="EH29" s="666"/>
      <c r="EI29" s="666"/>
      <c r="EJ29" s="666"/>
      <c r="EK29" s="666"/>
      <c r="EL29" s="666"/>
      <c r="EM29" s="666"/>
      <c r="EN29" s="666"/>
      <c r="EO29" s="666"/>
      <c r="EP29" s="666"/>
      <c r="EQ29" s="666"/>
      <c r="ER29" s="666"/>
      <c r="ES29" s="666"/>
      <c r="ET29" s="666"/>
      <c r="EU29" s="1700"/>
      <c r="EV29" s="1274"/>
      <c r="EW29" s="617"/>
      <c r="EX29" s="617"/>
      <c r="EY29" s="617"/>
      <c r="EZ29" s="617"/>
      <c r="FA29" s="617"/>
      <c r="FB29" s="617"/>
      <c r="FC29" s="617"/>
      <c r="FD29" s="617"/>
      <c r="FE29" s="617"/>
      <c r="FF29" s="617"/>
      <c r="FG29" s="666"/>
      <c r="FH29" s="617"/>
      <c r="FI29" s="617"/>
      <c r="FJ29" s="617"/>
      <c r="FK29" s="1700"/>
      <c r="FL29" s="1685"/>
      <c r="FM29" s="725"/>
      <c r="FN29" s="662"/>
      <c r="FO29" s="1670"/>
      <c r="FP29" s="1266"/>
      <c r="FQ29" s="1274"/>
      <c r="FR29" s="1274"/>
      <c r="FS29" s="617"/>
      <c r="FT29" s="662"/>
      <c r="FU29" s="662"/>
      <c r="FV29" s="617"/>
      <c r="FW29" s="662"/>
      <c r="FX29" s="662"/>
      <c r="FY29" s="617"/>
      <c r="FZ29" s="617"/>
      <c r="GA29" s="617"/>
      <c r="GB29" s="617"/>
      <c r="GC29" s="617"/>
      <c r="GD29" s="1677"/>
      <c r="GE29" s="617"/>
      <c r="GF29" s="617"/>
      <c r="GG29" s="617"/>
      <c r="GH29" s="662"/>
      <c r="GI29" s="662"/>
      <c r="GJ29" s="1689"/>
      <c r="GK29" s="662"/>
      <c r="GL29" s="662"/>
      <c r="GM29" s="662"/>
      <c r="GN29" s="662"/>
      <c r="GO29" s="662"/>
      <c r="GP29" s="662"/>
      <c r="GQ29" s="662"/>
      <c r="GR29" s="617"/>
      <c r="GS29" s="617"/>
      <c r="GT29" s="617"/>
      <c r="GU29" s="617"/>
      <c r="GV29" s="1677"/>
      <c r="GW29" s="617"/>
      <c r="GX29" s="662"/>
      <c r="GY29" s="662"/>
      <c r="GZ29" s="662"/>
      <c r="HA29" s="1689"/>
      <c r="HB29" s="662"/>
      <c r="HC29" s="662"/>
      <c r="HD29" s="662"/>
      <c r="HE29" s="662"/>
      <c r="HF29" s="662"/>
      <c r="HG29" s="662"/>
      <c r="HH29" s="662"/>
      <c r="HI29" s="662"/>
      <c r="HJ29" s="662"/>
      <c r="HK29" s="662"/>
      <c r="HL29" s="662"/>
      <c r="HM29" s="662"/>
      <c r="HN29" s="1701"/>
      <c r="HO29" s="1701"/>
      <c r="HP29" s="617"/>
      <c r="HQ29" s="617"/>
      <c r="HR29" s="617"/>
      <c r="HS29" s="617"/>
      <c r="HT29" s="617"/>
      <c r="HU29" s="617"/>
      <c r="HV29" s="617"/>
      <c r="HW29" s="662"/>
      <c r="HX29" s="662"/>
      <c r="HY29" s="662"/>
      <c r="HZ29" s="617"/>
      <c r="IA29" s="662"/>
      <c r="IB29" s="662"/>
      <c r="IC29" s="1689"/>
      <c r="ID29" s="662"/>
      <c r="IE29" s="1288"/>
      <c r="IF29" s="662"/>
      <c r="IG29" s="662"/>
      <c r="IH29" s="662"/>
      <c r="II29" s="662"/>
      <c r="IJ29" s="662"/>
      <c r="IK29" s="662"/>
      <c r="IL29" s="662"/>
      <c r="IM29" s="662"/>
      <c r="IN29" s="662"/>
      <c r="IO29" s="662"/>
      <c r="IP29" s="1274"/>
      <c r="IQ29" s="662"/>
      <c r="IR29" s="1274"/>
      <c r="IS29" s="1288"/>
      <c r="IT29" s="662"/>
      <c r="IU29" s="662">
        <v>-0.03</v>
      </c>
      <c r="IV29" s="662">
        <v>-0.1</v>
      </c>
      <c r="IW29" s="662">
        <v>-0.06</v>
      </c>
      <c r="IX29" s="662">
        <v>-0.06</v>
      </c>
      <c r="IY29" s="662"/>
      <c r="IZ29" s="794">
        <v>-0.03</v>
      </c>
      <c r="JA29" s="794">
        <v>-0.05</v>
      </c>
      <c r="JB29" s="794">
        <v>-0.05</v>
      </c>
      <c r="JC29" s="794">
        <v>-0.04</v>
      </c>
      <c r="JD29" s="794">
        <v>-0.05</v>
      </c>
      <c r="JE29" s="662"/>
      <c r="JF29" s="662"/>
      <c r="JG29" s="662"/>
      <c r="JH29" s="1274"/>
      <c r="JI29" s="1288"/>
      <c r="JJ29" s="1288">
        <f>+JJ30/2+JJ31/2</f>
        <v>-0.06</v>
      </c>
      <c r="JK29" s="662">
        <f>+JK30/2+JK31/2</f>
        <v>-0.05</v>
      </c>
      <c r="JL29" s="662">
        <v>-0.03</v>
      </c>
      <c r="JM29" s="662">
        <v>-7.0000000000000007E-2</v>
      </c>
      <c r="JN29" s="662">
        <v>-0.06</v>
      </c>
      <c r="JO29" s="662"/>
      <c r="JP29" s="662">
        <v>-0.05</v>
      </c>
      <c r="JQ29" s="662"/>
      <c r="JR29" s="662"/>
      <c r="JS29" s="662">
        <v>-0.05</v>
      </c>
      <c r="JT29" s="662">
        <f t="shared" ref="JT29:JU29" si="49">+JT30/2+JT31/2</f>
        <v>-7.0000000000000007E-2</v>
      </c>
      <c r="JU29" s="662">
        <f t="shared" si="49"/>
        <v>-4.7500000000000001E-2</v>
      </c>
      <c r="JV29" s="1641">
        <f>+JL29/2+JK29/2</f>
        <v>-0.04</v>
      </c>
      <c r="JW29" s="1641">
        <f>+JU29/2+JN29/2</f>
        <v>-5.3749999999999999E-2</v>
      </c>
      <c r="JX29" s="1641">
        <f>+JP29/2+JW29/2</f>
        <v>-5.1875000000000004E-2</v>
      </c>
      <c r="JY29" s="1641"/>
      <c r="JZ29" s="662"/>
      <c r="KA29" s="1274"/>
      <c r="KB29" s="662"/>
      <c r="KC29" s="662"/>
      <c r="KD29" s="662"/>
      <c r="KE29" s="662"/>
      <c r="KF29" s="662"/>
      <c r="KG29" s="1654" t="s">
        <v>1437</v>
      </c>
      <c r="KH29" s="1654" t="s">
        <v>1437</v>
      </c>
      <c r="KI29" s="1274"/>
      <c r="KJ29" s="662"/>
      <c r="KK29" s="662"/>
      <c r="KL29" s="1706">
        <f>KM29*2-IX29</f>
        <v>-2.0000000000000004E-2</v>
      </c>
      <c r="KM29" s="1266">
        <v>-0.04</v>
      </c>
      <c r="KN29" s="662"/>
      <c r="KO29" s="1670"/>
      <c r="KP29" s="1670"/>
      <c r="KQ29" s="1686">
        <v>-2.2408376963350893E-2</v>
      </c>
      <c r="KR29" s="1670"/>
      <c r="KS29" s="1686"/>
      <c r="KT29" s="1266"/>
      <c r="KU29" s="1670"/>
      <c r="KV29" s="1670"/>
      <c r="KW29" s="1274"/>
      <c r="KX29" s="1670"/>
      <c r="KY29" s="1670"/>
      <c r="KZ29" s="1274"/>
      <c r="LA29" s="1670"/>
      <c r="LB29" s="1670"/>
      <c r="LC29" s="1274"/>
      <c r="LD29" s="1274"/>
      <c r="LE29" s="1670"/>
      <c r="LF29" s="1670"/>
      <c r="LG29" s="1274"/>
    </row>
    <row r="30" spans="1:319" s="1699" customFormat="1" ht="12">
      <c r="A30" s="712"/>
      <c r="B30" s="1692" t="s">
        <v>1558</v>
      </c>
      <c r="C30" s="1705" t="s">
        <v>665</v>
      </c>
      <c r="D30" s="1020"/>
      <c r="E30" s="712"/>
      <c r="F30" s="712"/>
      <c r="G30" s="1693"/>
      <c r="H30" s="712"/>
      <c r="I30" s="712"/>
      <c r="J30" s="1693"/>
      <c r="K30" s="709"/>
      <c r="L30" s="709"/>
      <c r="M30" s="709"/>
      <c r="N30" s="709"/>
      <c r="O30" s="709"/>
      <c r="P30" s="709"/>
      <c r="Q30" s="709"/>
      <c r="R30" s="709"/>
      <c r="S30" s="1694"/>
      <c r="T30" s="709"/>
      <c r="U30" s="709"/>
      <c r="V30" s="709"/>
      <c r="W30" s="709"/>
      <c r="X30" s="709"/>
      <c r="Y30" s="709"/>
      <c r="Z30" s="709"/>
      <c r="AA30" s="709"/>
      <c r="AB30" s="1694"/>
      <c r="AC30" s="1695"/>
      <c r="AD30" s="1695"/>
      <c r="AE30" s="1695"/>
      <c r="AF30" s="1695"/>
      <c r="AG30" s="1695"/>
      <c r="AH30" s="1695"/>
      <c r="AI30" s="1695"/>
      <c r="AJ30" s="1695"/>
      <c r="AK30" s="1020"/>
      <c r="AL30" s="1695"/>
      <c r="AM30" s="1695"/>
      <c r="AN30" s="1695"/>
      <c r="AO30" s="1695"/>
      <c r="AP30" s="1695"/>
      <c r="AQ30" s="1695"/>
      <c r="AR30" s="1695"/>
      <c r="AS30" s="1695"/>
      <c r="AT30" s="1020"/>
      <c r="AU30" s="1695"/>
      <c r="AV30" s="1695"/>
      <c r="AW30" s="1695"/>
      <c r="AX30" s="1695"/>
      <c r="AY30" s="1695"/>
      <c r="AZ30" s="1695"/>
      <c r="BA30" s="1695"/>
      <c r="BB30" s="725"/>
      <c r="BC30" s="725"/>
      <c r="BD30" s="1695"/>
      <c r="BE30" s="1695"/>
      <c r="BF30" s="1020"/>
      <c r="BG30" s="1695"/>
      <c r="BH30" s="1695"/>
      <c r="BI30" s="1695"/>
      <c r="BJ30" s="1020"/>
      <c r="BK30" s="712"/>
      <c r="BL30" s="712"/>
      <c r="BM30" s="712"/>
      <c r="BN30" s="712"/>
      <c r="BO30" s="1020"/>
      <c r="BP30" s="1695"/>
      <c r="BQ30" s="1695"/>
      <c r="BR30" s="1695"/>
      <c r="BS30" s="1695"/>
      <c r="BT30" s="1695"/>
      <c r="BU30" s="1695"/>
      <c r="BV30" s="1695"/>
      <c r="BW30" s="1695"/>
      <c r="BX30" s="725"/>
      <c r="BY30" s="725"/>
      <c r="BZ30" s="1695"/>
      <c r="CA30" s="1695"/>
      <c r="CB30" s="1695"/>
      <c r="CC30" s="1695"/>
      <c r="CD30" s="1695"/>
      <c r="CE30" s="1695"/>
      <c r="CF30" s="1020"/>
      <c r="CG30" s="727"/>
      <c r="CH30" s="666"/>
      <c r="CI30" s="666"/>
      <c r="CJ30" s="704"/>
      <c r="CK30" s="704"/>
      <c r="CL30" s="704"/>
      <c r="CM30" s="704"/>
      <c r="CN30" s="666"/>
      <c r="CO30" s="704"/>
      <c r="CP30" s="704"/>
      <c r="CQ30" s="712"/>
      <c r="CR30" s="666"/>
      <c r="CS30" s="666"/>
      <c r="CT30" s="666"/>
      <c r="CU30" s="666"/>
      <c r="CV30" s="748"/>
      <c r="CW30" s="1696"/>
      <c r="CX30" s="704"/>
      <c r="CY30" s="704"/>
      <c r="CZ30" s="704"/>
      <c r="DA30" s="704"/>
      <c r="DB30" s="704"/>
      <c r="DC30" s="704"/>
      <c r="DD30" s="704"/>
      <c r="DE30" s="704"/>
      <c r="DF30" s="704"/>
      <c r="DG30" s="704"/>
      <c r="DH30" s="704"/>
      <c r="DI30" s="704"/>
      <c r="DJ30" s="704"/>
      <c r="DK30" s="704"/>
      <c r="DL30" s="1685"/>
      <c r="DM30" s="1685"/>
      <c r="DN30" s="725"/>
      <c r="DO30" s="725"/>
      <c r="DP30" s="662"/>
      <c r="DQ30" s="662"/>
      <c r="DR30" s="662"/>
      <c r="DS30" s="1274"/>
      <c r="DT30" s="1685"/>
      <c r="DU30" s="725"/>
      <c r="DV30" s="725"/>
      <c r="DW30" s="704"/>
      <c r="DX30" s="662"/>
      <c r="DY30" s="662"/>
      <c r="DZ30" s="1020"/>
      <c r="EB30" s="704"/>
      <c r="EC30" s="662"/>
      <c r="ED30" s="1697"/>
      <c r="EE30" s="1020"/>
      <c r="EF30" s="712"/>
      <c r="EG30" s="727"/>
      <c r="EH30" s="666"/>
      <c r="EI30" s="666"/>
      <c r="EJ30" s="666"/>
      <c r="EK30" s="666"/>
      <c r="EL30" s="666"/>
      <c r="EM30" s="666"/>
      <c r="EN30" s="666"/>
      <c r="EO30" s="666"/>
      <c r="EP30" s="666"/>
      <c r="EQ30" s="666"/>
      <c r="ER30" s="666"/>
      <c r="ES30" s="666"/>
      <c r="ET30" s="666"/>
      <c r="EU30" s="1700"/>
      <c r="EV30" s="1274"/>
      <c r="EW30" s="617"/>
      <c r="EX30" s="617"/>
      <c r="EY30" s="617"/>
      <c r="EZ30" s="617"/>
      <c r="FA30" s="617"/>
      <c r="FB30" s="617"/>
      <c r="FC30" s="617"/>
      <c r="FD30" s="617"/>
      <c r="FE30" s="617"/>
      <c r="FF30" s="617"/>
      <c r="FG30" s="666"/>
      <c r="FH30" s="617"/>
      <c r="FI30" s="617"/>
      <c r="FJ30" s="617"/>
      <c r="FK30" s="1700"/>
      <c r="FL30" s="1685"/>
      <c r="FM30" s="725"/>
      <c r="FN30" s="662"/>
      <c r="FO30" s="1670"/>
      <c r="FP30" s="1266"/>
      <c r="FQ30" s="1274"/>
      <c r="FR30" s="1274"/>
      <c r="FS30" s="617"/>
      <c r="FT30" s="662"/>
      <c r="FU30" s="662"/>
      <c r="FV30" s="617"/>
      <c r="FW30" s="662"/>
      <c r="FX30" s="662"/>
      <c r="FY30" s="617"/>
      <c r="FZ30" s="617"/>
      <c r="GA30" s="617"/>
      <c r="GB30" s="617"/>
      <c r="GC30" s="617"/>
      <c r="GD30" s="1677"/>
      <c r="GE30" s="617"/>
      <c r="GF30" s="617"/>
      <c r="GG30" s="617"/>
      <c r="GH30" s="662"/>
      <c r="GI30" s="662"/>
      <c r="GJ30" s="1689"/>
      <c r="GK30" s="662"/>
      <c r="GL30" s="662"/>
      <c r="GM30" s="662"/>
      <c r="GN30" s="662"/>
      <c r="GO30" s="662"/>
      <c r="GP30" s="662"/>
      <c r="GQ30" s="662"/>
      <c r="GR30" s="617"/>
      <c r="GS30" s="617"/>
      <c r="GT30" s="617"/>
      <c r="GU30" s="617"/>
      <c r="GV30" s="1677"/>
      <c r="GW30" s="617"/>
      <c r="GX30" s="662"/>
      <c r="GY30" s="662"/>
      <c r="GZ30" s="662"/>
      <c r="HA30" s="1689"/>
      <c r="HB30" s="662"/>
      <c r="HC30" s="662"/>
      <c r="HD30" s="662"/>
      <c r="HE30" s="662"/>
      <c r="HF30" s="662"/>
      <c r="HG30" s="662"/>
      <c r="HH30" s="662"/>
      <c r="HI30" s="662"/>
      <c r="HJ30" s="662"/>
      <c r="HK30" s="662"/>
      <c r="HL30" s="662"/>
      <c r="HM30" s="662"/>
      <c r="HN30" s="1701"/>
      <c r="HO30" s="1701"/>
      <c r="HP30" s="617"/>
      <c r="HQ30" s="617"/>
      <c r="HR30" s="617"/>
      <c r="HS30" s="617"/>
      <c r="HT30" s="617"/>
      <c r="HU30" s="617"/>
      <c r="HV30" s="617"/>
      <c r="HW30" s="662"/>
      <c r="HX30" s="662"/>
      <c r="HY30" s="662"/>
      <c r="HZ30" s="617"/>
      <c r="IA30" s="662"/>
      <c r="IB30" s="662"/>
      <c r="IC30" s="1689"/>
      <c r="ID30" s="662"/>
      <c r="IE30" s="1288"/>
      <c r="IF30" s="662"/>
      <c r="IG30" s="662"/>
      <c r="IH30" s="662"/>
      <c r="II30" s="662"/>
      <c r="IJ30" s="662"/>
      <c r="IK30" s="662"/>
      <c r="IL30" s="662"/>
      <c r="IM30" s="662"/>
      <c r="IN30" s="662"/>
      <c r="IO30" s="662"/>
      <c r="IP30" s="1274"/>
      <c r="IQ30" s="662"/>
      <c r="IR30" s="1274"/>
      <c r="IS30" s="1288"/>
      <c r="IT30" s="662"/>
      <c r="IU30" s="662">
        <v>0.18</v>
      </c>
      <c r="IV30" s="662">
        <v>-0.06</v>
      </c>
      <c r="IW30" s="662"/>
      <c r="IX30" s="662">
        <v>0.06</v>
      </c>
      <c r="IY30" s="662"/>
      <c r="IZ30" s="794">
        <v>-0.05</v>
      </c>
      <c r="JA30" s="794">
        <v>0.01</v>
      </c>
      <c r="JB30" s="794">
        <v>-0.14000000000000001</v>
      </c>
      <c r="JC30" s="794">
        <v>-0.09</v>
      </c>
      <c r="JD30" s="794">
        <v>-0.03</v>
      </c>
      <c r="JE30" s="662"/>
      <c r="JF30" s="662"/>
      <c r="JG30" s="662"/>
      <c r="JH30" s="1274"/>
      <c r="JI30" s="1288"/>
      <c r="JJ30" s="1672">
        <v>-0.06</v>
      </c>
      <c r="JK30" s="1673">
        <v>-0.05</v>
      </c>
      <c r="JL30" s="2241">
        <v>-0.15</v>
      </c>
      <c r="JM30" s="2241">
        <v>-0.11</v>
      </c>
      <c r="JN30" s="2241">
        <v>-0.03</v>
      </c>
      <c r="JO30" s="2241"/>
      <c r="JP30" s="2241">
        <v>-0.13</v>
      </c>
      <c r="JQ30" s="2241"/>
      <c r="JR30" s="2241"/>
      <c r="JS30" s="2241">
        <v>-0.09</v>
      </c>
      <c r="JT30" s="1673">
        <v>-0.09</v>
      </c>
      <c r="JU30" s="1673">
        <v>-0.04</v>
      </c>
      <c r="JV30" s="1641">
        <f>+JL30/2+JK30/2</f>
        <v>-0.1</v>
      </c>
      <c r="JW30" s="1641">
        <f>+JU30/2+JN30/2</f>
        <v>-3.5000000000000003E-2</v>
      </c>
      <c r="JX30" s="1641">
        <f>+JP30/2+JW30/2</f>
        <v>-8.2500000000000004E-2</v>
      </c>
      <c r="JY30" s="1641"/>
      <c r="JZ30" s="662"/>
      <c r="KA30" s="1274"/>
      <c r="KB30" s="662"/>
      <c r="KC30" s="662">
        <v>-0.02</v>
      </c>
      <c r="KD30" s="662">
        <f>+KH30*2-KC30</f>
        <v>-0.08</v>
      </c>
      <c r="KE30" s="662">
        <f>+KG30*2-JP30</f>
        <v>0.03</v>
      </c>
      <c r="KF30" s="662"/>
      <c r="KG30" s="662" t="s">
        <v>1437</v>
      </c>
      <c r="KH30" s="662" t="s">
        <v>1437</v>
      </c>
      <c r="KI30" s="1274"/>
      <c r="KJ30" s="662"/>
      <c r="KK30" s="662"/>
      <c r="KL30" s="662"/>
      <c r="KM30" s="1266"/>
      <c r="KN30" s="662"/>
      <c r="KO30" s="1670"/>
      <c r="KP30" s="1670"/>
      <c r="KQ30" s="1686"/>
      <c r="KR30" s="1670"/>
      <c r="KS30" s="1686"/>
      <c r="KT30" s="1266"/>
      <c r="KU30" s="1670"/>
      <c r="KV30" s="1670"/>
      <c r="KW30" s="1274"/>
      <c r="KX30" s="1670"/>
      <c r="KY30" s="1670"/>
      <c r="KZ30" s="1274"/>
      <c r="LA30" s="1670"/>
      <c r="LB30" s="1670"/>
      <c r="LC30" s="1274"/>
      <c r="LD30" s="1274"/>
      <c r="LE30" s="1670"/>
      <c r="LF30" s="1670"/>
      <c r="LG30" s="1274"/>
    </row>
    <row r="31" spans="1:319" s="1699" customFormat="1" ht="12">
      <c r="A31" s="712"/>
      <c r="B31" s="1692" t="s">
        <v>1559</v>
      </c>
      <c r="C31" s="1705" t="s">
        <v>663</v>
      </c>
      <c r="D31" s="1020"/>
      <c r="E31" s="712"/>
      <c r="F31" s="712"/>
      <c r="G31" s="1693"/>
      <c r="H31" s="712"/>
      <c r="I31" s="712"/>
      <c r="J31" s="1693"/>
      <c r="K31" s="709"/>
      <c r="L31" s="709"/>
      <c r="M31" s="709"/>
      <c r="N31" s="709"/>
      <c r="O31" s="709"/>
      <c r="P31" s="709"/>
      <c r="Q31" s="709"/>
      <c r="R31" s="709"/>
      <c r="S31" s="1694"/>
      <c r="T31" s="709"/>
      <c r="U31" s="709"/>
      <c r="V31" s="709"/>
      <c r="W31" s="709"/>
      <c r="X31" s="709"/>
      <c r="Y31" s="709"/>
      <c r="Z31" s="709"/>
      <c r="AA31" s="709"/>
      <c r="AB31" s="1694"/>
      <c r="AC31" s="1695"/>
      <c r="AD31" s="1695"/>
      <c r="AE31" s="1695"/>
      <c r="AF31" s="1695"/>
      <c r="AG31" s="1695"/>
      <c r="AH31" s="1695"/>
      <c r="AI31" s="1695"/>
      <c r="AJ31" s="1695"/>
      <c r="AK31" s="1020"/>
      <c r="AL31" s="1695"/>
      <c r="AM31" s="1695"/>
      <c r="AN31" s="1695"/>
      <c r="AO31" s="1695"/>
      <c r="AP31" s="1695"/>
      <c r="AQ31" s="1695"/>
      <c r="AR31" s="1695"/>
      <c r="AS31" s="1695"/>
      <c r="AT31" s="1020"/>
      <c r="AU31" s="1695"/>
      <c r="AV31" s="1695"/>
      <c r="AW31" s="1695"/>
      <c r="AX31" s="1695"/>
      <c r="AY31" s="1695"/>
      <c r="AZ31" s="1695"/>
      <c r="BA31" s="1695"/>
      <c r="BB31" s="725"/>
      <c r="BC31" s="725"/>
      <c r="BD31" s="1695"/>
      <c r="BE31" s="1695"/>
      <c r="BF31" s="1020"/>
      <c r="BG31" s="1695"/>
      <c r="BH31" s="1695"/>
      <c r="BI31" s="1695"/>
      <c r="BJ31" s="1020"/>
      <c r="BK31" s="712"/>
      <c r="BL31" s="712"/>
      <c r="BM31" s="712"/>
      <c r="BN31" s="712"/>
      <c r="BO31" s="1020"/>
      <c r="BP31" s="1695"/>
      <c r="BQ31" s="1695"/>
      <c r="BR31" s="1695"/>
      <c r="BS31" s="1695"/>
      <c r="BT31" s="1695"/>
      <c r="BU31" s="1695"/>
      <c r="BV31" s="1695"/>
      <c r="BW31" s="1695"/>
      <c r="BX31" s="725"/>
      <c r="BY31" s="725"/>
      <c r="BZ31" s="1695"/>
      <c r="CA31" s="1695"/>
      <c r="CB31" s="1695"/>
      <c r="CC31" s="1695"/>
      <c r="CD31" s="1695"/>
      <c r="CE31" s="1695"/>
      <c r="CF31" s="1020"/>
      <c r="CG31" s="727"/>
      <c r="CH31" s="666"/>
      <c r="CI31" s="666"/>
      <c r="CJ31" s="704"/>
      <c r="CK31" s="704"/>
      <c r="CL31" s="704"/>
      <c r="CM31" s="704"/>
      <c r="CN31" s="666"/>
      <c r="CO31" s="704"/>
      <c r="CP31" s="704"/>
      <c r="CQ31" s="712"/>
      <c r="CR31" s="666"/>
      <c r="CS31" s="666"/>
      <c r="CT31" s="666"/>
      <c r="CU31" s="666"/>
      <c r="CV31" s="748"/>
      <c r="CW31" s="1696"/>
      <c r="CX31" s="704"/>
      <c r="CY31" s="704"/>
      <c r="CZ31" s="704"/>
      <c r="DA31" s="704"/>
      <c r="DB31" s="704"/>
      <c r="DC31" s="704"/>
      <c r="DD31" s="704"/>
      <c r="DE31" s="704"/>
      <c r="DF31" s="704"/>
      <c r="DG31" s="704"/>
      <c r="DH31" s="704"/>
      <c r="DI31" s="704"/>
      <c r="DJ31" s="704"/>
      <c r="DK31" s="704"/>
      <c r="DL31" s="1685"/>
      <c r="DM31" s="1685"/>
      <c r="DN31" s="725"/>
      <c r="DO31" s="725"/>
      <c r="DP31" s="662"/>
      <c r="DQ31" s="662"/>
      <c r="DR31" s="662"/>
      <c r="DS31" s="1274"/>
      <c r="DT31" s="1685"/>
      <c r="DU31" s="725"/>
      <c r="DV31" s="725"/>
      <c r="DW31" s="704"/>
      <c r="DX31" s="662"/>
      <c r="DY31" s="662"/>
      <c r="DZ31" s="1020"/>
      <c r="EB31" s="704"/>
      <c r="EC31" s="662"/>
      <c r="ED31" s="1697"/>
      <c r="EE31" s="1020"/>
      <c r="EF31" s="712"/>
      <c r="EG31" s="727"/>
      <c r="EH31" s="666"/>
      <c r="EI31" s="666"/>
      <c r="EJ31" s="666"/>
      <c r="EK31" s="666"/>
      <c r="EL31" s="666"/>
      <c r="EM31" s="666"/>
      <c r="EN31" s="666"/>
      <c r="EO31" s="666"/>
      <c r="EP31" s="666"/>
      <c r="EQ31" s="666"/>
      <c r="ER31" s="666"/>
      <c r="ES31" s="666"/>
      <c r="ET31" s="666"/>
      <c r="EU31" s="1700"/>
      <c r="EV31" s="1274"/>
      <c r="EW31" s="617"/>
      <c r="EX31" s="617"/>
      <c r="EY31" s="617"/>
      <c r="EZ31" s="617"/>
      <c r="FA31" s="617"/>
      <c r="FB31" s="617"/>
      <c r="FC31" s="617"/>
      <c r="FD31" s="617"/>
      <c r="FE31" s="617"/>
      <c r="FF31" s="617"/>
      <c r="FG31" s="666"/>
      <c r="FH31" s="617"/>
      <c r="FI31" s="617"/>
      <c r="FJ31" s="617"/>
      <c r="FK31" s="1700"/>
      <c r="FL31" s="1685"/>
      <c r="FM31" s="725"/>
      <c r="FN31" s="662"/>
      <c r="FO31" s="1670"/>
      <c r="FP31" s="1266"/>
      <c r="FQ31" s="1274"/>
      <c r="FR31" s="1274"/>
      <c r="FS31" s="617"/>
      <c r="FT31" s="662"/>
      <c r="FU31" s="662"/>
      <c r="FV31" s="617"/>
      <c r="FW31" s="662"/>
      <c r="FX31" s="662"/>
      <c r="FY31" s="617"/>
      <c r="FZ31" s="617"/>
      <c r="GA31" s="617"/>
      <c r="GB31" s="617"/>
      <c r="GC31" s="617"/>
      <c r="GD31" s="1677"/>
      <c r="GE31" s="617"/>
      <c r="GF31" s="617"/>
      <c r="GG31" s="617"/>
      <c r="GH31" s="662"/>
      <c r="GI31" s="662"/>
      <c r="GJ31" s="1689"/>
      <c r="GK31" s="662"/>
      <c r="GL31" s="662"/>
      <c r="GM31" s="662"/>
      <c r="GN31" s="662"/>
      <c r="GO31" s="662"/>
      <c r="GP31" s="662"/>
      <c r="GQ31" s="662"/>
      <c r="GR31" s="617"/>
      <c r="GS31" s="617"/>
      <c r="GT31" s="617"/>
      <c r="GU31" s="617"/>
      <c r="GV31" s="1677"/>
      <c r="GW31" s="617"/>
      <c r="GX31" s="662"/>
      <c r="GY31" s="662"/>
      <c r="GZ31" s="662"/>
      <c r="HA31" s="1689"/>
      <c r="HB31" s="662"/>
      <c r="HC31" s="662"/>
      <c r="HD31" s="662"/>
      <c r="HE31" s="662"/>
      <c r="HF31" s="662"/>
      <c r="HG31" s="662"/>
      <c r="HH31" s="662"/>
      <c r="HI31" s="662"/>
      <c r="HJ31" s="662"/>
      <c r="HK31" s="662"/>
      <c r="HL31" s="662"/>
      <c r="HM31" s="662"/>
      <c r="HN31" s="1701"/>
      <c r="HO31" s="1701"/>
      <c r="HP31" s="617"/>
      <c r="HQ31" s="617"/>
      <c r="HR31" s="617"/>
      <c r="HS31" s="617"/>
      <c r="HT31" s="617"/>
      <c r="HU31" s="617"/>
      <c r="HV31" s="617"/>
      <c r="HW31" s="662"/>
      <c r="HX31" s="662"/>
      <c r="HY31" s="662"/>
      <c r="HZ31" s="617"/>
      <c r="IA31" s="662"/>
      <c r="IB31" s="662"/>
      <c r="IC31" s="1689"/>
      <c r="ID31" s="662"/>
      <c r="IE31" s="1288"/>
      <c r="IF31" s="662"/>
      <c r="IG31" s="662"/>
      <c r="IH31" s="662"/>
      <c r="II31" s="662"/>
      <c r="IJ31" s="662"/>
      <c r="IK31" s="662"/>
      <c r="IL31" s="662"/>
      <c r="IM31" s="662"/>
      <c r="IN31" s="662"/>
      <c r="IO31" s="662"/>
      <c r="IP31" s="1274"/>
      <c r="IQ31" s="662"/>
      <c r="IR31" s="1274"/>
      <c r="IS31" s="1288"/>
      <c r="IT31" s="662"/>
      <c r="IU31" s="662">
        <v>-0.06</v>
      </c>
      <c r="IV31" s="662">
        <v>-0.1</v>
      </c>
      <c r="IW31" s="662"/>
      <c r="IX31" s="662">
        <v>-0.08</v>
      </c>
      <c r="IY31" s="662"/>
      <c r="IZ31" s="794">
        <v>-0.03</v>
      </c>
      <c r="JA31" s="794">
        <v>-0.06</v>
      </c>
      <c r="JB31" s="794">
        <v>-0.03</v>
      </c>
      <c r="JC31" s="794">
        <v>-0.03</v>
      </c>
      <c r="JD31" s="794">
        <v>-0.05</v>
      </c>
      <c r="JE31" s="662"/>
      <c r="JF31" s="662"/>
      <c r="JG31" s="662"/>
      <c r="JH31" s="1274"/>
      <c r="JI31" s="1288"/>
      <c r="JJ31" s="1672">
        <v>-0.06</v>
      </c>
      <c r="JK31" s="1673">
        <v>-0.05</v>
      </c>
      <c r="JL31" s="2241">
        <v>-0.01</v>
      </c>
      <c r="JM31" s="2241">
        <v>-0.06</v>
      </c>
      <c r="JN31" s="2241">
        <v>-0.06</v>
      </c>
      <c r="JO31" s="2241"/>
      <c r="JP31" s="2241">
        <v>-0.03</v>
      </c>
      <c r="JQ31" s="2241"/>
      <c r="JR31" s="2241"/>
      <c r="JS31" s="2241">
        <v>-0.05</v>
      </c>
      <c r="JT31" s="1673">
        <v>-0.05</v>
      </c>
      <c r="JU31" s="1673">
        <v>-5.5E-2</v>
      </c>
      <c r="JV31" s="1641">
        <f>+JL31/2+JK31/2</f>
        <v>-3.0000000000000002E-2</v>
      </c>
      <c r="JW31" s="1641">
        <f>+JU31/2+JN31/2</f>
        <v>-5.7499999999999996E-2</v>
      </c>
      <c r="JX31" s="1641">
        <f>+JP31/2+JW31/2</f>
        <v>-4.3749999999999997E-2</v>
      </c>
      <c r="JY31" s="1641"/>
      <c r="JZ31" s="662"/>
      <c r="KA31" s="1274"/>
      <c r="KB31" s="662"/>
      <c r="KC31" s="662"/>
      <c r="KD31" s="662"/>
      <c r="KE31" s="662"/>
      <c r="KF31" s="662"/>
      <c r="KG31" s="662" t="s">
        <v>1437</v>
      </c>
      <c r="KH31" s="662" t="s">
        <v>1437</v>
      </c>
      <c r="KI31" s="1274"/>
      <c r="KJ31" s="662"/>
      <c r="KK31" s="662"/>
      <c r="KL31" s="662"/>
      <c r="KM31" s="1266"/>
      <c r="KN31" s="662"/>
      <c r="KO31" s="1670"/>
      <c r="KP31" s="1670"/>
      <c r="KQ31" s="1686"/>
      <c r="KR31" s="1670"/>
      <c r="KS31" s="1686"/>
      <c r="KT31" s="1266"/>
      <c r="KU31" s="1670"/>
      <c r="KV31" s="1670"/>
      <c r="KW31" s="1274"/>
      <c r="KX31" s="1670"/>
      <c r="KY31" s="1670"/>
      <c r="KZ31" s="1274"/>
      <c r="LA31" s="1670"/>
      <c r="LB31" s="1670"/>
      <c r="LC31" s="1274"/>
      <c r="LD31" s="1274"/>
      <c r="LE31" s="1670"/>
      <c r="LF31" s="1670"/>
      <c r="LG31" s="1274"/>
    </row>
    <row r="32" spans="1:319" s="1720" customFormat="1" ht="12">
      <c r="A32" s="1707"/>
      <c r="B32" s="1707" t="s">
        <v>1398</v>
      </c>
      <c r="C32" s="1708" t="s">
        <v>1398</v>
      </c>
      <c r="D32" s="1709"/>
      <c r="E32" s="1707"/>
      <c r="F32" s="1707"/>
      <c r="G32" s="1710"/>
      <c r="H32" s="1707"/>
      <c r="I32" s="1707"/>
      <c r="J32" s="1710"/>
      <c r="K32" s="1711"/>
      <c r="L32" s="1711"/>
      <c r="M32" s="1711"/>
      <c r="N32" s="1711"/>
      <c r="O32" s="1711"/>
      <c r="P32" s="1711"/>
      <c r="Q32" s="1711"/>
      <c r="R32" s="1711"/>
      <c r="S32" s="1712"/>
      <c r="T32" s="1711"/>
      <c r="U32" s="1711"/>
      <c r="V32" s="1711"/>
      <c r="W32" s="1711"/>
      <c r="X32" s="1711"/>
      <c r="Y32" s="1711"/>
      <c r="Z32" s="1711"/>
      <c r="AA32" s="1711"/>
      <c r="AB32" s="1712"/>
      <c r="AC32" s="1713"/>
      <c r="AD32" s="1713"/>
      <c r="AE32" s="1713"/>
      <c r="AF32" s="1713"/>
      <c r="AG32" s="1713"/>
      <c r="AH32" s="1713"/>
      <c r="AI32" s="1713"/>
      <c r="AJ32" s="1713"/>
      <c r="AK32" s="1709"/>
      <c r="AL32" s="1713"/>
      <c r="AM32" s="1713"/>
      <c r="AN32" s="1713"/>
      <c r="AO32" s="1713"/>
      <c r="AP32" s="1713"/>
      <c r="AQ32" s="1713"/>
      <c r="AR32" s="1713"/>
      <c r="AS32" s="1713"/>
      <c r="AT32" s="1709"/>
      <c r="AU32" s="1713"/>
      <c r="AV32" s="1713"/>
      <c r="AW32" s="1713"/>
      <c r="AX32" s="1713"/>
      <c r="AY32" s="1713"/>
      <c r="AZ32" s="1713"/>
      <c r="BA32" s="1713"/>
      <c r="BB32" s="1714"/>
      <c r="BC32" s="1714"/>
      <c r="BD32" s="1713"/>
      <c r="BE32" s="1713"/>
      <c r="BF32" s="1709"/>
      <c r="BG32" s="1713"/>
      <c r="BH32" s="1713"/>
      <c r="BI32" s="1713"/>
      <c r="BJ32" s="1709"/>
      <c r="BK32" s="1707"/>
      <c r="BL32" s="1707"/>
      <c r="BM32" s="1707"/>
      <c r="BN32" s="1707"/>
      <c r="BO32" s="1709"/>
      <c r="BP32" s="1713"/>
      <c r="BQ32" s="1713"/>
      <c r="BR32" s="1713"/>
      <c r="BS32" s="1713"/>
      <c r="BT32" s="1713"/>
      <c r="BU32" s="1713"/>
      <c r="BV32" s="1713"/>
      <c r="BW32" s="1713"/>
      <c r="BX32" s="1714"/>
      <c r="BY32" s="1714"/>
      <c r="BZ32" s="1713"/>
      <c r="CA32" s="1713"/>
      <c r="CB32" s="1713"/>
      <c r="CC32" s="1713"/>
      <c r="CD32" s="1713"/>
      <c r="CE32" s="1713"/>
      <c r="CF32" s="1709"/>
      <c r="CG32" s="1715"/>
      <c r="CH32" s="707"/>
      <c r="CI32" s="707"/>
      <c r="CJ32" s="708"/>
      <c r="CK32" s="708"/>
      <c r="CL32" s="708"/>
      <c r="CM32" s="708"/>
      <c r="CN32" s="707"/>
      <c r="CO32" s="708"/>
      <c r="CP32" s="708"/>
      <c r="CQ32" s="1707"/>
      <c r="CR32" s="707"/>
      <c r="CS32" s="707"/>
      <c r="CT32" s="707"/>
      <c r="CU32" s="707"/>
      <c r="CV32" s="1716"/>
      <c r="CW32" s="1717"/>
      <c r="CX32" s="708"/>
      <c r="CY32" s="708"/>
      <c r="CZ32" s="708"/>
      <c r="DA32" s="708"/>
      <c r="DB32" s="708"/>
      <c r="DC32" s="708"/>
      <c r="DD32" s="708"/>
      <c r="DE32" s="708"/>
      <c r="DF32" s="708"/>
      <c r="DG32" s="708"/>
      <c r="DH32" s="708"/>
      <c r="DI32" s="708"/>
      <c r="DJ32" s="708"/>
      <c r="DK32" s="708"/>
      <c r="DL32" s="1718"/>
      <c r="DM32" s="1718"/>
      <c r="DN32" s="1714"/>
      <c r="DO32" s="1714"/>
      <c r="DP32" s="1653"/>
      <c r="DQ32" s="1653"/>
      <c r="DR32" s="1653"/>
      <c r="DS32" s="1719"/>
      <c r="DT32" s="1718"/>
      <c r="DU32" s="1714"/>
      <c r="DV32" s="1714"/>
      <c r="DW32" s="708"/>
      <c r="DX32" s="1653"/>
      <c r="DY32" s="1653"/>
      <c r="DZ32" s="1709"/>
      <c r="EB32" s="708"/>
      <c r="EC32" s="1653"/>
      <c r="ED32" s="1721"/>
      <c r="EE32" s="1709"/>
      <c r="EF32" s="1707"/>
      <c r="EG32" s="1715"/>
      <c r="EH32" s="707"/>
      <c r="EI32" s="707"/>
      <c r="EJ32" s="707"/>
      <c r="EK32" s="707"/>
      <c r="EL32" s="707"/>
      <c r="EM32" s="707"/>
      <c r="EN32" s="707"/>
      <c r="EO32" s="707"/>
      <c r="EP32" s="707"/>
      <c r="EQ32" s="707"/>
      <c r="ER32" s="707"/>
      <c r="ES32" s="707"/>
      <c r="ET32" s="707"/>
      <c r="EU32" s="1722"/>
      <c r="EV32" s="1719"/>
      <c r="EW32" s="1723"/>
      <c r="EX32" s="1723"/>
      <c r="EY32" s="1723"/>
      <c r="EZ32" s="1723"/>
      <c r="FA32" s="1723"/>
      <c r="FB32" s="1723"/>
      <c r="FC32" s="1723"/>
      <c r="FD32" s="1723"/>
      <c r="FE32" s="1723"/>
      <c r="FF32" s="1723"/>
      <c r="FG32" s="707"/>
      <c r="FH32" s="1723"/>
      <c r="FI32" s="1723"/>
      <c r="FJ32" s="1723"/>
      <c r="FK32" s="1722"/>
      <c r="FL32" s="1718"/>
      <c r="FM32" s="1714"/>
      <c r="FN32" s="1653"/>
      <c r="FO32" s="1724"/>
      <c r="FP32" s="1267"/>
      <c r="FQ32" s="1719"/>
      <c r="FR32" s="1719"/>
      <c r="FS32" s="1723"/>
      <c r="FT32" s="1653"/>
      <c r="FU32" s="1653"/>
      <c r="FV32" s="1723"/>
      <c r="FW32" s="1653"/>
      <c r="FX32" s="1653"/>
      <c r="FY32" s="1723"/>
      <c r="FZ32" s="1723"/>
      <c r="GA32" s="1723"/>
      <c r="GB32" s="1723"/>
      <c r="GC32" s="1723"/>
      <c r="GD32" s="1725"/>
      <c r="GE32" s="1723"/>
      <c r="GF32" s="1723"/>
      <c r="GG32" s="1723"/>
      <c r="GH32" s="1653"/>
      <c r="GI32" s="1653"/>
      <c r="GJ32" s="1726"/>
      <c r="GK32" s="1653"/>
      <c r="GL32" s="1653"/>
      <c r="GM32" s="1653"/>
      <c r="GN32" s="1653"/>
      <c r="GO32" s="1653"/>
      <c r="GP32" s="1653"/>
      <c r="GQ32" s="1653"/>
      <c r="GR32" s="1723"/>
      <c r="GS32" s="1723"/>
      <c r="GT32" s="1723"/>
      <c r="GU32" s="1723"/>
      <c r="GV32" s="1725"/>
      <c r="GW32" s="1723"/>
      <c r="GX32" s="1653"/>
      <c r="GY32" s="1653"/>
      <c r="GZ32" s="1653"/>
      <c r="HA32" s="1726"/>
      <c r="HB32" s="1653"/>
      <c r="HC32" s="1653"/>
      <c r="HD32" s="1653"/>
      <c r="HE32" s="1653"/>
      <c r="HF32" s="1653"/>
      <c r="HG32" s="1653"/>
      <c r="HH32" s="1653"/>
      <c r="HI32" s="1653"/>
      <c r="HJ32" s="1653"/>
      <c r="HK32" s="1653"/>
      <c r="HL32" s="1653"/>
      <c r="HM32" s="1653"/>
      <c r="HN32" s="1727"/>
      <c r="HO32" s="1727"/>
      <c r="HP32" s="1723"/>
      <c r="HQ32" s="1723"/>
      <c r="HR32" s="1723"/>
      <c r="HS32" s="1723"/>
      <c r="HT32" s="1723"/>
      <c r="HU32" s="1723"/>
      <c r="HV32" s="1723"/>
      <c r="HW32" s="1653"/>
      <c r="HX32" s="1653"/>
      <c r="HY32" s="1653"/>
      <c r="HZ32" s="1723"/>
      <c r="IA32" s="1653"/>
      <c r="IB32" s="1653"/>
      <c r="IC32" s="1726"/>
      <c r="ID32" s="1653"/>
      <c r="IE32" s="1652"/>
      <c r="IF32" s="1653"/>
      <c r="IG32" s="1653"/>
      <c r="IH32" s="1653"/>
      <c r="II32" s="1653"/>
      <c r="IJ32" s="1653"/>
      <c r="IK32" s="1653"/>
      <c r="IL32" s="1653"/>
      <c r="IM32" s="1653"/>
      <c r="IN32" s="1653"/>
      <c r="IO32" s="1653"/>
      <c r="IP32" s="1719"/>
      <c r="IQ32" s="1653"/>
      <c r="IR32" s="1719"/>
      <c r="IS32" s="1288"/>
      <c r="IT32" s="1653"/>
      <c r="IU32" s="1653">
        <f>IU28-IU29</f>
        <v>5.6732907499408486E-2</v>
      </c>
      <c r="IV32" s="1653">
        <f>IV28-IV29</f>
        <v>8.385473838272961E-2</v>
      </c>
      <c r="IW32" s="1653">
        <f>IW28-IW29</f>
        <v>0.12</v>
      </c>
      <c r="IX32" s="1653">
        <f>IX28-IX29</f>
        <v>6.4930347217377143E-2</v>
      </c>
      <c r="IY32" s="1653"/>
      <c r="IZ32" s="1653">
        <f>IZ28-IZ29</f>
        <v>7.8297254928121146E-2</v>
      </c>
      <c r="JA32" s="1653">
        <f>JA28-JA29</f>
        <v>7.274595779665663E-2</v>
      </c>
      <c r="JB32" s="1653">
        <f>JB28-JB29</f>
        <v>7.1092362344582591E-2</v>
      </c>
      <c r="JC32" s="1653">
        <f>JC28-JC29</f>
        <v>7.6627873754785622E-2</v>
      </c>
      <c r="JD32" s="1653">
        <f>JD28-JD29</f>
        <v>7.2356020942408381E-2</v>
      </c>
      <c r="JE32" s="1653"/>
      <c r="JF32" s="1653"/>
      <c r="JG32" s="1653"/>
      <c r="JH32" s="1719"/>
      <c r="JI32" s="1288"/>
      <c r="JJ32" s="1674">
        <v>7.0000000000000007E-2</v>
      </c>
      <c r="JK32" s="1675">
        <v>0.08</v>
      </c>
      <c r="JL32" s="1675">
        <f>+JL28-JL29</f>
        <v>4.3317972350230355E-2</v>
      </c>
      <c r="JM32" s="1675">
        <f>+JM28-JM29</f>
        <v>8.0785179675514962E-2</v>
      </c>
      <c r="JN32" s="1675">
        <f>+JN28-JN29</f>
        <v>9.5285882465239113E-2</v>
      </c>
      <c r="JO32" s="1675"/>
      <c r="JP32" s="1675">
        <f>+JP28-JP29</f>
        <v>6.2057115086436368E-2</v>
      </c>
      <c r="JQ32" s="1675"/>
      <c r="JR32" s="1675"/>
      <c r="JS32" s="1675">
        <f>+JS28-JS29</f>
        <v>7.1838156484458751E-2</v>
      </c>
      <c r="JT32" s="1675">
        <v>7.4999999999999997E-2</v>
      </c>
      <c r="JU32" s="1675">
        <v>0.08</v>
      </c>
      <c r="JV32" s="1729">
        <f>+JL32/2+JK32/2</f>
        <v>6.1658986175115178E-2</v>
      </c>
      <c r="JW32" s="1729">
        <f>+JU32/2+JN32/2</f>
        <v>8.7642941232619564E-2</v>
      </c>
      <c r="JX32" s="1729">
        <f>+JP32/2+JW32/2</f>
        <v>7.4850028159527959E-2</v>
      </c>
      <c r="JY32" s="1641"/>
      <c r="JZ32" s="662"/>
      <c r="KA32" s="1274"/>
      <c r="KB32" s="1653"/>
      <c r="KC32" s="1653"/>
      <c r="KD32" s="1653"/>
      <c r="KE32" s="1653"/>
      <c r="KF32" s="1653"/>
      <c r="KG32" s="1651">
        <f>+KG28-KG29</f>
        <v>7.4222870896707163E-2</v>
      </c>
      <c r="KH32" s="1651">
        <f>+KH28-KH29</f>
        <v>7.4222870896707163E-2</v>
      </c>
      <c r="KI32" s="1274"/>
      <c r="KJ32" s="662"/>
      <c r="KK32" s="1653"/>
      <c r="KL32" s="1706">
        <f>KM32*2-IX32</f>
        <v>0.10931049047895794</v>
      </c>
      <c r="KM32" s="1267">
        <f>KM28-KM29</f>
        <v>8.7120418848167541E-2</v>
      </c>
      <c r="KN32" s="662"/>
      <c r="KO32" s="1724"/>
      <c r="KP32" s="1724"/>
      <c r="KQ32" s="1728">
        <v>0.08</v>
      </c>
      <c r="KR32" s="1724"/>
      <c r="KS32" s="1728"/>
      <c r="KT32" s="1267"/>
      <c r="KU32" s="1724"/>
      <c r="KV32" s="1724"/>
      <c r="KW32" s="1719"/>
      <c r="KX32" s="1724"/>
      <c r="KY32" s="1724"/>
      <c r="KZ32" s="1719"/>
      <c r="LA32" s="1724"/>
      <c r="LB32" s="1724"/>
      <c r="LC32" s="1719"/>
      <c r="LD32" s="1719"/>
      <c r="LE32" s="1724"/>
      <c r="LF32" s="1724"/>
      <c r="LG32" s="1719"/>
    </row>
    <row r="33" spans="1:319" s="705" customFormat="1" ht="12">
      <c r="A33" s="510"/>
      <c r="B33" s="697" t="s">
        <v>1064</v>
      </c>
      <c r="C33" s="699" t="s">
        <v>962</v>
      </c>
      <c r="D33" s="497"/>
      <c r="E33" s="510"/>
      <c r="F33" s="510"/>
      <c r="G33" s="699"/>
      <c r="H33" s="510"/>
      <c r="I33" s="510"/>
      <c r="J33" s="699"/>
      <c r="K33" s="584"/>
      <c r="L33" s="584"/>
      <c r="M33" s="584"/>
      <c r="N33" s="584"/>
      <c r="O33" s="584"/>
      <c r="P33" s="584"/>
      <c r="Q33" s="584"/>
      <c r="R33" s="584"/>
      <c r="S33" s="700"/>
      <c r="T33" s="584"/>
      <c r="U33" s="584"/>
      <c r="V33" s="584"/>
      <c r="W33" s="584"/>
      <c r="X33" s="584"/>
      <c r="Y33" s="584">
        <v>8142</v>
      </c>
      <c r="Z33" s="584">
        <f>+AA33-Y33</f>
        <v>9537</v>
      </c>
      <c r="AA33" s="584">
        <v>17679</v>
      </c>
      <c r="AB33" s="700"/>
      <c r="AC33" s="584"/>
      <c r="AD33" s="584"/>
      <c r="AE33" s="584"/>
      <c r="AF33" s="584"/>
      <c r="AG33" s="584"/>
      <c r="AH33" s="584">
        <v>7159</v>
      </c>
      <c r="AI33" s="584">
        <f>+AJ33-AH33</f>
        <v>9449</v>
      </c>
      <c r="AJ33" s="584">
        <v>16608</v>
      </c>
      <c r="AK33" s="497"/>
      <c r="AL33" s="584"/>
      <c r="AM33" s="584"/>
      <c r="AN33" s="584">
        <f>+AW33/(1+AW34)</f>
        <v>6737.5886524822699</v>
      </c>
      <c r="AO33" s="584">
        <f>+AR33-AN33</f>
        <v>6045.4113475177301</v>
      </c>
      <c r="AP33" s="584">
        <f>+BA33/(1+BA34)</f>
        <v>13634.567901234566</v>
      </c>
      <c r="AQ33" s="584">
        <v>7042</v>
      </c>
      <c r="AR33" s="584">
        <f>+AS33-AQ33</f>
        <v>12783</v>
      </c>
      <c r="AS33" s="584">
        <v>19825</v>
      </c>
      <c r="AT33" s="497"/>
      <c r="AU33" s="709">
        <v>5700</v>
      </c>
      <c r="AV33" s="709">
        <f>BB33-AU33</f>
        <v>6888</v>
      </c>
      <c r="AW33" s="584">
        <v>9500</v>
      </c>
      <c r="AX33" s="584"/>
      <c r="AY33" s="584">
        <f>+BC33-AW33</f>
        <v>8912</v>
      </c>
      <c r="AZ33" s="584"/>
      <c r="BA33" s="584">
        <f>BB33+AW33</f>
        <v>22088</v>
      </c>
      <c r="BB33" s="625">
        <v>12588</v>
      </c>
      <c r="BC33" s="625">
        <f>+BE33-BB33</f>
        <v>18412</v>
      </c>
      <c r="BD33" s="584">
        <v>29600</v>
      </c>
      <c r="BE33" s="584">
        <v>31000</v>
      </c>
      <c r="BF33" s="497"/>
      <c r="BG33" s="584"/>
      <c r="BH33" s="584">
        <f>+BI33-BB33</f>
        <v>-12588</v>
      </c>
      <c r="BI33" s="584"/>
      <c r="BJ33" s="497"/>
      <c r="BK33" s="510">
        <v>10500</v>
      </c>
      <c r="BL33" s="510">
        <v>13000</v>
      </c>
      <c r="BM33" s="510">
        <v>23500</v>
      </c>
      <c r="BN33" s="510"/>
      <c r="BO33" s="497"/>
      <c r="BP33" s="709">
        <v>9000</v>
      </c>
      <c r="BQ33" s="612"/>
      <c r="BR33" s="584">
        <f>+BY33-BP33</f>
        <v>7238.52</v>
      </c>
      <c r="BS33" s="584"/>
      <c r="BT33" s="584">
        <v>11500</v>
      </c>
      <c r="BU33" s="584">
        <v>8761.48</v>
      </c>
      <c r="BV33" s="584">
        <f>CC33-BT33</f>
        <v>7961.48</v>
      </c>
      <c r="BW33" s="584"/>
      <c r="BX33" s="584">
        <f>BT33+BY33</f>
        <v>27738.52</v>
      </c>
      <c r="BY33" s="584">
        <f>+BB33*1.29</f>
        <v>16238.52</v>
      </c>
      <c r="BZ33" s="584"/>
      <c r="CA33" s="584">
        <v>16500</v>
      </c>
      <c r="CB33" s="584">
        <v>20261.48</v>
      </c>
      <c r="CC33" s="584">
        <f>CE33-BY33</f>
        <v>19461.48</v>
      </c>
      <c r="CD33" s="584">
        <v>36500</v>
      </c>
      <c r="CE33" s="710">
        <v>35700</v>
      </c>
      <c r="CF33" s="497"/>
      <c r="CG33" s="711">
        <f>BP33*0.68</f>
        <v>6120</v>
      </c>
      <c r="CH33" s="712">
        <v>6300</v>
      </c>
      <c r="CI33" s="712">
        <f>CI35+CI36</f>
        <v>6300</v>
      </c>
      <c r="CJ33" s="510">
        <f>CR33-CG33</f>
        <v>5480</v>
      </c>
      <c r="CK33" s="510"/>
      <c r="CL33" s="510">
        <v>8700</v>
      </c>
      <c r="CM33" s="510"/>
      <c r="CN33" s="510"/>
      <c r="CO33" s="510">
        <f>CW33-CP33</f>
        <v>5400</v>
      </c>
      <c r="CP33" s="510">
        <f>CG33+CJ33+CL33</f>
        <v>20300</v>
      </c>
      <c r="CQ33" s="510"/>
      <c r="CR33" s="510">
        <v>11600</v>
      </c>
      <c r="CS33" s="510"/>
      <c r="CT33" s="510"/>
      <c r="CU33" s="510">
        <f>CW33-CR33</f>
        <v>14100</v>
      </c>
      <c r="CV33" s="510"/>
      <c r="CW33" s="699">
        <v>25700</v>
      </c>
      <c r="CX33" s="510"/>
      <c r="CY33" s="510">
        <f>CG33*0.9</f>
        <v>5508</v>
      </c>
      <c r="CZ33" s="510">
        <f>+DB33-CY33</f>
        <v>5192</v>
      </c>
      <c r="DA33" s="510"/>
      <c r="DB33" s="510">
        <v>10700</v>
      </c>
      <c r="DC33" s="510">
        <f>+CL33*0.805</f>
        <v>7003.5</v>
      </c>
      <c r="DD33" s="712">
        <f>CL33*0.85</f>
        <v>7395</v>
      </c>
      <c r="DE33" s="510">
        <f t="shared" si="42"/>
        <v>5396.5</v>
      </c>
      <c r="DF33" s="510">
        <f>DJ33-DC33</f>
        <v>5896.5</v>
      </c>
      <c r="DG33" s="510">
        <f>+DC33+DB33</f>
        <v>17703.5</v>
      </c>
      <c r="DH33" s="510">
        <f>+DD33+DB33</f>
        <v>18095</v>
      </c>
      <c r="DI33" s="510">
        <f t="shared" si="3"/>
        <v>12400</v>
      </c>
      <c r="DJ33" s="510">
        <f>DL33-DB33</f>
        <v>12900</v>
      </c>
      <c r="DK33" s="510">
        <v>23100</v>
      </c>
      <c r="DL33" s="512">
        <v>23600</v>
      </c>
      <c r="DM33" s="512"/>
      <c r="DN33" s="584"/>
      <c r="DO33" s="584"/>
      <c r="DP33" s="713"/>
      <c r="DQ33" s="713">
        <f>+DR33-DC33</f>
        <v>6596.5</v>
      </c>
      <c r="DR33" s="713">
        <f>+DS33-DB33</f>
        <v>13600</v>
      </c>
      <c r="DS33" s="517">
        <v>24300</v>
      </c>
      <c r="DT33" s="512"/>
      <c r="DU33" s="584"/>
      <c r="DV33" s="584"/>
      <c r="DW33" s="705">
        <v>11800</v>
      </c>
      <c r="DX33" s="713">
        <f>DY33-DB33</f>
        <v>15200</v>
      </c>
      <c r="DY33" s="713">
        <v>25900</v>
      </c>
      <c r="DZ33" s="497"/>
      <c r="EB33" s="705" t="s">
        <v>1412</v>
      </c>
      <c r="EC33" s="713">
        <f>ED33-CR33</f>
        <v>18400</v>
      </c>
      <c r="ED33" s="512">
        <v>30000</v>
      </c>
      <c r="EE33" s="497"/>
      <c r="EF33" s="510"/>
      <c r="EG33" s="714">
        <f>CY33*0.94</f>
        <v>5177.5199999999995</v>
      </c>
      <c r="EH33" s="618">
        <f>(EG33-CY33)/CY33</f>
        <v>-6.0000000000000088E-2</v>
      </c>
      <c r="EI33" s="510">
        <f t="shared" ref="EI33" si="50">+EK33-EG33</f>
        <v>4522.4800000000005</v>
      </c>
      <c r="EJ33" s="510"/>
      <c r="EK33" s="510">
        <v>9700</v>
      </c>
      <c r="EL33" s="510"/>
      <c r="EM33" s="510">
        <f>+(1+EM34)*DC33</f>
        <v>6443.22</v>
      </c>
      <c r="EN33" s="510">
        <f>+EN27-EN37</f>
        <v>6543.1949999999997</v>
      </c>
      <c r="EO33" s="510">
        <f>+EM33+EK33</f>
        <v>16143.220000000001</v>
      </c>
      <c r="EP33" s="510">
        <f>+EN33+EK33</f>
        <v>16243.195</v>
      </c>
      <c r="EQ33" s="510">
        <f>+EU33-EO33</f>
        <v>5156.7799999999988</v>
      </c>
      <c r="ER33" s="510"/>
      <c r="ES33" s="510">
        <f>+EU33-EK33</f>
        <v>11600</v>
      </c>
      <c r="EU33" s="699">
        <v>21300</v>
      </c>
      <c r="EV33" s="517"/>
      <c r="EW33" s="510"/>
      <c r="EX33" s="510">
        <f>+EG33*0.91</f>
        <v>4711.5432000000001</v>
      </c>
      <c r="EY33" s="510"/>
      <c r="EZ33" s="510">
        <f>+FB33-EX33</f>
        <v>4488.4567999999999</v>
      </c>
      <c r="FA33" s="510"/>
      <c r="FB33" s="510">
        <v>9200</v>
      </c>
      <c r="FC33" s="510">
        <f>FE33-FB33</f>
        <v>6297.4912000000004</v>
      </c>
      <c r="FD33" s="510"/>
      <c r="FE33" s="510">
        <f>EO33*0.96</f>
        <v>15497.4912</v>
      </c>
      <c r="FF33" s="510"/>
      <c r="FG33" s="510">
        <f>FK33-FE33</f>
        <v>5202.5087999999996</v>
      </c>
      <c r="FH33" s="510"/>
      <c r="FI33" s="510">
        <f>FK33-FB33</f>
        <v>11500</v>
      </c>
      <c r="FJ33" s="510">
        <f>FL33-FB33</f>
        <v>11500</v>
      </c>
      <c r="FK33" s="699">
        <v>20700</v>
      </c>
      <c r="FL33" s="512">
        <f>Driver!AD79</f>
        <v>20700</v>
      </c>
      <c r="FM33" s="584">
        <f>+FN33-EX33</f>
        <v>5088.4567999999999</v>
      </c>
      <c r="FN33" s="713">
        <v>9800</v>
      </c>
      <c r="FO33" s="713">
        <f>+FQ33-FE33</f>
        <v>5802.5087999999996</v>
      </c>
      <c r="FP33" s="713">
        <f>+FQ33-FB33</f>
        <v>12100</v>
      </c>
      <c r="FQ33" s="517">
        <v>21300</v>
      </c>
      <c r="FR33" s="517"/>
      <c r="FS33" s="510">
        <f>EX33*0.97</f>
        <v>4570.1969040000004</v>
      </c>
      <c r="FT33" s="713"/>
      <c r="FU33" s="713"/>
      <c r="FV33" s="510">
        <f>+FY33-FS33</f>
        <v>4429.8030959999996</v>
      </c>
      <c r="FW33" s="713"/>
      <c r="FX33" s="713"/>
      <c r="FY33" s="510">
        <v>9000</v>
      </c>
      <c r="FZ33" s="510">
        <f>FC33*0.93</f>
        <v>5856.6668160000008</v>
      </c>
      <c r="GA33" s="510">
        <f>FZ33+FY33</f>
        <v>14856.666816000001</v>
      </c>
      <c r="GB33" s="510">
        <f>+GD33-GA33</f>
        <v>4843.3331839999992</v>
      </c>
      <c r="GC33" s="510">
        <f>GD33-FY33</f>
        <v>10700</v>
      </c>
      <c r="GD33" s="699">
        <v>19700</v>
      </c>
      <c r="GE33" s="510"/>
      <c r="GF33" s="510"/>
      <c r="GG33" s="510"/>
      <c r="GH33" s="713"/>
      <c r="GI33" s="713"/>
      <c r="GJ33" s="715"/>
      <c r="GK33" s="713"/>
      <c r="GL33" s="713">
        <f>FS33*0.94</f>
        <v>4295.9850897599999</v>
      </c>
      <c r="GM33" s="713"/>
      <c r="GN33" s="713"/>
      <c r="GO33" s="713">
        <f>+GP33-GL33</f>
        <v>4254.0149102400001</v>
      </c>
      <c r="GP33" s="713">
        <f>FY33*0.95</f>
        <v>8550</v>
      </c>
      <c r="GQ33" s="713"/>
      <c r="GR33" s="510">
        <f>GS33-GP33</f>
        <v>6306.6668160000008</v>
      </c>
      <c r="GS33" s="716">
        <f>GA33*1</f>
        <v>14856.666816000001</v>
      </c>
      <c r="GT33" s="510">
        <f>+GU33-GR33</f>
        <v>6343.3331839999992</v>
      </c>
      <c r="GU33" s="510">
        <f>GV33-GP33</f>
        <v>12650</v>
      </c>
      <c r="GV33" s="699">
        <v>21200</v>
      </c>
      <c r="GW33" s="716"/>
      <c r="GX33" s="713"/>
      <c r="GY33" s="713"/>
      <c r="GZ33" s="713"/>
      <c r="HA33" s="715"/>
      <c r="HB33" s="713"/>
      <c r="HC33" s="713"/>
      <c r="HD33" s="713">
        <f>GL33*1.42</f>
        <v>6100.2988274591999</v>
      </c>
      <c r="HE33" s="713"/>
      <c r="HF33" s="713">
        <f>+HI33-HD33</f>
        <v>5271.2011725408001</v>
      </c>
      <c r="HG33" s="713">
        <f>+HL33-HE33</f>
        <v>7717.391304347826</v>
      </c>
      <c r="HH33" s="713"/>
      <c r="HI33" s="713">
        <f>GP33*1.33</f>
        <v>11371.5</v>
      </c>
      <c r="HJ33" s="713"/>
      <c r="HK33" s="713"/>
      <c r="HL33" s="713">
        <f>KU33/0.92</f>
        <v>7717.391304347826</v>
      </c>
      <c r="HM33" s="713">
        <v>7700</v>
      </c>
      <c r="HN33" s="510">
        <f>HP33-HI33</f>
        <v>6753.6335155199995</v>
      </c>
      <c r="HO33" s="510">
        <f>HQ33-HM33</f>
        <v>-7700</v>
      </c>
      <c r="HP33" s="561">
        <f>GS33*1.22</f>
        <v>18125.133515519999</v>
      </c>
      <c r="HQ33" s="561"/>
      <c r="HR33" s="510">
        <f>+HT33-HN33</f>
        <v>5974.8664844800005</v>
      </c>
      <c r="HS33" s="510"/>
      <c r="HT33" s="510">
        <f>HV33-HI33</f>
        <v>12728.5</v>
      </c>
      <c r="HU33" s="510">
        <f>HZ33-HM33</f>
        <v>8100</v>
      </c>
      <c r="HV33" s="510">
        <v>24100</v>
      </c>
      <c r="HW33" s="713"/>
      <c r="HX33" s="713"/>
      <c r="HY33" s="713"/>
      <c r="HZ33" s="717">
        <v>15800</v>
      </c>
      <c r="IA33" s="713"/>
      <c r="IB33" s="713"/>
      <c r="IC33" s="715"/>
      <c r="ID33" s="713"/>
      <c r="IE33" s="718">
        <v>3600</v>
      </c>
      <c r="IF33" s="719">
        <f>IG33-IE33</f>
        <v>3000</v>
      </c>
      <c r="IG33" s="720">
        <v>6600</v>
      </c>
      <c r="IH33" s="719">
        <f>IJ33-IG33</f>
        <v>3900</v>
      </c>
      <c r="II33" s="719"/>
      <c r="IJ33" s="721">
        <v>10500</v>
      </c>
      <c r="IK33" s="721">
        <f>+IP33-IL33</f>
        <v>0</v>
      </c>
      <c r="IL33" s="719"/>
      <c r="IM33" s="719">
        <f>+IO33-IH33</f>
        <v>4800</v>
      </c>
      <c r="IN33" s="719"/>
      <c r="IO33" s="719">
        <f>IR33-IG33</f>
        <v>8700</v>
      </c>
      <c r="IP33" s="517"/>
      <c r="IQ33" s="719"/>
      <c r="IR33" s="722">
        <v>15300</v>
      </c>
      <c r="IS33" s="1289"/>
      <c r="IT33" s="719"/>
      <c r="IU33" s="719"/>
      <c r="IV33" s="719"/>
      <c r="IW33" s="719"/>
      <c r="IX33" s="719">
        <v>7400</v>
      </c>
      <c r="IY33" s="719"/>
      <c r="IZ33" s="719"/>
      <c r="JA33" s="719"/>
      <c r="JB33" s="719">
        <f>+JC33-IZ33</f>
        <v>8700</v>
      </c>
      <c r="JC33" s="719">
        <f>+JD33-IX33</f>
        <v>8700</v>
      </c>
      <c r="JD33" s="719">
        <v>16100</v>
      </c>
      <c r="JE33" s="719"/>
      <c r="JF33" s="719"/>
      <c r="JG33" s="719"/>
      <c r="JH33" s="517"/>
      <c r="JI33" s="1289"/>
      <c r="JJ33" s="1289"/>
      <c r="JK33" s="603"/>
      <c r="JL33" s="2355">
        <f>+ROUND(JL27/13*1,-2)</f>
        <v>1700</v>
      </c>
      <c r="JM33" s="2355">
        <f>+JP33-JL33</f>
        <v>5100</v>
      </c>
      <c r="JN33" s="1133">
        <f>JS33-JP33</f>
        <v>-6800</v>
      </c>
      <c r="JO33" s="1133"/>
      <c r="JP33" s="1133">
        <v>6800</v>
      </c>
      <c r="JQ33" s="1133"/>
      <c r="JR33" s="1133"/>
      <c r="JS33" s="1133"/>
      <c r="JT33" s="603"/>
      <c r="JU33" s="603"/>
      <c r="JV33" s="603"/>
      <c r="JW33" s="603"/>
      <c r="JX33" s="603"/>
      <c r="JY33" s="603"/>
      <c r="JZ33" s="603"/>
      <c r="KA33" s="746"/>
      <c r="KB33" s="603">
        <f>+KC33-JL33</f>
        <v>5300</v>
      </c>
      <c r="KC33" s="603">
        <v>7000</v>
      </c>
      <c r="KD33" s="603">
        <f t="shared" ref="KD33" si="51">+KH33-KC33</f>
        <v>9500</v>
      </c>
      <c r="KE33" s="603">
        <f>+KG33-JP33</f>
        <v>8700</v>
      </c>
      <c r="KF33" s="603">
        <f>+KG33-JS33</f>
        <v>15500</v>
      </c>
      <c r="KG33" s="603">
        <v>15500</v>
      </c>
      <c r="KH33" s="603">
        <v>16500</v>
      </c>
      <c r="KI33" s="746"/>
      <c r="KJ33" s="603"/>
      <c r="KK33" s="713"/>
      <c r="KL33" s="530">
        <f>KM33-IX33</f>
        <v>9300</v>
      </c>
      <c r="KM33" s="723">
        <v>16700</v>
      </c>
      <c r="KN33" s="603"/>
      <c r="KO33" s="723">
        <v>8000</v>
      </c>
      <c r="KP33" s="713">
        <v>9800</v>
      </c>
      <c r="KQ33" s="724">
        <v>17800</v>
      </c>
      <c r="KR33" s="713">
        <v>8400</v>
      </c>
      <c r="KS33" s="517">
        <v>15000</v>
      </c>
      <c r="KT33" s="713">
        <f>KU33-IE33</f>
        <v>3500</v>
      </c>
      <c r="KU33" s="713">
        <v>7100</v>
      </c>
      <c r="KV33" s="713">
        <f>KW33-KU33</f>
        <v>8300</v>
      </c>
      <c r="KW33" s="517">
        <v>15400</v>
      </c>
      <c r="KX33" s="713">
        <f>KY33-HN33</f>
        <v>6374.8664844800005</v>
      </c>
      <c r="KY33" s="713">
        <f>KZ33-HI33</f>
        <v>13128.5</v>
      </c>
      <c r="KZ33" s="517">
        <v>24500</v>
      </c>
      <c r="LA33" s="713">
        <v>8900</v>
      </c>
      <c r="LB33" s="713">
        <f>LC33-LA33</f>
        <v>11300</v>
      </c>
      <c r="LC33" s="517">
        <v>20200</v>
      </c>
      <c r="LD33" s="517"/>
      <c r="LE33" s="713">
        <f>LF33-GR33</f>
        <v>4843.3331839999992</v>
      </c>
      <c r="LF33" s="713">
        <f>LG33-GP33</f>
        <v>11150</v>
      </c>
      <c r="LG33" s="517">
        <v>19700</v>
      </c>
    </row>
    <row r="34" spans="1:319" s="1699" customFormat="1" ht="12">
      <c r="A34" s="712"/>
      <c r="B34" s="1692" t="s">
        <v>669</v>
      </c>
      <c r="C34" s="1693" t="s">
        <v>961</v>
      </c>
      <c r="D34" s="1020"/>
      <c r="E34" s="712"/>
      <c r="F34" s="712"/>
      <c r="G34" s="1693"/>
      <c r="H34" s="712"/>
      <c r="I34" s="712"/>
      <c r="J34" s="1693"/>
      <c r="K34" s="709"/>
      <c r="L34" s="709"/>
      <c r="M34" s="709"/>
      <c r="N34" s="709"/>
      <c r="O34" s="709"/>
      <c r="P34" s="709"/>
      <c r="Q34" s="709"/>
      <c r="R34" s="709"/>
      <c r="S34" s="1694"/>
      <c r="T34" s="709"/>
      <c r="U34" s="709"/>
      <c r="V34" s="709"/>
      <c r="W34" s="709"/>
      <c r="X34" s="709"/>
      <c r="Y34" s="709"/>
      <c r="Z34" s="709"/>
      <c r="AA34" s="709"/>
      <c r="AB34" s="1694"/>
      <c r="AC34" s="709"/>
      <c r="AD34" s="709"/>
      <c r="AE34" s="709"/>
      <c r="AF34" s="709"/>
      <c r="AG34" s="709"/>
      <c r="AH34" s="709"/>
      <c r="AI34" s="709"/>
      <c r="AJ34" s="709"/>
      <c r="AK34" s="1020"/>
      <c r="AL34" s="709"/>
      <c r="AM34" s="709"/>
      <c r="AN34" s="709"/>
      <c r="AO34" s="709"/>
      <c r="AP34" s="709"/>
      <c r="AQ34" s="709"/>
      <c r="AR34" s="709"/>
      <c r="AS34" s="709"/>
      <c r="AT34" s="1020"/>
      <c r="AU34" s="709"/>
      <c r="AV34" s="709"/>
      <c r="AW34" s="1695">
        <v>0.41</v>
      </c>
      <c r="AX34" s="709"/>
      <c r="AY34" s="1695">
        <f>+AY33/AO33-1</f>
        <v>0.47417594729253665</v>
      </c>
      <c r="AZ34" s="709"/>
      <c r="BA34" s="1695">
        <v>0.62</v>
      </c>
      <c r="BB34" s="725">
        <f>(BB33-AQ33)/AQ33</f>
        <v>0.78756035217267817</v>
      </c>
      <c r="BC34" s="725">
        <f>+BC33/AR33-1</f>
        <v>0.44035046546194168</v>
      </c>
      <c r="BD34" s="1695">
        <v>0.4930643127364438</v>
      </c>
      <c r="BE34" s="1695">
        <f>+BE33/AS33-1</f>
        <v>0.56368221941992425</v>
      </c>
      <c r="BF34" s="1020"/>
      <c r="BG34" s="1695"/>
      <c r="BH34" s="1695"/>
      <c r="BI34" s="1695"/>
      <c r="BJ34" s="1020"/>
      <c r="BK34" s="712"/>
      <c r="BL34" s="712"/>
      <c r="BM34" s="712"/>
      <c r="BN34" s="712"/>
      <c r="BO34" s="1020"/>
      <c r="BP34" s="1695">
        <v>0.6</v>
      </c>
      <c r="BQ34" s="709"/>
      <c r="BR34" s="725">
        <f>(BR33-AV33)/AV33</f>
        <v>5.0888501742160343E-2</v>
      </c>
      <c r="BS34" s="725">
        <v>0.15</v>
      </c>
      <c r="BT34" s="725">
        <v>0.21</v>
      </c>
      <c r="BU34" s="725">
        <v>-1.6889587073608665E-2</v>
      </c>
      <c r="BV34" s="725">
        <f>(BV33-AY33)/AY33</f>
        <v>-0.10665619389587079</v>
      </c>
      <c r="BW34" s="726"/>
      <c r="BX34" s="726">
        <v>0.19</v>
      </c>
      <c r="BY34" s="725">
        <f>+BY33/BB33-1</f>
        <v>0.29000000000000004</v>
      </c>
      <c r="BZ34" s="709"/>
      <c r="CA34" s="1695">
        <v>0.31077216396568158</v>
      </c>
      <c r="CB34" s="1695">
        <v>0.10044970671301323</v>
      </c>
      <c r="CC34" s="1695">
        <f>(CC33-BC33)/BC33</f>
        <v>5.6999782750380167E-2</v>
      </c>
      <c r="CD34" s="1695">
        <v>0.17741935483870969</v>
      </c>
      <c r="CE34" s="1695">
        <f>(CE33-BE33)/BE33</f>
        <v>0.15161290322580645</v>
      </c>
      <c r="CF34" s="1020"/>
      <c r="CG34" s="727">
        <f>(CG33-BP33)/BP33</f>
        <v>-0.32</v>
      </c>
      <c r="CH34" s="666">
        <v>-0.3</v>
      </c>
      <c r="CI34" s="666">
        <f>(CI33-BP33)/BP33</f>
        <v>-0.3</v>
      </c>
      <c r="CJ34" s="704">
        <f>CJ33/BR33-1</f>
        <v>-0.24293916435956531</v>
      </c>
      <c r="CK34" s="704">
        <v>-1</v>
      </c>
      <c r="CL34" s="704">
        <f>CL33/BT33-1</f>
        <v>-0.24347826086956526</v>
      </c>
      <c r="CM34" s="712"/>
      <c r="CN34" s="712"/>
      <c r="CO34" s="704">
        <f>CO33/BV33-1</f>
        <v>-0.32173414993192218</v>
      </c>
      <c r="CP34" s="704">
        <f>CP33/BX33-1</f>
        <v>-0.26816571323920668</v>
      </c>
      <c r="CQ34" s="712"/>
      <c r="CR34" s="666">
        <f>(CR33-BY33)/BY33</f>
        <v>-0.28564918477792312</v>
      </c>
      <c r="CS34" s="712"/>
      <c r="CT34" s="712"/>
      <c r="CU34" s="666">
        <f>(CU33-CC33)/CC33</f>
        <v>-0.27549189475826091</v>
      </c>
      <c r="CV34" s="712"/>
      <c r="CW34" s="1696">
        <f>CW33/CE33-1</f>
        <v>-0.28011204481792717</v>
      </c>
      <c r="CX34" s="704"/>
      <c r="CY34" s="704">
        <f>(CY33-CG33)/CG33</f>
        <v>-0.1</v>
      </c>
      <c r="CZ34" s="704">
        <f>+CZ33/CJ33-1</f>
        <v>-5.2554744525547425E-2</v>
      </c>
      <c r="DA34" s="704"/>
      <c r="DB34" s="704">
        <f>+DB33/CR33-1</f>
        <v>-7.7586206896551713E-2</v>
      </c>
      <c r="DC34" s="704">
        <f>+DC33/CL33-1</f>
        <v>-0.19499999999999995</v>
      </c>
      <c r="DD34" s="704">
        <f>(DD33-CL33)/CL33</f>
        <v>-0.15</v>
      </c>
      <c r="DE34" s="704">
        <f>+DE33/CO33-1</f>
        <v>-6.4814814814817545E-4</v>
      </c>
      <c r="DF34" s="704">
        <f>+DF33/CO33-1</f>
        <v>9.1944444444444384E-2</v>
      </c>
      <c r="DG34" s="704">
        <f>+DG33/CP33-1</f>
        <v>-0.1279064039408867</v>
      </c>
      <c r="DH34" s="704">
        <f>+DH33/CP33-1</f>
        <v>-0.10862068965517246</v>
      </c>
      <c r="DI34" s="704">
        <f>+DI33/CU33-1</f>
        <v>-0.12056737588652477</v>
      </c>
      <c r="DJ34" s="704">
        <f>(DJ33-CU33)/CU33</f>
        <v>-8.5106382978723402E-2</v>
      </c>
      <c r="DK34" s="704">
        <f>+DK33/CW33-1</f>
        <v>-0.10116731517509725</v>
      </c>
      <c r="DL34" s="1685">
        <v>-8.1712062256809381E-2</v>
      </c>
      <c r="DM34" s="1697"/>
      <c r="DN34" s="1695"/>
      <c r="DO34" s="1695"/>
      <c r="DP34" s="662"/>
      <c r="DQ34" s="662">
        <f>+DQ33/CO33-1</f>
        <v>0.22157407407407415</v>
      </c>
      <c r="DR34" s="662">
        <f>+DR33/CU33-1</f>
        <v>-3.546099290780147E-2</v>
      </c>
      <c r="DS34" s="1274">
        <f>DS33/CW33-1</f>
        <v>-5.4474708171206254E-2</v>
      </c>
      <c r="DT34" s="1697"/>
      <c r="DU34" s="1695"/>
      <c r="DV34" s="1695"/>
      <c r="DW34" s="1698">
        <f>DW33/CR33-1</f>
        <v>1.7241379310344751E-2</v>
      </c>
      <c r="DX34" s="662">
        <f>DX33/CU33-1</f>
        <v>7.8014184397163122E-2</v>
      </c>
      <c r="DY34" s="662">
        <f>DY33/CW33-1</f>
        <v>7.7821011673151474E-3</v>
      </c>
      <c r="DZ34" s="1020"/>
      <c r="EC34" s="662">
        <f>EC33/CC33-1</f>
        <v>-5.4542614436312142E-2</v>
      </c>
      <c r="ED34" s="1697">
        <f>(ED33-CE33)/CE33</f>
        <v>-0.15966386554621848</v>
      </c>
      <c r="EE34" s="1020"/>
      <c r="EF34" s="712"/>
      <c r="EG34" s="727">
        <v>-0.06</v>
      </c>
      <c r="EH34" s="712"/>
      <c r="EI34" s="666">
        <f>+EI33/CZ33-1</f>
        <v>-0.12895223420647139</v>
      </c>
      <c r="EJ34" s="712"/>
      <c r="EK34" s="666">
        <f>(EK33-DB33)/DB33</f>
        <v>-9.3457943925233641E-2</v>
      </c>
      <c r="EL34" s="712"/>
      <c r="EM34" s="666">
        <v>-0.08</v>
      </c>
      <c r="EN34" s="666">
        <f>+EN33/DC33-1</f>
        <v>-6.5724994645534385E-2</v>
      </c>
      <c r="EO34" s="666">
        <f>+EO33/DG33-1</f>
        <v>-8.8133984805264465E-2</v>
      </c>
      <c r="EP34" s="666">
        <f>+EP33/DG33-1</f>
        <v>-8.248679639619283E-2</v>
      </c>
      <c r="EQ34" s="666">
        <f>+EQ33/DE33-1</f>
        <v>-4.442138423052E-2</v>
      </c>
      <c r="ER34" s="666">
        <f>+ER33/DE33-1</f>
        <v>-1</v>
      </c>
      <c r="ES34" s="666">
        <f>+ES33/DI33-1</f>
        <v>-6.4516129032258118E-2</v>
      </c>
      <c r="ET34" s="666">
        <f>+ET33/DI33-1</f>
        <v>-1</v>
      </c>
      <c r="EU34" s="1700">
        <f>+EU33/DK33-1</f>
        <v>-7.7922077922077948E-2</v>
      </c>
      <c r="EV34" s="1274"/>
      <c r="EW34" s="617">
        <v>-1</v>
      </c>
      <c r="EX34" s="617">
        <f>+EX33/EG33-1</f>
        <v>-8.9999999999999858E-2</v>
      </c>
      <c r="EY34" s="617">
        <v>-1</v>
      </c>
      <c r="EZ34" s="617">
        <f>+EZ33/EI33-1</f>
        <v>-7.5231289027261061E-3</v>
      </c>
      <c r="FA34" s="617">
        <v>-1</v>
      </c>
      <c r="FB34" s="617">
        <f>+FB33/EK33-1</f>
        <v>-5.1546391752577359E-2</v>
      </c>
      <c r="FC34" s="617">
        <f>+FC33/EM33-1</f>
        <v>-2.261738695869453E-2</v>
      </c>
      <c r="FD34" s="617">
        <v>-1</v>
      </c>
      <c r="FE34" s="617">
        <f>+FE33/EO33-1</f>
        <v>-4.0000000000000036E-2</v>
      </c>
      <c r="FF34" s="617">
        <v>-1</v>
      </c>
      <c r="FG34" s="666">
        <f>+FG33/EQ33-1</f>
        <v>8.8677042650648907E-3</v>
      </c>
      <c r="FH34" s="617">
        <f>+FH33/EQ33-1</f>
        <v>-1</v>
      </c>
      <c r="FI34" s="617">
        <f>+FI33/ES33-1</f>
        <v>-8.6206896551723755E-3</v>
      </c>
      <c r="FJ34" s="617">
        <f>+FJ33/ES33-1</f>
        <v>-8.6206896551723755E-3</v>
      </c>
      <c r="FK34" s="1700">
        <f>+FK33/EU33-1</f>
        <v>-2.8169014084507005E-2</v>
      </c>
      <c r="FL34" s="1685">
        <f>+FL33/EU33-1</f>
        <v>-2.8169014084507005E-2</v>
      </c>
      <c r="FM34" s="725">
        <f>+FM33/EI33-1</f>
        <v>0.12514744122693733</v>
      </c>
      <c r="FN34" s="662">
        <f>+FN33/EK33-1</f>
        <v>1.0309278350515427E-2</v>
      </c>
      <c r="FO34" s="662"/>
      <c r="FP34" s="662">
        <f>+FP33/ES33-1</f>
        <v>4.31034482758621E-2</v>
      </c>
      <c r="FQ34" s="1274">
        <f>+FQ33/EU33-1</f>
        <v>0</v>
      </c>
      <c r="FR34" s="1274"/>
      <c r="FS34" s="617">
        <f>+FS33/EX33-1</f>
        <v>-2.9999999999999916E-2</v>
      </c>
      <c r="FT34" s="662"/>
      <c r="FU34" s="662"/>
      <c r="FV34" s="617">
        <f>+FV33/EZ33-1</f>
        <v>-1.3067677068875905E-2</v>
      </c>
      <c r="FW34" s="662"/>
      <c r="FX34" s="662"/>
      <c r="FY34" s="617">
        <f>+FY33/FB33-1</f>
        <v>-2.1739130434782594E-2</v>
      </c>
      <c r="FZ34" s="617">
        <f>+FZ33/FC33-1</f>
        <v>-6.9999999999999951E-2</v>
      </c>
      <c r="GA34" s="617">
        <f>+GA33/FE33-1</f>
        <v>-4.1350201508744799E-2</v>
      </c>
      <c r="GB34" s="617">
        <f>+GB33/FG33-1</f>
        <v>-6.9038925220078484E-2</v>
      </c>
      <c r="GC34" s="617">
        <f>+GC33/FI33-1</f>
        <v>-6.956521739130439E-2</v>
      </c>
      <c r="GD34" s="1677">
        <f>+GD33/FK33-1</f>
        <v>-4.8309178743961345E-2</v>
      </c>
      <c r="GE34" s="617"/>
      <c r="GF34" s="617"/>
      <c r="GG34" s="617"/>
      <c r="GH34" s="662"/>
      <c r="GI34" s="662"/>
      <c r="GJ34" s="1689"/>
      <c r="GK34" s="662"/>
      <c r="GL34" s="1266">
        <f>+GL33/FS33-1</f>
        <v>-6.0000000000000053E-2</v>
      </c>
      <c r="GM34" s="662"/>
      <c r="GN34" s="662"/>
      <c r="GO34" s="662">
        <f>+GO33/FV33-1</f>
        <v>-3.9683069867988419E-2</v>
      </c>
      <c r="GP34" s="662">
        <f>+GP33/FY33-1</f>
        <v>-5.0000000000000044E-2</v>
      </c>
      <c r="GQ34" s="662"/>
      <c r="GR34" s="617">
        <f>+GR33/FZ33-1</f>
        <v>7.6835513123374444E-2</v>
      </c>
      <c r="GS34" s="617">
        <f>+GS33/GA33-1</f>
        <v>0</v>
      </c>
      <c r="GT34" s="666">
        <f>+GT33/GB33-1</f>
        <v>0.30970407011338086</v>
      </c>
      <c r="GU34" s="1701">
        <f>+GU33/GC33-1</f>
        <v>0.18224299065420557</v>
      </c>
      <c r="GV34" s="1700">
        <f>+GV33/GD33-1</f>
        <v>7.6142131979695327E-2</v>
      </c>
      <c r="GW34" s="617"/>
      <c r="GX34" s="662"/>
      <c r="GY34" s="662"/>
      <c r="GZ34" s="662"/>
      <c r="HA34" s="1689"/>
      <c r="HB34" s="662"/>
      <c r="HC34" s="662"/>
      <c r="HD34" s="662">
        <f>+HD33/GL33-1</f>
        <v>0.41999999999999993</v>
      </c>
      <c r="HE34" s="662"/>
      <c r="HF34" s="662">
        <f>+HF33/GO33-1</f>
        <v>0.23911205855256701</v>
      </c>
      <c r="HG34" s="662"/>
      <c r="HH34" s="662"/>
      <c r="HI34" s="662">
        <f>+HI33/GP33-1</f>
        <v>0.33000000000000007</v>
      </c>
      <c r="HJ34" s="662"/>
      <c r="HK34" s="662"/>
      <c r="HL34" s="662"/>
      <c r="HM34" s="662"/>
      <c r="HN34" s="617">
        <f>+HN33/GR33-1</f>
        <v>7.0872096554402519E-2</v>
      </c>
      <c r="HO34" s="617">
        <f>+HO33/GS33-1</f>
        <v>-1.5182858372853476</v>
      </c>
      <c r="HP34" s="617">
        <f>+HP33/GS33-1</f>
        <v>0.21999999999999997</v>
      </c>
      <c r="HQ34" s="617">
        <f>+HQ33/GS33-1</f>
        <v>-1</v>
      </c>
      <c r="HR34" s="666">
        <f>+HR33/GT33-1</f>
        <v>-5.8087237235054046E-2</v>
      </c>
      <c r="HS34" s="666"/>
      <c r="HT34" s="666">
        <f>+HT33/GU33-1</f>
        <v>6.2055335968378422E-3</v>
      </c>
      <c r="HU34" s="666"/>
      <c r="HV34" s="666">
        <f>+HV33/GV33-1</f>
        <v>0.1367924528301887</v>
      </c>
      <c r="HW34" s="662"/>
      <c r="HX34" s="662"/>
      <c r="HY34" s="662"/>
      <c r="HZ34" s="666"/>
      <c r="IA34" s="662"/>
      <c r="IB34" s="662"/>
      <c r="IC34" s="1689"/>
      <c r="ID34" s="662"/>
      <c r="IE34" s="1288" t="e">
        <f>+IE33/HE33-1</f>
        <v>#DIV/0!</v>
      </c>
      <c r="IF34" s="662" t="e">
        <f>IF33/HH33-1</f>
        <v>#DIV/0!</v>
      </c>
      <c r="IG34" s="662">
        <f>IG33/HM33-1</f>
        <v>-0.1428571428571429</v>
      </c>
      <c r="IH34" s="662">
        <f>+IH33/HO33-1</f>
        <v>-1.5064935064935066</v>
      </c>
      <c r="II34" s="662"/>
      <c r="IJ34" s="662" t="e">
        <f>+IJ33/HQ33-1</f>
        <v>#DIV/0!</v>
      </c>
      <c r="IK34" s="662"/>
      <c r="IL34" s="662"/>
      <c r="IM34" s="662" t="e">
        <f>+IM33/HS33-1</f>
        <v>#DIV/0!</v>
      </c>
      <c r="IN34" s="662"/>
      <c r="IO34" s="662">
        <f>+IO33/HU33-1</f>
        <v>7.4074074074074181E-2</v>
      </c>
      <c r="IP34" s="1274"/>
      <c r="IQ34" s="662"/>
      <c r="IR34" s="1702">
        <f>+IR33/HZ33-1</f>
        <v>-3.1645569620253111E-2</v>
      </c>
      <c r="IS34" s="1288"/>
      <c r="IT34" s="662"/>
      <c r="IU34" s="662"/>
      <c r="IV34" s="662"/>
      <c r="IW34" s="662"/>
      <c r="IX34" s="662">
        <f>(IX33-IG33)/IG33</f>
        <v>0.12121212121212122</v>
      </c>
      <c r="IY34" s="662"/>
      <c r="IZ34" s="662"/>
      <c r="JA34" s="662"/>
      <c r="JB34" s="662">
        <f>(JB33-IM33)/IM33</f>
        <v>0.8125</v>
      </c>
      <c r="JC34" s="662">
        <f>(JC33-IO33)/IO33</f>
        <v>0</v>
      </c>
      <c r="JD34" s="662">
        <f>(JD33-IR33)/IR33</f>
        <v>5.2287581699346407E-2</v>
      </c>
      <c r="JE34" s="662"/>
      <c r="JF34" s="662"/>
      <c r="JG34" s="662"/>
      <c r="JH34" s="1274"/>
      <c r="JI34" s="1288"/>
      <c r="JJ34" s="1671"/>
      <c r="JK34" s="1670"/>
      <c r="JL34" s="1670"/>
      <c r="JM34" s="1670"/>
      <c r="JN34" s="1670"/>
      <c r="JO34" s="1670"/>
      <c r="JP34" s="1670">
        <f>+JP33/IX33-1</f>
        <v>-8.108108108108103E-2</v>
      </c>
      <c r="JQ34" s="1670"/>
      <c r="JR34" s="1670"/>
      <c r="JS34" s="1670"/>
      <c r="JT34" s="1670"/>
      <c r="JU34" s="1670"/>
      <c r="JV34" s="1670"/>
      <c r="JW34" s="1670"/>
      <c r="JX34" s="1670"/>
      <c r="JY34" s="1670"/>
      <c r="JZ34" s="662"/>
      <c r="KA34" s="1274"/>
      <c r="KB34" s="1670" t="e">
        <f>+KB33/IV33-1</f>
        <v>#DIV/0!</v>
      </c>
      <c r="KC34" s="1670">
        <f>+KC33/IX33-1</f>
        <v>-5.4054054054054057E-2</v>
      </c>
      <c r="KD34" s="1670">
        <f>+KD33/JC33-1</f>
        <v>9.1954022988505857E-2</v>
      </c>
      <c r="KE34" s="1670">
        <f>+KE33/JC33-1</f>
        <v>0</v>
      </c>
      <c r="KF34" s="1670">
        <f>+KF33/JB33-1</f>
        <v>0.78160919540229878</v>
      </c>
      <c r="KG34" s="1670">
        <f>+KG33/JD33-1</f>
        <v>-3.7267080745341574E-2</v>
      </c>
      <c r="KH34" s="1670">
        <f>+KH33/JD33-1</f>
        <v>2.4844720496894457E-2</v>
      </c>
      <c r="KI34" s="1274"/>
      <c r="KJ34" s="662"/>
      <c r="KK34" s="662"/>
      <c r="KL34" s="662">
        <f>KL33/IO33-1</f>
        <v>6.8965517241379226E-2</v>
      </c>
      <c r="KM34" s="1670">
        <f>KM33/IR33-1</f>
        <v>9.1503267973856106E-2</v>
      </c>
      <c r="KN34" s="662"/>
      <c r="KO34" s="1670">
        <v>0.21212121212121215</v>
      </c>
      <c r="KP34" s="1670">
        <v>0.12643678160919536</v>
      </c>
      <c r="KQ34" s="1686">
        <v>0.1633986928104576</v>
      </c>
      <c r="KR34" s="1670">
        <v>3.7037037037036979E-2</v>
      </c>
      <c r="KS34" s="1686">
        <v>-5.0632911392405111E-2</v>
      </c>
      <c r="KT34" s="662">
        <f>+KT33/HG33-1</f>
        <v>-0.54647887323943656</v>
      </c>
      <c r="KU34" s="662">
        <f>+KU33/HL33-1</f>
        <v>-7.999999999999996E-2</v>
      </c>
      <c r="KV34" s="662" t="e">
        <f>+KV33/#REF!-1</f>
        <v>#REF!</v>
      </c>
      <c r="KW34" s="1274">
        <f>+KW33/HZ33-1</f>
        <v>-2.5316455696202556E-2</v>
      </c>
      <c r="KX34" s="662">
        <f>+KX33/GT33-1</f>
        <v>4.9710932037336786E-3</v>
      </c>
      <c r="KY34" s="1266">
        <f>+KY33/GU33-1</f>
        <v>3.7826086956521676E-2</v>
      </c>
      <c r="KZ34" s="1274">
        <f>+KZ33/GV33-1</f>
        <v>0.15566037735849059</v>
      </c>
      <c r="LA34" s="662">
        <f>+LA33/GP33-1</f>
        <v>4.0935672514619936E-2</v>
      </c>
      <c r="LB34" s="662">
        <f>+LB33/GU33-1</f>
        <v>-0.10671936758893286</v>
      </c>
      <c r="LC34" s="1274">
        <f>+LC33/GV33-1</f>
        <v>-4.7169811320754707E-2</v>
      </c>
      <c r="LD34" s="1274">
        <f>+LD33/LC33-1</f>
        <v>-1</v>
      </c>
      <c r="LE34" s="662">
        <f>+LE33/GB33-1</f>
        <v>0</v>
      </c>
      <c r="LF34" s="662">
        <f>+LF33/GC33-1</f>
        <v>4.20560747663552E-2</v>
      </c>
      <c r="LG34" s="1274">
        <f>+LG33/GD33-1</f>
        <v>0</v>
      </c>
    </row>
    <row r="35" spans="1:319" s="705" customFormat="1" ht="12">
      <c r="A35" s="510"/>
      <c r="B35" s="697" t="s">
        <v>1065</v>
      </c>
      <c r="C35" s="699" t="s">
        <v>986</v>
      </c>
      <c r="D35" s="497"/>
      <c r="E35" s="510"/>
      <c r="F35" s="510"/>
      <c r="G35" s="699"/>
      <c r="H35" s="510"/>
      <c r="I35" s="510"/>
      <c r="J35" s="699"/>
      <c r="K35" s="584"/>
      <c r="L35" s="584"/>
      <c r="M35" s="584"/>
      <c r="N35" s="584"/>
      <c r="O35" s="584"/>
      <c r="P35" s="584"/>
      <c r="Q35" s="584"/>
      <c r="R35" s="584"/>
      <c r="S35" s="700"/>
      <c r="T35" s="584"/>
      <c r="U35" s="584"/>
      <c r="V35" s="584"/>
      <c r="W35" s="584"/>
      <c r="X35" s="584"/>
      <c r="Y35" s="584"/>
      <c r="Z35" s="584"/>
      <c r="AA35" s="584"/>
      <c r="AB35" s="700"/>
      <c r="AC35" s="584"/>
      <c r="AD35" s="584"/>
      <c r="AE35" s="584"/>
      <c r="AF35" s="584"/>
      <c r="AG35" s="584"/>
      <c r="AH35" s="584"/>
      <c r="AI35" s="584"/>
      <c r="AJ35" s="584"/>
      <c r="AK35" s="497"/>
      <c r="AL35" s="584"/>
      <c r="AM35" s="584"/>
      <c r="AN35" s="584"/>
      <c r="AO35" s="584"/>
      <c r="AP35" s="584"/>
      <c r="AQ35" s="584"/>
      <c r="AR35" s="584"/>
      <c r="AS35" s="584"/>
      <c r="AT35" s="497"/>
      <c r="AU35" s="584">
        <v>2500</v>
      </c>
      <c r="AV35" s="584">
        <v>4500</v>
      </c>
      <c r="AW35" s="625">
        <f>BC35-AY35</f>
        <v>5500</v>
      </c>
      <c r="AX35" s="584"/>
      <c r="AY35" s="625">
        <v>5500</v>
      </c>
      <c r="AZ35" s="584"/>
      <c r="BA35" s="609"/>
      <c r="BB35" s="625">
        <f>AV35+AU35</f>
        <v>7000</v>
      </c>
      <c r="BC35" s="625">
        <f>BE35-BB35</f>
        <v>11000</v>
      </c>
      <c r="BD35" s="609"/>
      <c r="BE35" s="625">
        <v>18000</v>
      </c>
      <c r="BF35" s="497"/>
      <c r="BG35" s="609"/>
      <c r="BH35" s="609"/>
      <c r="BI35" s="609"/>
      <c r="BJ35" s="497"/>
      <c r="BK35" s="510"/>
      <c r="BL35" s="510"/>
      <c r="BM35" s="510"/>
      <c r="BN35" s="510"/>
      <c r="BO35" s="497"/>
      <c r="BP35" s="625">
        <v>6000</v>
      </c>
      <c r="BQ35" s="612">
        <f>(BP35-AU35)/AU35</f>
        <v>1.4</v>
      </c>
      <c r="BR35" s="584">
        <f t="shared" ref="BR35:BR37" si="52">+BY35-BP35</f>
        <v>5300</v>
      </c>
      <c r="BS35" s="709">
        <v>7000</v>
      </c>
      <c r="BT35" s="709">
        <v>8300</v>
      </c>
      <c r="BU35" s="709">
        <v>5100</v>
      </c>
      <c r="BV35" s="584">
        <f>CC35-BT35</f>
        <v>5200</v>
      </c>
      <c r="BW35" s="584"/>
      <c r="BX35" s="584">
        <f>BT35+BY35</f>
        <v>19600</v>
      </c>
      <c r="BY35" s="584">
        <v>11300</v>
      </c>
      <c r="BZ35" s="584"/>
      <c r="CA35" s="584">
        <v>11000</v>
      </c>
      <c r="CB35" s="584"/>
      <c r="CC35" s="584">
        <f>CE35-BY35</f>
        <v>13500</v>
      </c>
      <c r="CD35" s="584">
        <v>24700</v>
      </c>
      <c r="CE35" s="584">
        <v>24800</v>
      </c>
      <c r="CF35" s="497"/>
      <c r="CG35" s="728">
        <v>4000</v>
      </c>
      <c r="CH35" s="729">
        <v>3900</v>
      </c>
      <c r="CI35" s="729">
        <v>3900</v>
      </c>
      <c r="CJ35" s="561">
        <f>CR35-CG35</f>
        <v>3500</v>
      </c>
      <c r="CK35" s="702"/>
      <c r="CL35" s="510">
        <v>5800</v>
      </c>
      <c r="CM35" s="618"/>
      <c r="CN35" s="510"/>
      <c r="CO35" s="510">
        <f>CW35-CP35</f>
        <v>2700</v>
      </c>
      <c r="CP35" s="510">
        <f>CG35+CJ35+CL35</f>
        <v>13300</v>
      </c>
      <c r="CQ35" s="510"/>
      <c r="CR35" s="510">
        <v>7500</v>
      </c>
      <c r="CS35" s="510"/>
      <c r="CT35" s="510"/>
      <c r="CU35" s="510">
        <f>CW35-CR35</f>
        <v>8500</v>
      </c>
      <c r="CV35" s="510"/>
      <c r="CW35" s="699">
        <v>16000</v>
      </c>
      <c r="CX35" s="510"/>
      <c r="CY35" s="510">
        <v>3200</v>
      </c>
      <c r="CZ35" s="510">
        <f>+DB35-CY35</f>
        <v>3220</v>
      </c>
      <c r="DA35" s="510"/>
      <c r="DB35" s="510">
        <f>+DB33*0.6</f>
        <v>6420</v>
      </c>
      <c r="DC35" s="510">
        <v>4300</v>
      </c>
      <c r="DD35" s="712"/>
      <c r="DE35" s="510">
        <f t="shared" si="42"/>
        <v>13900</v>
      </c>
      <c r="DF35" s="618"/>
      <c r="DG35" s="510"/>
      <c r="DH35" s="510"/>
      <c r="DI35" s="510">
        <f t="shared" si="3"/>
        <v>7480</v>
      </c>
      <c r="DJ35" s="510"/>
      <c r="DK35" s="510">
        <f>Driver!AB87</f>
        <v>13900</v>
      </c>
      <c r="DL35" s="730"/>
      <c r="DM35" s="731"/>
      <c r="DN35" s="625"/>
      <c r="DO35" s="625"/>
      <c r="DP35" s="713"/>
      <c r="DQ35" s="713"/>
      <c r="DR35" s="713"/>
      <c r="DS35" s="732"/>
      <c r="DT35" s="731"/>
      <c r="DU35" s="625"/>
      <c r="DV35" s="625"/>
      <c r="DX35" s="733">
        <f>DY35-DB35</f>
        <v>9580</v>
      </c>
      <c r="DY35" s="733">
        <v>16000</v>
      </c>
      <c r="DZ35" s="497"/>
      <c r="EC35" s="733">
        <f>ED35-CR35</f>
        <v>12500</v>
      </c>
      <c r="ED35" s="731">
        <v>20000</v>
      </c>
      <c r="EE35" s="497"/>
      <c r="EF35" s="510"/>
      <c r="EG35" s="714">
        <v>3000</v>
      </c>
      <c r="EH35" s="510"/>
      <c r="EI35" s="510">
        <f t="shared" ref="EI35:EI37" si="53">+EK35-EG35</f>
        <v>2500</v>
      </c>
      <c r="EJ35" s="510"/>
      <c r="EK35" s="510">
        <v>5500</v>
      </c>
      <c r="EL35" s="510">
        <f>(EK35-DB35)/DB35</f>
        <v>-0.14330218068535824</v>
      </c>
      <c r="EM35" s="510">
        <v>3700</v>
      </c>
      <c r="EN35" s="510"/>
      <c r="EO35" s="510">
        <f>+EM35+EK35</f>
        <v>9200</v>
      </c>
      <c r="EQ35" s="510">
        <f>+EU35-EO35</f>
        <v>2500</v>
      </c>
      <c r="ES35" s="510">
        <f>EU35-EK35</f>
        <v>6200</v>
      </c>
      <c r="EU35" s="699">
        <v>11700</v>
      </c>
      <c r="EV35" s="732"/>
      <c r="EW35" s="510"/>
      <c r="EX35" s="510"/>
      <c r="EY35" s="510"/>
      <c r="EZ35" s="510"/>
      <c r="FA35" s="510"/>
      <c r="FB35" s="510">
        <v>5000</v>
      </c>
      <c r="FC35" s="510">
        <v>3400</v>
      </c>
      <c r="FD35" s="510"/>
      <c r="FE35" s="510">
        <f>FC35+FB35</f>
        <v>8400</v>
      </c>
      <c r="FF35" s="734"/>
      <c r="FG35" s="510">
        <f>FI35-FC35</f>
        <v>2500</v>
      </c>
      <c r="FH35" s="510"/>
      <c r="FI35" s="510">
        <f>FK35-FB35</f>
        <v>5900</v>
      </c>
      <c r="FJ35" s="510"/>
      <c r="FK35" s="699">
        <v>10900</v>
      </c>
      <c r="FL35" s="730"/>
      <c r="FM35" s="735"/>
      <c r="FN35" s="713"/>
      <c r="FO35" s="713"/>
      <c r="FP35" s="713"/>
      <c r="FQ35" s="732"/>
      <c r="FR35" s="732"/>
      <c r="FS35" s="510" t="s">
        <v>1272</v>
      </c>
      <c r="FT35" s="733"/>
      <c r="FU35" s="733"/>
      <c r="FV35" s="510"/>
      <c r="FW35" s="733"/>
      <c r="FX35" s="733"/>
      <c r="FY35" s="736">
        <f>FB35*0.96</f>
        <v>4800</v>
      </c>
      <c r="FZ35" s="510">
        <f>FC35*0.91</f>
        <v>3094</v>
      </c>
      <c r="GA35" s="510">
        <f>FZ35+FY35</f>
        <v>7894</v>
      </c>
      <c r="GB35" s="510">
        <f>+GD35-GA35</f>
        <v>2461</v>
      </c>
      <c r="GC35" s="510">
        <f>GD35-FY35</f>
        <v>5555</v>
      </c>
      <c r="GD35" s="737">
        <f>FK35*0.95</f>
        <v>10355</v>
      </c>
      <c r="GE35" s="510"/>
      <c r="GF35" s="736"/>
      <c r="GG35" s="736"/>
      <c r="GH35" s="733"/>
      <c r="GI35" s="733"/>
      <c r="GJ35" s="738"/>
      <c r="GK35" s="733"/>
      <c r="GL35" s="739">
        <f>HD35/1.47</f>
        <v>2312.9251700680275</v>
      </c>
      <c r="GM35" s="733"/>
      <c r="GN35" s="733"/>
      <c r="GO35" s="733"/>
      <c r="GP35" s="733">
        <v>4500</v>
      </c>
      <c r="GQ35" s="733"/>
      <c r="GR35" s="510">
        <f>FZ35*1.07</f>
        <v>3310.5800000000004</v>
      </c>
      <c r="GS35" s="510">
        <f>GR35+GP35</f>
        <v>7810.58</v>
      </c>
      <c r="GT35" s="510">
        <f>+GU35-GR35</f>
        <v>3689.4199999999996</v>
      </c>
      <c r="GU35" s="510">
        <f>GV35-GP35</f>
        <v>7000</v>
      </c>
      <c r="GV35" s="699">
        <v>11500</v>
      </c>
      <c r="GW35" s="510"/>
      <c r="GX35" s="733"/>
      <c r="GY35" s="733"/>
      <c r="GZ35" s="733"/>
      <c r="HA35" s="738"/>
      <c r="HB35" s="733"/>
      <c r="HC35" s="733"/>
      <c r="HD35" s="606">
        <v>3400</v>
      </c>
      <c r="HE35" s="606"/>
      <c r="HF35" s="733">
        <f>HI35-HD35</f>
        <v>2900</v>
      </c>
      <c r="HG35" s="733">
        <f>HL35-HE35</f>
        <v>0</v>
      </c>
      <c r="HH35" s="733"/>
      <c r="HI35" s="606">
        <v>6300</v>
      </c>
      <c r="HJ35" s="733"/>
      <c r="HK35" s="733"/>
      <c r="HL35" s="606"/>
      <c r="HM35" s="606"/>
      <c r="HN35" s="734">
        <f>HP35-HI35</f>
        <v>3853.7540000000008</v>
      </c>
      <c r="HO35" s="734">
        <f>HQ35-HM35</f>
        <v>0</v>
      </c>
      <c r="HP35" s="734">
        <f>GS35*1.3</f>
        <v>10153.754000000001</v>
      </c>
      <c r="HQ35" s="510"/>
      <c r="HR35" s="510">
        <f>+HT35-HN35</f>
        <v>3646.2459999999992</v>
      </c>
      <c r="HS35" s="510"/>
      <c r="HT35" s="510">
        <f>HV35-HI35</f>
        <v>7500</v>
      </c>
      <c r="HU35" s="510">
        <f>HZ35-HM35</f>
        <v>0</v>
      </c>
      <c r="HV35" s="734">
        <f>GV35*1.2</f>
        <v>13800</v>
      </c>
      <c r="HW35" s="733"/>
      <c r="HX35" s="733"/>
      <c r="HY35" s="733"/>
      <c r="HZ35" s="510"/>
      <c r="IA35" s="733"/>
      <c r="IB35" s="733"/>
      <c r="IC35" s="738"/>
      <c r="ID35" s="733"/>
      <c r="IE35" s="740">
        <f>IE33*0.55</f>
        <v>1980.0000000000002</v>
      </c>
      <c r="IF35" s="733">
        <f>IG35-IE35</f>
        <v>1650.0000000000002</v>
      </c>
      <c r="IG35" s="733">
        <f>IG33*0.55</f>
        <v>3630.0000000000005</v>
      </c>
      <c r="IH35" s="733">
        <f>IJ35-IG35</f>
        <v>-3630.0000000000005</v>
      </c>
      <c r="II35" s="733"/>
      <c r="IJ35" s="606"/>
      <c r="IK35" s="606">
        <f>IP35-IL35</f>
        <v>0</v>
      </c>
      <c r="IL35" s="733"/>
      <c r="IM35" s="733">
        <f>+IO35-IH35</f>
        <v>13400</v>
      </c>
      <c r="IN35" s="733"/>
      <c r="IO35" s="733">
        <f>IR35-IG35</f>
        <v>9770</v>
      </c>
      <c r="IP35" s="732"/>
      <c r="IQ35" s="733"/>
      <c r="IR35" s="741">
        <v>13400</v>
      </c>
      <c r="IS35" s="784"/>
      <c r="IT35" s="733"/>
      <c r="IU35" s="733"/>
      <c r="IV35" s="733"/>
      <c r="IW35" s="733"/>
      <c r="IX35" s="733"/>
      <c r="IY35" s="733"/>
      <c r="IZ35" s="733"/>
      <c r="JA35" s="733"/>
      <c r="JB35" s="733"/>
      <c r="JC35" s="733"/>
      <c r="JD35" s="733"/>
      <c r="JE35" s="733"/>
      <c r="JF35" s="733"/>
      <c r="JG35" s="733"/>
      <c r="JH35" s="732"/>
      <c r="JI35" s="784"/>
      <c r="JJ35" s="784"/>
      <c r="JK35" s="713"/>
      <c r="JL35" s="713"/>
      <c r="JM35" s="713"/>
      <c r="JN35" s="713"/>
      <c r="JO35" s="713"/>
      <c r="JP35" s="713"/>
      <c r="JQ35" s="713"/>
      <c r="JR35" s="713"/>
      <c r="JS35" s="713"/>
      <c r="JT35" s="713"/>
      <c r="JU35" s="713"/>
      <c r="JV35" s="713"/>
      <c r="JW35" s="713"/>
      <c r="JX35" s="713"/>
      <c r="JY35" s="713"/>
      <c r="JZ35" s="713"/>
      <c r="KA35" s="517"/>
      <c r="KB35" s="713"/>
      <c r="KC35" s="713"/>
      <c r="KD35" s="713"/>
      <c r="KE35" s="713"/>
      <c r="KF35" s="713"/>
      <c r="KG35" s="713"/>
      <c r="KH35" s="713"/>
      <c r="KI35" s="517"/>
      <c r="KJ35" s="713"/>
      <c r="KK35" s="733"/>
      <c r="KL35" s="713"/>
      <c r="KM35" s="713"/>
      <c r="KN35" s="713"/>
      <c r="KO35" s="713"/>
      <c r="KP35" s="713"/>
      <c r="KQ35" s="517"/>
      <c r="KR35" s="713"/>
      <c r="KS35" s="517"/>
      <c r="KT35" s="713"/>
      <c r="KU35" s="713"/>
      <c r="KV35" s="713"/>
      <c r="KW35" s="732"/>
      <c r="KX35" s="713"/>
      <c r="KY35" s="713"/>
      <c r="KZ35" s="732"/>
      <c r="LA35" s="713"/>
      <c r="LB35" s="713"/>
      <c r="LC35" s="732"/>
      <c r="LD35" s="732"/>
      <c r="LE35" s="713"/>
      <c r="LF35" s="713"/>
      <c r="LG35" s="732"/>
    </row>
    <row r="36" spans="1:319" s="705" customFormat="1" ht="12">
      <c r="A36" s="510"/>
      <c r="B36" s="697" t="s">
        <v>1066</v>
      </c>
      <c r="C36" s="699" t="s">
        <v>987</v>
      </c>
      <c r="D36" s="497"/>
      <c r="E36" s="510"/>
      <c r="F36" s="510"/>
      <c r="G36" s="699"/>
      <c r="H36" s="510"/>
      <c r="I36" s="510"/>
      <c r="J36" s="699"/>
      <c r="K36" s="584"/>
      <c r="L36" s="584"/>
      <c r="M36" s="584"/>
      <c r="N36" s="584"/>
      <c r="O36" s="584"/>
      <c r="P36" s="584"/>
      <c r="Q36" s="584"/>
      <c r="R36" s="584"/>
      <c r="S36" s="700"/>
      <c r="T36" s="584"/>
      <c r="U36" s="584"/>
      <c r="V36" s="584"/>
      <c r="W36" s="584"/>
      <c r="X36" s="584"/>
      <c r="Y36" s="584"/>
      <c r="Z36" s="584"/>
      <c r="AA36" s="584"/>
      <c r="AB36" s="700"/>
      <c r="AC36" s="584"/>
      <c r="AD36" s="584"/>
      <c r="AE36" s="584"/>
      <c r="AF36" s="584"/>
      <c r="AG36" s="584"/>
      <c r="AH36" s="584"/>
      <c r="AI36" s="584"/>
      <c r="AJ36" s="584"/>
      <c r="AK36" s="497"/>
      <c r="AL36" s="584"/>
      <c r="AM36" s="584"/>
      <c r="AN36" s="584"/>
      <c r="AO36" s="584"/>
      <c r="AP36" s="584"/>
      <c r="AQ36" s="584"/>
      <c r="AR36" s="584"/>
      <c r="AS36" s="584"/>
      <c r="AT36" s="497"/>
      <c r="AU36" s="584">
        <f>AU33-AU35</f>
        <v>3200</v>
      </c>
      <c r="AV36" s="584">
        <f>AV33-AV35</f>
        <v>2388</v>
      </c>
      <c r="AW36" s="625">
        <f>BC36-AY36</f>
        <v>4000</v>
      </c>
      <c r="AX36" s="584"/>
      <c r="AY36" s="625">
        <f>AY33-AY35</f>
        <v>3412</v>
      </c>
      <c r="AZ36" s="584"/>
      <c r="BA36" s="609"/>
      <c r="BB36" s="625">
        <f>AV36+AU36</f>
        <v>5588</v>
      </c>
      <c r="BC36" s="625">
        <f>BE36-BB36</f>
        <v>7412</v>
      </c>
      <c r="BD36" s="625"/>
      <c r="BE36" s="625">
        <f>BE33-BE35</f>
        <v>13000</v>
      </c>
      <c r="BF36" s="497"/>
      <c r="BG36" s="609"/>
      <c r="BH36" s="609"/>
      <c r="BI36" s="609"/>
      <c r="BJ36" s="497"/>
      <c r="BK36" s="510"/>
      <c r="BL36" s="510"/>
      <c r="BM36" s="510"/>
      <c r="BN36" s="510"/>
      <c r="BO36" s="497"/>
      <c r="BP36" s="625">
        <f>BP33-BP35</f>
        <v>3000</v>
      </c>
      <c r="BQ36" s="612">
        <f>(BP36-AU36)/AU36</f>
        <v>-6.25E-2</v>
      </c>
      <c r="BR36" s="584">
        <f t="shared" si="52"/>
        <v>1938.5200000000004</v>
      </c>
      <c r="BS36" s="584"/>
      <c r="BT36" s="584">
        <f>BT33-BT35</f>
        <v>3200</v>
      </c>
      <c r="BU36" s="584">
        <v>3661.4799999999996</v>
      </c>
      <c r="BV36" s="584">
        <f>BV33-BV35</f>
        <v>2761.4799999999996</v>
      </c>
      <c r="BW36" s="584"/>
      <c r="BX36" s="584">
        <f>BT36+BY36</f>
        <v>8138.52</v>
      </c>
      <c r="BY36" s="584">
        <f>BY33-BY35</f>
        <v>4938.5200000000004</v>
      </c>
      <c r="BZ36" s="584"/>
      <c r="CA36" s="584">
        <v>5500</v>
      </c>
      <c r="CB36" s="584"/>
      <c r="CC36" s="584">
        <f>CC33-CC35</f>
        <v>5961.48</v>
      </c>
      <c r="CD36" s="584">
        <v>11800</v>
      </c>
      <c r="CE36" s="584">
        <f>CE33-CE35</f>
        <v>10900</v>
      </c>
      <c r="CF36" s="497"/>
      <c r="CG36" s="711">
        <f>CG33-CG35</f>
        <v>2120</v>
      </c>
      <c r="CH36" s="712">
        <v>2400</v>
      </c>
      <c r="CI36" s="712">
        <v>2400</v>
      </c>
      <c r="CJ36" s="561">
        <f>CR36-CG36</f>
        <v>1980</v>
      </c>
      <c r="CK36" s="510"/>
      <c r="CL36" s="510">
        <f>CL33-CL35</f>
        <v>2900</v>
      </c>
      <c r="CM36" s="510"/>
      <c r="CN36" s="510"/>
      <c r="CO36" s="510">
        <f>CO33-CO35</f>
        <v>2700</v>
      </c>
      <c r="CP36" s="510">
        <f>CG36+CJ36+CL36</f>
        <v>7000</v>
      </c>
      <c r="CQ36" s="510"/>
      <c r="CR36" s="510">
        <f>CR33-CR35</f>
        <v>4100</v>
      </c>
      <c r="CS36" s="510"/>
      <c r="CT36" s="510"/>
      <c r="CU36" s="618">
        <f>(CU35-CC35)/CC35</f>
        <v>-0.37037037037037035</v>
      </c>
      <c r="CV36" s="510"/>
      <c r="CW36" s="699">
        <f>CW33-CW35</f>
        <v>9700</v>
      </c>
      <c r="CX36" s="510"/>
      <c r="CY36" s="510">
        <f>CY33-CY35</f>
        <v>2308</v>
      </c>
      <c r="CZ36" s="510">
        <f>CZ33-CZ35</f>
        <v>1972</v>
      </c>
      <c r="DA36" s="510"/>
      <c r="DB36" s="510">
        <f>DB33-DB35</f>
        <v>4280</v>
      </c>
      <c r="DC36" s="510">
        <f>DC33-DC35</f>
        <v>2703.5</v>
      </c>
      <c r="DD36" s="712"/>
      <c r="DE36" s="510">
        <f t="shared" si="42"/>
        <v>9200</v>
      </c>
      <c r="DF36" s="618"/>
      <c r="DG36" s="510"/>
      <c r="DH36" s="510"/>
      <c r="DI36" s="510">
        <f t="shared" si="3"/>
        <v>4920</v>
      </c>
      <c r="DJ36" s="510"/>
      <c r="DK36" s="510">
        <f>DK33-DK35</f>
        <v>9200</v>
      </c>
      <c r="DL36" s="731"/>
      <c r="DM36" s="731"/>
      <c r="DN36" s="625"/>
      <c r="DO36" s="625"/>
      <c r="DP36" s="713"/>
      <c r="DQ36" s="713"/>
      <c r="DR36" s="713"/>
      <c r="DS36" s="732"/>
      <c r="DT36" s="731"/>
      <c r="DU36" s="625"/>
      <c r="DV36" s="625"/>
      <c r="DW36" s="705">
        <f>DW33-DW35</f>
        <v>11800</v>
      </c>
      <c r="DX36" s="733">
        <f>DY36-DB36</f>
        <v>5620</v>
      </c>
      <c r="DY36" s="733">
        <f>DY33-DY35</f>
        <v>9900</v>
      </c>
      <c r="DZ36" s="497"/>
      <c r="EC36" s="733">
        <f>ED36-CR36</f>
        <v>5900</v>
      </c>
      <c r="ED36" s="731">
        <f>ED33-ED35</f>
        <v>10000</v>
      </c>
      <c r="EE36" s="497"/>
      <c r="EF36" s="510"/>
      <c r="EG36" s="714">
        <f>EG33-EG35</f>
        <v>2177.5199999999995</v>
      </c>
      <c r="EH36" s="510"/>
      <c r="EI36" s="510">
        <f t="shared" si="53"/>
        <v>2022.4800000000005</v>
      </c>
      <c r="EJ36" s="510"/>
      <c r="EK36" s="510">
        <f>EK33-EK35</f>
        <v>4200</v>
      </c>
      <c r="EL36" s="510">
        <f>(EK36-DB36)/DB36</f>
        <v>-1.8691588785046728E-2</v>
      </c>
      <c r="EM36" s="510">
        <f>EM33-EM35</f>
        <v>2743.2200000000003</v>
      </c>
      <c r="EN36" s="510"/>
      <c r="EO36" s="510">
        <f>+EM36+EK36</f>
        <v>6943.22</v>
      </c>
      <c r="EQ36" s="510">
        <f>+EU36-EO36</f>
        <v>2656.7799999999997</v>
      </c>
      <c r="ES36" s="510">
        <f>EU36-EK36</f>
        <v>5400</v>
      </c>
      <c r="EU36" s="699">
        <f>EU33-EU35</f>
        <v>9600</v>
      </c>
      <c r="EV36" s="732"/>
      <c r="EW36" s="510"/>
      <c r="EX36" s="510"/>
      <c r="EY36" s="510"/>
      <c r="EZ36" s="510"/>
      <c r="FA36" s="510"/>
      <c r="FB36" s="510">
        <f>FB33-FB35</f>
        <v>4200</v>
      </c>
      <c r="FC36" s="510">
        <f>FC33-FC35</f>
        <v>2897.4912000000004</v>
      </c>
      <c r="FD36" s="510"/>
      <c r="FE36" s="510">
        <f>FC36+FB36</f>
        <v>7097.4912000000004</v>
      </c>
      <c r="FF36" s="734"/>
      <c r="FG36" s="510">
        <f>FI36-FC36</f>
        <v>2702.5087999999996</v>
      </c>
      <c r="FH36" s="510"/>
      <c r="FI36" s="510">
        <f>FK36-FB36</f>
        <v>5600</v>
      </c>
      <c r="FJ36" s="510"/>
      <c r="FK36" s="699">
        <f>FK33-FK35</f>
        <v>9800</v>
      </c>
      <c r="FL36" s="731"/>
      <c r="FM36" s="625"/>
      <c r="FN36" s="713"/>
      <c r="FO36" s="713"/>
      <c r="FP36" s="713"/>
      <c r="FQ36" s="742"/>
      <c r="FR36" s="732"/>
      <c r="FS36" s="510" t="s">
        <v>1271</v>
      </c>
      <c r="FT36" s="733"/>
      <c r="FU36" s="733"/>
      <c r="FV36" s="510"/>
      <c r="FW36" s="733"/>
      <c r="FX36" s="733"/>
      <c r="FY36" s="510">
        <f>FY33-FY35</f>
        <v>4200</v>
      </c>
      <c r="FZ36" s="510">
        <f>FZ33-FZ35</f>
        <v>2762.6668160000008</v>
      </c>
      <c r="GA36" s="510">
        <f>FZ36+FY36</f>
        <v>6962.6668160000008</v>
      </c>
      <c r="GB36" s="510">
        <f>GB33-GB35</f>
        <v>2382.3331839999992</v>
      </c>
      <c r="GC36" s="510">
        <f>GC33-GC35</f>
        <v>5145</v>
      </c>
      <c r="GD36" s="699">
        <f>GD33-GD35</f>
        <v>9345</v>
      </c>
      <c r="GE36" s="510"/>
      <c r="GF36" s="510"/>
      <c r="GG36" s="510"/>
      <c r="GH36" s="733"/>
      <c r="GI36" s="733"/>
      <c r="GJ36" s="738"/>
      <c r="GK36" s="733"/>
      <c r="GL36" s="739">
        <f>GL33-GL35</f>
        <v>1983.0599196919725</v>
      </c>
      <c r="GM36" s="733"/>
      <c r="GN36" s="733"/>
      <c r="GO36" s="733"/>
      <c r="GP36" s="733">
        <f>GP33-GP35</f>
        <v>4050</v>
      </c>
      <c r="GQ36" s="733"/>
      <c r="GR36" s="510">
        <f>GR33-GR35</f>
        <v>2996.0868160000005</v>
      </c>
      <c r="GS36" s="510">
        <f>GS33-GS35</f>
        <v>7046.0868160000009</v>
      </c>
      <c r="GT36" s="510">
        <f>GT33-GT35</f>
        <v>2653.9131839999995</v>
      </c>
      <c r="GU36" s="510">
        <f>GU33-GU35</f>
        <v>5650</v>
      </c>
      <c r="GV36" s="699">
        <f>GV33-GV35</f>
        <v>9700</v>
      </c>
      <c r="GW36" s="510"/>
      <c r="GX36" s="733"/>
      <c r="GY36" s="733"/>
      <c r="GZ36" s="733"/>
      <c r="HA36" s="738"/>
      <c r="HB36" s="733"/>
      <c r="HC36" s="733"/>
      <c r="HD36" s="606">
        <f>HD33-HD35</f>
        <v>2700.2988274591999</v>
      </c>
      <c r="HE36" s="510">
        <f>HE33-HE35</f>
        <v>0</v>
      </c>
      <c r="HF36" s="733">
        <f>HI36-HD36</f>
        <v>2371.2011725408001</v>
      </c>
      <c r="HG36" s="733">
        <f>HL36-HE36</f>
        <v>7717.391304347826</v>
      </c>
      <c r="HH36" s="733">
        <f>HM36-HE36</f>
        <v>7700</v>
      </c>
      <c r="HI36" s="733">
        <f>HI33-HI35</f>
        <v>5071.5</v>
      </c>
      <c r="HJ36" s="733"/>
      <c r="HK36" s="733"/>
      <c r="HL36" s="510">
        <f>HL33-HL35</f>
        <v>7717.391304347826</v>
      </c>
      <c r="HM36" s="510">
        <f>HM33-HM35</f>
        <v>7700</v>
      </c>
      <c r="HN36" s="734">
        <f>HP36-HI36</f>
        <v>2899.8795155199987</v>
      </c>
      <c r="HO36" s="734">
        <f>HQ36-HM36</f>
        <v>-7700</v>
      </c>
      <c r="HP36" s="743">
        <f>HP33-HP35</f>
        <v>7971.3795155199987</v>
      </c>
      <c r="HQ36" s="561"/>
      <c r="HR36" s="510">
        <f>HR33-HR35</f>
        <v>2328.6204844800013</v>
      </c>
      <c r="HS36" s="510"/>
      <c r="HT36" s="510">
        <f>HT33-HT35</f>
        <v>5228.5</v>
      </c>
      <c r="HU36" s="510">
        <f>HZ36-HM36</f>
        <v>8100</v>
      </c>
      <c r="HV36" s="510">
        <f>HV33-HV35</f>
        <v>10300</v>
      </c>
      <c r="HW36" s="733"/>
      <c r="HX36" s="733"/>
      <c r="HY36" s="733"/>
      <c r="HZ36" s="510">
        <f>HZ33-HZ35</f>
        <v>15800</v>
      </c>
      <c r="IA36" s="733"/>
      <c r="IB36" s="733"/>
      <c r="IC36" s="738"/>
      <c r="ID36" s="733"/>
      <c r="IE36" s="744">
        <f>IE33-IE35</f>
        <v>1619.9999999999998</v>
      </c>
      <c r="IF36" s="733">
        <f>IG36-IE36</f>
        <v>1349.9999999999998</v>
      </c>
      <c r="IG36" s="733">
        <f>IG33-IG35</f>
        <v>2969.9999999999995</v>
      </c>
      <c r="IH36" s="733">
        <f>IJ36-IG36</f>
        <v>7530</v>
      </c>
      <c r="II36" s="733"/>
      <c r="IJ36" s="733">
        <f>IJ33-IJ35</f>
        <v>10500</v>
      </c>
      <c r="IK36" s="733">
        <f>IP36-IL36</f>
        <v>0</v>
      </c>
      <c r="IL36" s="733"/>
      <c r="IM36" s="733">
        <f>IM33-IM35</f>
        <v>-8600</v>
      </c>
      <c r="IN36" s="733"/>
      <c r="IO36" s="733">
        <f>IO33-IO35</f>
        <v>-1070</v>
      </c>
      <c r="IP36" s="732"/>
      <c r="IQ36" s="733"/>
      <c r="IR36" s="741"/>
      <c r="IS36" s="784"/>
      <c r="IT36" s="733"/>
      <c r="IU36" s="733"/>
      <c r="IV36" s="733"/>
      <c r="IW36" s="733"/>
      <c r="IX36" s="733"/>
      <c r="IY36" s="733"/>
      <c r="IZ36" s="733"/>
      <c r="JA36" s="733"/>
      <c r="JB36" s="733"/>
      <c r="JC36" s="733"/>
      <c r="JD36" s="733"/>
      <c r="JE36" s="733"/>
      <c r="JF36" s="733"/>
      <c r="JG36" s="733"/>
      <c r="JH36" s="732"/>
      <c r="JI36" s="784"/>
      <c r="JJ36" s="784"/>
      <c r="JK36" s="713"/>
      <c r="JL36" s="713"/>
      <c r="JM36" s="713"/>
      <c r="JN36" s="713"/>
      <c r="JO36" s="713"/>
      <c r="JP36" s="713"/>
      <c r="JQ36" s="713"/>
      <c r="JR36" s="713"/>
      <c r="JS36" s="713"/>
      <c r="JT36" s="713"/>
      <c r="JU36" s="713"/>
      <c r="JV36" s="713"/>
      <c r="JW36" s="713"/>
      <c r="JX36" s="713"/>
      <c r="JY36" s="713"/>
      <c r="JZ36" s="713"/>
      <c r="KA36" s="517"/>
      <c r="KB36" s="713"/>
      <c r="KC36" s="713"/>
      <c r="KD36" s="713"/>
      <c r="KE36" s="713"/>
      <c r="KF36" s="713"/>
      <c r="KG36" s="713"/>
      <c r="KH36" s="713"/>
      <c r="KI36" s="517"/>
      <c r="KJ36" s="713"/>
      <c r="KK36" s="733"/>
      <c r="KL36" s="713"/>
      <c r="KM36" s="713"/>
      <c r="KN36" s="713"/>
      <c r="KO36" s="713"/>
      <c r="KP36" s="713"/>
      <c r="KQ36" s="517"/>
      <c r="KR36" s="713"/>
      <c r="KS36" s="517"/>
      <c r="KT36" s="713"/>
      <c r="KU36" s="713"/>
      <c r="KV36" s="713"/>
      <c r="KW36" s="742"/>
      <c r="KX36" s="713"/>
      <c r="KY36" s="713"/>
      <c r="KZ36" s="742"/>
      <c r="LA36" s="713"/>
      <c r="LB36" s="713"/>
      <c r="LC36" s="742"/>
      <c r="LD36" s="742"/>
      <c r="LE36" s="713"/>
      <c r="LF36" s="713"/>
      <c r="LG36" s="742"/>
    </row>
    <row r="37" spans="1:319" s="705" customFormat="1" ht="12">
      <c r="A37" s="510"/>
      <c r="B37" s="697" t="s">
        <v>1017</v>
      </c>
      <c r="C37" s="699" t="s">
        <v>992</v>
      </c>
      <c r="D37" s="497"/>
      <c r="E37" s="510"/>
      <c r="F37" s="510"/>
      <c r="G37" s="699"/>
      <c r="H37" s="510"/>
      <c r="I37" s="510"/>
      <c r="J37" s="699"/>
      <c r="K37" s="584"/>
      <c r="L37" s="584"/>
      <c r="M37" s="584"/>
      <c r="N37" s="584"/>
      <c r="O37" s="584"/>
      <c r="P37" s="584"/>
      <c r="Q37" s="584"/>
      <c r="R37" s="584"/>
      <c r="S37" s="700"/>
      <c r="T37" s="584"/>
      <c r="U37" s="584"/>
      <c r="V37" s="584"/>
      <c r="W37" s="584"/>
      <c r="X37" s="584"/>
      <c r="Y37" s="584">
        <v>34201</v>
      </c>
      <c r="Z37" s="584">
        <f>+AA37-Y37</f>
        <v>45151</v>
      </c>
      <c r="AA37" s="584">
        <v>79352</v>
      </c>
      <c r="AB37" s="700"/>
      <c r="AC37" s="584"/>
      <c r="AD37" s="584"/>
      <c r="AE37" s="584"/>
      <c r="AF37" s="584"/>
      <c r="AG37" s="584"/>
      <c r="AH37" s="584">
        <v>35850</v>
      </c>
      <c r="AI37" s="584">
        <f>+AJ37-AH37</f>
        <v>49297</v>
      </c>
      <c r="AJ37" s="584">
        <v>85147</v>
      </c>
      <c r="AK37" s="497"/>
      <c r="AL37" s="584"/>
      <c r="AM37" s="584"/>
      <c r="AN37" s="584">
        <f>+AW37/(1+AW38)</f>
        <v>28181.214421252371</v>
      </c>
      <c r="AO37" s="584">
        <f>+AR37-AN37</f>
        <v>20610.785578747629</v>
      </c>
      <c r="AP37" s="584">
        <f>+BA37/(1+BA38)</f>
        <v>66321.678321678322</v>
      </c>
      <c r="AQ37" s="584">
        <v>38021</v>
      </c>
      <c r="AR37" s="584">
        <f>+AS37-AQ37</f>
        <v>48792</v>
      </c>
      <c r="AS37" s="584">
        <v>86813</v>
      </c>
      <c r="AT37" s="497"/>
      <c r="AU37" s="709">
        <f>AU27-AU33</f>
        <v>19258</v>
      </c>
      <c r="AV37" s="709">
        <f>BB37-AU37</f>
        <v>17427</v>
      </c>
      <c r="AW37" s="584">
        <f>AW27-AW33</f>
        <v>29703</v>
      </c>
      <c r="AX37" s="584"/>
      <c r="AY37" s="584">
        <f>+BC37-AW37</f>
        <v>19612</v>
      </c>
      <c r="AZ37" s="584"/>
      <c r="BA37" s="584">
        <f>BB37+AW37</f>
        <v>66388</v>
      </c>
      <c r="BB37" s="625">
        <v>36685</v>
      </c>
      <c r="BC37" s="625">
        <f>+BE37-BB37</f>
        <v>49315</v>
      </c>
      <c r="BD37" s="584">
        <v>86800</v>
      </c>
      <c r="BE37" s="584">
        <v>86000</v>
      </c>
      <c r="BF37" s="497"/>
      <c r="BG37" s="584"/>
      <c r="BH37" s="584"/>
      <c r="BI37" s="584"/>
      <c r="BJ37" s="497"/>
      <c r="BK37" s="510">
        <v>37000</v>
      </c>
      <c r="BL37" s="510">
        <v>49900</v>
      </c>
      <c r="BM37" s="510">
        <v>86900</v>
      </c>
      <c r="BN37" s="510"/>
      <c r="BO37" s="497"/>
      <c r="BP37" s="709">
        <f>BP27-BP33</f>
        <v>19270</v>
      </c>
      <c r="BQ37" s="612">
        <f>(BP37-AU37)/AU37</f>
        <v>6.2311766538581369E-4</v>
      </c>
      <c r="BR37" s="584">
        <f t="shared" si="52"/>
        <v>18148.699999999997</v>
      </c>
      <c r="BS37" s="584"/>
      <c r="BT37" s="584">
        <f>BT27-BT33</f>
        <v>29713</v>
      </c>
      <c r="BU37" s="584">
        <v>20368.300000000003</v>
      </c>
      <c r="BV37" s="584">
        <f>CC37-BT37</f>
        <v>21968.300000000003</v>
      </c>
      <c r="BW37" s="584"/>
      <c r="BX37" s="584">
        <f>BT37+BY37</f>
        <v>67131.7</v>
      </c>
      <c r="BY37" s="584">
        <f>+BB37*1.02</f>
        <v>37418.699999999997</v>
      </c>
      <c r="BZ37" s="584"/>
      <c r="CA37" s="584">
        <v>37770</v>
      </c>
      <c r="CB37" s="584">
        <v>50081.3</v>
      </c>
      <c r="CC37" s="584">
        <f>CE37-BY37</f>
        <v>51681.3</v>
      </c>
      <c r="CD37" s="584">
        <v>87500</v>
      </c>
      <c r="CE37" s="584">
        <v>89100</v>
      </c>
      <c r="CF37" s="497"/>
      <c r="CG37" s="711">
        <f>CG27-CG33</f>
        <v>18922</v>
      </c>
      <c r="CH37" s="712">
        <v>18700</v>
      </c>
      <c r="CI37" s="510">
        <f>BP37*(1+CI38)</f>
        <v>18595.55</v>
      </c>
      <c r="CJ37" s="510">
        <f>CJ27-CJ33</f>
        <v>20549</v>
      </c>
      <c r="CK37" s="510"/>
      <c r="CL37" s="510">
        <v>32400</v>
      </c>
      <c r="CM37" s="510"/>
      <c r="CN37" s="510"/>
      <c r="CO37" s="510">
        <f>CW37-CP37</f>
        <v>19829</v>
      </c>
      <c r="CP37" s="510">
        <f>CG37+CJ37+CL37</f>
        <v>71871</v>
      </c>
      <c r="CQ37" s="510"/>
      <c r="CR37" s="510">
        <f>CR27-CR33</f>
        <v>39471</v>
      </c>
      <c r="CS37" s="510"/>
      <c r="CT37" s="510"/>
      <c r="CU37" s="510">
        <f>CW37-CR37</f>
        <v>52229</v>
      </c>
      <c r="CV37" s="510"/>
      <c r="CW37" s="699">
        <v>91700</v>
      </c>
      <c r="CX37" s="510"/>
      <c r="CY37" s="510">
        <f>CY27-CY33</f>
        <v>21137</v>
      </c>
      <c r="CZ37" s="510">
        <f>+DB37-CY37</f>
        <v>22063</v>
      </c>
      <c r="DA37" s="510"/>
      <c r="DB37" s="510">
        <v>43200</v>
      </c>
      <c r="DC37" s="510">
        <f>DC27-DC33</f>
        <v>34019.5</v>
      </c>
      <c r="DD37" s="712">
        <f>CL37*1.06</f>
        <v>34344</v>
      </c>
      <c r="DE37" s="510">
        <f t="shared" si="42"/>
        <v>23580.5</v>
      </c>
      <c r="DF37" s="510">
        <f>DJ37-DC37</f>
        <v>24980.5</v>
      </c>
      <c r="DG37" s="510">
        <f>+DC37+DB37</f>
        <v>77219.5</v>
      </c>
      <c r="DH37" s="510">
        <f>+DD37+DB37</f>
        <v>77544</v>
      </c>
      <c r="DI37" s="510">
        <f t="shared" si="3"/>
        <v>57600</v>
      </c>
      <c r="DJ37" s="510">
        <f>DL37-DB37</f>
        <v>59000</v>
      </c>
      <c r="DK37" s="510">
        <v>100800</v>
      </c>
      <c r="DL37" s="512">
        <v>102200</v>
      </c>
      <c r="DM37" s="512"/>
      <c r="DN37" s="584"/>
      <c r="DO37" s="584"/>
      <c r="DP37" s="713"/>
      <c r="DQ37" s="713">
        <f>+DR37-DC37</f>
        <v>28180.5</v>
      </c>
      <c r="DR37" s="713">
        <f>+DS37-DB37</f>
        <v>62200</v>
      </c>
      <c r="DS37" s="517">
        <v>105400</v>
      </c>
      <c r="DT37" s="512"/>
      <c r="DU37" s="584"/>
      <c r="DV37" s="584"/>
      <c r="DW37" s="705">
        <v>41600</v>
      </c>
      <c r="DX37" s="713">
        <f>DY37-DB37</f>
        <v>55300</v>
      </c>
      <c r="DY37" s="713">
        <v>98500</v>
      </c>
      <c r="DZ37" s="497"/>
      <c r="EC37" s="713">
        <f>ED37-CR37</f>
        <v>56129</v>
      </c>
      <c r="ED37" s="512">
        <f>ED27-ED33</f>
        <v>95600</v>
      </c>
      <c r="EE37" s="497"/>
      <c r="EF37" s="510"/>
      <c r="EG37" s="714">
        <f>EG27-EG33</f>
        <v>23468.48</v>
      </c>
      <c r="EH37" s="510"/>
      <c r="EI37" s="510">
        <f t="shared" si="53"/>
        <v>22345.52</v>
      </c>
      <c r="EJ37" s="510"/>
      <c r="EK37" s="510">
        <f>EK27-EK33</f>
        <v>45814</v>
      </c>
      <c r="EL37" s="510">
        <f>EK37-DB37</f>
        <v>2614</v>
      </c>
      <c r="EM37" s="510">
        <f>+EO37-EK37</f>
        <v>34642.78</v>
      </c>
      <c r="EN37" s="510">
        <f>+(1+EN38)*DC37</f>
        <v>37761.645000000004</v>
      </c>
      <c r="EO37" s="510">
        <f>EO27-EO33</f>
        <v>80456.78</v>
      </c>
      <c r="EP37" s="510">
        <f>+EN37+EK37</f>
        <v>83575.645000000004</v>
      </c>
      <c r="EQ37" s="510">
        <f>+EU37-EO37</f>
        <v>24343.22</v>
      </c>
      <c r="ER37" s="510"/>
      <c r="ES37" s="510">
        <f>+EU37-EK37</f>
        <v>58986</v>
      </c>
      <c r="EU37" s="699">
        <v>104800</v>
      </c>
      <c r="EV37" s="517"/>
      <c r="EW37" s="510"/>
      <c r="EX37" s="510">
        <f>+EG37*1.01</f>
        <v>23703.164799999999</v>
      </c>
      <c r="EY37" s="510"/>
      <c r="EZ37" s="510">
        <f>+FB37-EX37</f>
        <v>23496.835200000001</v>
      </c>
      <c r="FA37" s="510"/>
      <c r="FB37" s="510">
        <v>47200</v>
      </c>
      <c r="FC37" s="510">
        <f>FE37-FB37</f>
        <v>36103.508799999996</v>
      </c>
      <c r="FD37" s="510"/>
      <c r="FE37" s="510">
        <f>FE27-FE33</f>
        <v>83303.508799999996</v>
      </c>
      <c r="FF37" s="510"/>
      <c r="FG37" s="510">
        <f>FK37-FE37</f>
        <v>24996.491200000004</v>
      </c>
      <c r="FH37" s="510"/>
      <c r="FI37" s="510">
        <f>FK37-FB37</f>
        <v>61100</v>
      </c>
      <c r="FJ37" s="510">
        <f>FL37-FB37</f>
        <v>61200</v>
      </c>
      <c r="FK37" s="699">
        <v>108300</v>
      </c>
      <c r="FL37" s="512">
        <f>Driver!AD94</f>
        <v>108400</v>
      </c>
      <c r="FM37" s="584">
        <f>+FN37-EX37</f>
        <v>26996.835200000001</v>
      </c>
      <c r="FN37" s="713">
        <v>50700</v>
      </c>
      <c r="FO37" s="713">
        <f>+FQ37-FE37</f>
        <v>28396.491200000004</v>
      </c>
      <c r="FP37" s="713">
        <f>+FQ37-FB37</f>
        <v>64500</v>
      </c>
      <c r="FQ37" s="732">
        <v>111700</v>
      </c>
      <c r="FR37" s="517"/>
      <c r="FS37" s="510">
        <f>EX37*1.02</f>
        <v>24177.228095999999</v>
      </c>
      <c r="FT37" s="713"/>
      <c r="FU37" s="713"/>
      <c r="FV37" s="510">
        <f>+FY37-FS37</f>
        <v>23922.771904000001</v>
      </c>
      <c r="FW37" s="713"/>
      <c r="FX37" s="713"/>
      <c r="FY37" s="510">
        <v>48100</v>
      </c>
      <c r="FZ37" s="510">
        <f>FC37*0.98</f>
        <v>35381.438623999995</v>
      </c>
      <c r="GA37" s="510">
        <f>FZ37+FY37</f>
        <v>83481.438624000002</v>
      </c>
      <c r="GB37" s="510">
        <f>+GD37-GA37</f>
        <v>24388.561375999998</v>
      </c>
      <c r="GC37" s="510">
        <f>GD37-FY37</f>
        <v>59770</v>
      </c>
      <c r="GD37" s="699">
        <f>GD27-GD33</f>
        <v>107870</v>
      </c>
      <c r="GE37" s="510"/>
      <c r="GF37" s="510"/>
      <c r="GG37" s="510"/>
      <c r="GH37" s="713"/>
      <c r="GI37" s="713"/>
      <c r="GJ37" s="715"/>
      <c r="GK37" s="713"/>
      <c r="GL37" s="713">
        <f>FS37*1.03</f>
        <v>24902.544938880001</v>
      </c>
      <c r="GM37" s="713"/>
      <c r="GN37" s="713"/>
      <c r="GO37" s="713">
        <f>+GP37-GL37</f>
        <v>24159.455061119999</v>
      </c>
      <c r="GP37" s="713">
        <f>FY37*1.02</f>
        <v>49062</v>
      </c>
      <c r="GQ37" s="713"/>
      <c r="GR37" s="510">
        <f>GS37-GP37</f>
        <v>36923.881782720011</v>
      </c>
      <c r="GS37" s="510">
        <f>GA37*1.03</f>
        <v>85985.881782720011</v>
      </c>
      <c r="GT37" s="510">
        <f>+GU37-GR37</f>
        <v>26116.118217279989</v>
      </c>
      <c r="GU37" s="510">
        <f>GV37-GP37</f>
        <v>63040</v>
      </c>
      <c r="GV37" s="699">
        <f>GV27-GV33</f>
        <v>112102</v>
      </c>
      <c r="GW37" s="510"/>
      <c r="GX37" s="713"/>
      <c r="GY37" s="713"/>
      <c r="GZ37" s="713"/>
      <c r="HA37" s="715"/>
      <c r="HB37" s="713"/>
      <c r="HC37" s="713"/>
      <c r="HD37" s="713">
        <f>GL37*0.99</f>
        <v>24653.519489491202</v>
      </c>
      <c r="HE37" s="510">
        <f>HE27-HE33</f>
        <v>22565</v>
      </c>
      <c r="HF37" s="713">
        <f>+HI37-HD37</f>
        <v>23917.860510508795</v>
      </c>
      <c r="HG37" s="713">
        <f>+HL37-HE37</f>
        <v>13758.012736056218</v>
      </c>
      <c r="HH37" s="713">
        <f>HM37-HE37</f>
        <v>13635</v>
      </c>
      <c r="HI37" s="713">
        <f>GP37*0.99</f>
        <v>48571.38</v>
      </c>
      <c r="HJ37" s="713"/>
      <c r="HK37" s="713"/>
      <c r="HL37" s="510">
        <f>HL27-HL33</f>
        <v>36323.012736056218</v>
      </c>
      <c r="HM37" s="510">
        <v>36200</v>
      </c>
      <c r="HN37" s="510">
        <f>HP37-HI37</f>
        <v>35694.784147065606</v>
      </c>
      <c r="HO37" s="510">
        <f>HQ37-HM37</f>
        <v>-36200</v>
      </c>
      <c r="HP37" s="510">
        <f>GS37*0.98</f>
        <v>84266.164147065603</v>
      </c>
      <c r="HQ37" s="510"/>
      <c r="HR37" s="510">
        <f>+HT37-HN37</f>
        <v>25059.835852934397</v>
      </c>
      <c r="HS37" s="510"/>
      <c r="HT37" s="510">
        <f>HV37-HI37</f>
        <v>60754.62</v>
      </c>
      <c r="HU37" s="510">
        <f>HZ37-HM37</f>
        <v>43800</v>
      </c>
      <c r="HV37" s="510">
        <f>HV27-HV33</f>
        <v>109326</v>
      </c>
      <c r="HW37" s="713"/>
      <c r="HX37" s="713"/>
      <c r="HY37" s="713"/>
      <c r="HZ37" s="510">
        <f>HZ27-HZ33</f>
        <v>80000</v>
      </c>
      <c r="IA37" s="713"/>
      <c r="IB37" s="713"/>
      <c r="IC37" s="715"/>
      <c r="ID37" s="713"/>
      <c r="IE37" s="718">
        <f>IE27-IE33</f>
        <v>17535</v>
      </c>
      <c r="IF37" s="719">
        <f>IG37-IE37</f>
        <v>18865</v>
      </c>
      <c r="IG37" s="720">
        <v>36400</v>
      </c>
      <c r="IH37" s="719">
        <f>IJ37-IG37</f>
        <v>26080</v>
      </c>
      <c r="II37" s="719"/>
      <c r="IJ37" s="721">
        <f>IJ27-IJ33</f>
        <v>62480</v>
      </c>
      <c r="IK37" s="721">
        <f>+IP37-IL37</f>
        <v>0</v>
      </c>
      <c r="IL37" s="719"/>
      <c r="IM37" s="719">
        <f>+IO37-IH37</f>
        <v>17720</v>
      </c>
      <c r="IN37" s="719"/>
      <c r="IO37" s="719">
        <f>IR37-IG37</f>
        <v>43800</v>
      </c>
      <c r="IP37" s="517"/>
      <c r="IQ37" s="719"/>
      <c r="IR37" s="745">
        <v>80200</v>
      </c>
      <c r="IS37" s="1289"/>
      <c r="IT37" s="719"/>
      <c r="IU37" s="719">
        <f>IU27-IU33</f>
        <v>21700</v>
      </c>
      <c r="IV37" s="719"/>
      <c r="IW37" s="719"/>
      <c r="IX37" s="719">
        <v>35800</v>
      </c>
      <c r="IY37" s="719"/>
      <c r="IZ37" s="719"/>
      <c r="JA37" s="719"/>
      <c r="JB37" s="719">
        <f>+JC37-IZ37</f>
        <v>45700</v>
      </c>
      <c r="JC37" s="719">
        <f>+JD37-IX37</f>
        <v>45700</v>
      </c>
      <c r="JD37" s="719">
        <v>81500</v>
      </c>
      <c r="JE37" s="719"/>
      <c r="JF37" s="719"/>
      <c r="JG37" s="719"/>
      <c r="JH37" s="517"/>
      <c r="JI37" s="1289"/>
      <c r="JJ37" s="1289"/>
      <c r="JK37" s="603"/>
      <c r="JL37" s="2355">
        <f>+JL27-JL33</f>
        <v>20289</v>
      </c>
      <c r="JM37" s="2355">
        <f>+JP37-JL37</f>
        <v>16611</v>
      </c>
      <c r="JN37" s="1133">
        <f>JS37-JP37</f>
        <v>-36900</v>
      </c>
      <c r="JO37" s="1133"/>
      <c r="JP37" s="1133">
        <v>36900</v>
      </c>
      <c r="JQ37" s="1133"/>
      <c r="JR37" s="1133"/>
      <c r="JS37" s="1133"/>
      <c r="JT37" s="603"/>
      <c r="JU37" s="603"/>
      <c r="JV37" s="603"/>
      <c r="JW37" s="603"/>
      <c r="JX37" s="603"/>
      <c r="JY37" s="603"/>
      <c r="JZ37" s="603"/>
      <c r="KA37" s="746"/>
      <c r="KB37" s="603">
        <f>+KC37-JL37</f>
        <v>15711</v>
      </c>
      <c r="KC37" s="603">
        <v>36000</v>
      </c>
      <c r="KD37" s="603">
        <f t="shared" ref="KD37" si="54">+KH37-KC37</f>
        <v>47500</v>
      </c>
      <c r="KE37" s="603">
        <f>+KG37-JP37</f>
        <v>47600</v>
      </c>
      <c r="KF37" s="603"/>
      <c r="KG37" s="603">
        <v>84500</v>
      </c>
      <c r="KH37" s="603">
        <v>83500</v>
      </c>
      <c r="KI37" s="746"/>
      <c r="KJ37" s="603"/>
      <c r="KK37" s="713"/>
      <c r="KL37" s="530">
        <f>KM37-IX37</f>
        <v>47500</v>
      </c>
      <c r="KM37" s="603">
        <v>83300</v>
      </c>
      <c r="KN37" s="603"/>
      <c r="KO37" s="603">
        <v>37000</v>
      </c>
      <c r="KP37" s="713">
        <v>46200</v>
      </c>
      <c r="KQ37" s="517">
        <v>83200</v>
      </c>
      <c r="KR37" s="713">
        <v>45200</v>
      </c>
      <c r="KS37" s="517">
        <v>81600</v>
      </c>
      <c r="KT37" s="713">
        <f>KU37-IE37</f>
        <v>18965</v>
      </c>
      <c r="KU37" s="713">
        <f>KU27-KU33</f>
        <v>36500</v>
      </c>
      <c r="KV37" s="713">
        <f>KW37-KU37</f>
        <v>44700</v>
      </c>
      <c r="KW37" s="732">
        <f>KW27-KW33</f>
        <v>81200</v>
      </c>
      <c r="KX37" s="713">
        <f>KY37-HN37</f>
        <v>25733.835852934397</v>
      </c>
      <c r="KY37" s="713">
        <f>KZ37-HI37</f>
        <v>61428.62</v>
      </c>
      <c r="KZ37" s="732">
        <f>KZ27-KZ33</f>
        <v>110000</v>
      </c>
      <c r="LA37" s="713">
        <f>LA27-LA33</f>
        <v>50500</v>
      </c>
      <c r="LB37" s="713">
        <f>LC37-LA37</f>
        <v>62600</v>
      </c>
      <c r="LC37" s="732">
        <f>LC27-LC33</f>
        <v>113100</v>
      </c>
      <c r="LD37" s="732">
        <f>LD27-LD33</f>
        <v>0</v>
      </c>
      <c r="LE37" s="713">
        <f>LF37-GR37</f>
        <v>25514.118217279989</v>
      </c>
      <c r="LF37" s="713">
        <f>LG37-GP37</f>
        <v>62438</v>
      </c>
      <c r="LG37" s="732">
        <f>LG27-LG33</f>
        <v>111500</v>
      </c>
    </row>
    <row r="38" spans="1:319" s="1699" customFormat="1" ht="12">
      <c r="A38" s="712"/>
      <c r="B38" s="1692" t="s">
        <v>669</v>
      </c>
      <c r="C38" s="1693" t="s">
        <v>961</v>
      </c>
      <c r="D38" s="1020"/>
      <c r="E38" s="712"/>
      <c r="F38" s="712"/>
      <c r="G38" s="1693"/>
      <c r="H38" s="712"/>
      <c r="I38" s="712"/>
      <c r="J38" s="1693"/>
      <c r="K38" s="709"/>
      <c r="L38" s="709"/>
      <c r="M38" s="709"/>
      <c r="N38" s="709"/>
      <c r="O38" s="709"/>
      <c r="P38" s="709"/>
      <c r="Q38" s="709"/>
      <c r="R38" s="709"/>
      <c r="S38" s="1694"/>
      <c r="T38" s="709"/>
      <c r="U38" s="709"/>
      <c r="V38" s="709"/>
      <c r="W38" s="709"/>
      <c r="X38" s="709"/>
      <c r="Y38" s="709"/>
      <c r="Z38" s="709"/>
      <c r="AA38" s="709"/>
      <c r="AB38" s="1694"/>
      <c r="AC38" s="709"/>
      <c r="AD38" s="709"/>
      <c r="AE38" s="709"/>
      <c r="AF38" s="709"/>
      <c r="AG38" s="709"/>
      <c r="AH38" s="709"/>
      <c r="AI38" s="709"/>
      <c r="AJ38" s="709"/>
      <c r="AK38" s="1020"/>
      <c r="AL38" s="709"/>
      <c r="AM38" s="709"/>
      <c r="AN38" s="709"/>
      <c r="AO38" s="709"/>
      <c r="AP38" s="709"/>
      <c r="AQ38" s="709"/>
      <c r="AR38" s="709"/>
      <c r="AS38" s="709"/>
      <c r="AT38" s="1020"/>
      <c r="AU38" s="709"/>
      <c r="AV38" s="709"/>
      <c r="AW38" s="1695">
        <v>5.3999999999999999E-2</v>
      </c>
      <c r="AX38" s="709"/>
      <c r="AY38" s="1695">
        <f>+AY37/AO37-1</f>
        <v>-4.8459364876295874E-2</v>
      </c>
      <c r="AZ38" s="709"/>
      <c r="BA38" s="1695">
        <v>1E-3</v>
      </c>
      <c r="BB38" s="725">
        <f>(BB37-AQ37)/AQ37</f>
        <v>-3.5138476105310221E-2</v>
      </c>
      <c r="BC38" s="725">
        <f>+BC37/AR37-1</f>
        <v>1.0718970323003729E-2</v>
      </c>
      <c r="BD38" s="1695">
        <v>-1.4974715768378832E-4</v>
      </c>
      <c r="BE38" s="1695">
        <f>+BE37/AS37-1</f>
        <v>-9.3649568612995671E-3</v>
      </c>
      <c r="BF38" s="1020"/>
      <c r="BG38" s="1695"/>
      <c r="BH38" s="1695"/>
      <c r="BI38" s="1695"/>
      <c r="BJ38" s="1020"/>
      <c r="BK38" s="712"/>
      <c r="BL38" s="712"/>
      <c r="BM38" s="712"/>
      <c r="BN38" s="712"/>
      <c r="BO38" s="1020"/>
      <c r="BP38" s="1695">
        <v>0</v>
      </c>
      <c r="BQ38" s="709"/>
      <c r="BR38" s="725">
        <f>(BR37-AV37)/AV37</f>
        <v>4.1412750329947616E-2</v>
      </c>
      <c r="BS38" s="726">
        <v>0.01</v>
      </c>
      <c r="BT38" s="726">
        <v>0</v>
      </c>
      <c r="BU38" s="726">
        <v>3.856312461758122E-2</v>
      </c>
      <c r="BV38" s="725">
        <f>(BV37-AY37)/AY37</f>
        <v>0.1201458290842343</v>
      </c>
      <c r="BW38" s="726"/>
      <c r="BX38" s="726">
        <v>0.01</v>
      </c>
      <c r="BY38" s="725">
        <f>+BY37/BB37-1</f>
        <v>2.0000000000000018E-2</v>
      </c>
      <c r="BZ38" s="709"/>
      <c r="CA38" s="1695">
        <v>2.9576121030393893E-2</v>
      </c>
      <c r="CB38" s="1695">
        <v>1.5538882692892688E-2</v>
      </c>
      <c r="CC38" s="1695">
        <f>(CC37-BC37)/BC37</f>
        <v>4.7983372199128113E-2</v>
      </c>
      <c r="CD38" s="1695">
        <v>1.7441860465116279E-2</v>
      </c>
      <c r="CE38" s="1695">
        <f>(CE37-BE37)/BE37</f>
        <v>3.604651162790698E-2</v>
      </c>
      <c r="CF38" s="1020"/>
      <c r="CG38" s="727">
        <f>(CG37-BP37)/BP37</f>
        <v>-1.8059159314997405E-2</v>
      </c>
      <c r="CH38" s="666">
        <v>-2.9579657498702647E-2</v>
      </c>
      <c r="CI38" s="748">
        <v>-3.5000000000000003E-2</v>
      </c>
      <c r="CJ38" s="704">
        <f>CJ37/BR37-1</f>
        <v>0.13225740686660781</v>
      </c>
      <c r="CK38" s="704">
        <v>-1</v>
      </c>
      <c r="CL38" s="704">
        <f>CL37/BT37-1</f>
        <v>9.0431797529700875E-2</v>
      </c>
      <c r="CM38" s="712"/>
      <c r="CN38" s="712"/>
      <c r="CO38" s="704">
        <f>CO37/BV37-1</f>
        <v>-9.7381226585580238E-2</v>
      </c>
      <c r="CP38" s="704">
        <f>CP37/BX37-1</f>
        <v>7.0597050275801099E-2</v>
      </c>
      <c r="CQ38" s="712"/>
      <c r="CR38" s="666">
        <f>(CR37-BY37)/BY37</f>
        <v>5.4846908096753841E-2</v>
      </c>
      <c r="CS38" s="712"/>
      <c r="CT38" s="712"/>
      <c r="CU38" s="666">
        <f>(CU37-CC37)/CC37</f>
        <v>1.059764363512522E-2</v>
      </c>
      <c r="CV38" s="712"/>
      <c r="CW38" s="1696">
        <f>CW37/CE37-1</f>
        <v>2.9180695847362603E-2</v>
      </c>
      <c r="CX38" s="704"/>
      <c r="CY38" s="704">
        <f>(CY37-CG37)/CG37</f>
        <v>0.11705950745164359</v>
      </c>
      <c r="CZ38" s="704">
        <f>+CZ37/CJ37-1</f>
        <v>7.3677551219037518E-2</v>
      </c>
      <c r="DA38" s="704"/>
      <c r="DB38" s="704">
        <f>+DB37/CR37-1</f>
        <v>9.4474424260849732E-2</v>
      </c>
      <c r="DC38" s="704">
        <f>+DC37/CL37-1</f>
        <v>4.9984567901234511E-2</v>
      </c>
      <c r="DD38" s="704">
        <f>(DD37-CL37)/CL37</f>
        <v>0.06</v>
      </c>
      <c r="DE38" s="704">
        <f>+DE37/CO37-1</f>
        <v>0.18919259670180044</v>
      </c>
      <c r="DF38" s="704">
        <f>+DF37/CO37-1</f>
        <v>0.25979625800595096</v>
      </c>
      <c r="DG38" s="704">
        <f>+DG37/CP37-1</f>
        <v>7.4418054569993508E-2</v>
      </c>
      <c r="DH38" s="704">
        <f>+DH37/CP37-1</f>
        <v>7.8933088450139799E-2</v>
      </c>
      <c r="DI38" s="704">
        <f>+DI37/CU37-1</f>
        <v>0.10283558942350046</v>
      </c>
      <c r="DJ38" s="704">
        <f>(DJ37-CU37)/CU37</f>
        <v>0.1296406211108771</v>
      </c>
      <c r="DK38" s="704">
        <f>+DK37/CW37-1</f>
        <v>9.92366412213741E-2</v>
      </c>
      <c r="DL38" s="1685">
        <v>0.11450381679389321</v>
      </c>
      <c r="DM38" s="1697"/>
      <c r="DN38" s="1695"/>
      <c r="DO38" s="1695"/>
      <c r="DP38" s="662"/>
      <c r="DQ38" s="662">
        <f>+DQ37/CO37-1</f>
        <v>0.42117605527258051</v>
      </c>
      <c r="DR38" s="662">
        <f>+DR37/CU37-1</f>
        <v>0.19090926496773819</v>
      </c>
      <c r="DS38" s="1274">
        <f>DS37/CW37-1</f>
        <v>0.14940021810250825</v>
      </c>
      <c r="DT38" s="1697"/>
      <c r="DU38" s="1695"/>
      <c r="DV38" s="1695"/>
      <c r="DW38" s="662">
        <f>DW37/CR37-1</f>
        <v>5.3938334473410787E-2</v>
      </c>
      <c r="DX38" s="662">
        <f>DX37/CU37-1</f>
        <v>5.8798751651381487E-2</v>
      </c>
      <c r="DY38" s="662">
        <f>DY37/CW37-1</f>
        <v>7.4154852780806912E-2</v>
      </c>
      <c r="DZ38" s="1020"/>
      <c r="EC38" s="662">
        <f>EC37/CC37-1</f>
        <v>8.6060141676002733E-2</v>
      </c>
      <c r="ED38" s="1697">
        <f>(ED37-CE37)/CE37</f>
        <v>7.2951739618406286E-2</v>
      </c>
      <c r="EE38" s="1020"/>
      <c r="EF38" s="712"/>
      <c r="EG38" s="727">
        <f>+EG37/CY37-1</f>
        <v>0.11030325968680521</v>
      </c>
      <c r="EH38" s="712"/>
      <c r="EI38" s="666">
        <f>+EI37/CZ37-1</f>
        <v>1.2805148891809948E-2</v>
      </c>
      <c r="EJ38" s="712"/>
      <c r="EK38" s="666">
        <f>(EK37-DB37)/DB37</f>
        <v>6.0509259259259263E-2</v>
      </c>
      <c r="EL38" s="712"/>
      <c r="EM38" s="666">
        <f>+EM37/DC37-1</f>
        <v>1.8321256926174589E-2</v>
      </c>
      <c r="EN38" s="1698">
        <v>0.11</v>
      </c>
      <c r="EO38" s="666">
        <f>+EO37/DG37-1</f>
        <v>4.1923089375093037E-2</v>
      </c>
      <c r="EP38" s="666">
        <f>+EP37/DG37-1</f>
        <v>8.2312693037380535E-2</v>
      </c>
      <c r="EQ38" s="666">
        <f>+EQ37/DE37-1</f>
        <v>3.2345370115137495E-2</v>
      </c>
      <c r="ER38" s="666">
        <f>+ER37/DE37-1</f>
        <v>-1</v>
      </c>
      <c r="ES38" s="666">
        <f>+ES37/DI37-1</f>
        <v>2.4062500000000098E-2</v>
      </c>
      <c r="ET38" s="666">
        <f>+ET37/DI37-1</f>
        <v>-1</v>
      </c>
      <c r="EU38" s="1700">
        <f>+EU37/DK37-1</f>
        <v>3.9682539682539764E-2</v>
      </c>
      <c r="EV38" s="1274"/>
      <c r="EW38" s="617">
        <v>-1</v>
      </c>
      <c r="EX38" s="617">
        <f>+EX37/EG37-1</f>
        <v>1.0000000000000009E-2</v>
      </c>
      <c r="EY38" s="617">
        <v>-1</v>
      </c>
      <c r="EZ38" s="617">
        <f>+EZ37/EI37-1</f>
        <v>5.1523312055391957E-2</v>
      </c>
      <c r="FA38" s="617">
        <v>-1</v>
      </c>
      <c r="FB38" s="617">
        <f>+FB37/EK37-1</f>
        <v>3.025276116470943E-2</v>
      </c>
      <c r="FC38" s="617">
        <f>+FC37/EM37-1</f>
        <v>4.2165461316903574E-2</v>
      </c>
      <c r="FD38" s="617">
        <v>-1</v>
      </c>
      <c r="FE38" s="617">
        <f>+FE37/EO37-1</f>
        <v>3.5382087128020823E-2</v>
      </c>
      <c r="FF38" s="617">
        <v>-1</v>
      </c>
      <c r="FG38" s="666">
        <f>+FG37/EQ37-1</f>
        <v>2.6835858197888474E-2</v>
      </c>
      <c r="FH38" s="617">
        <f>+FH37/EQ37-1</f>
        <v>-1</v>
      </c>
      <c r="FI38" s="617">
        <f>+FI37/ES37-1</f>
        <v>3.5839012647068902E-2</v>
      </c>
      <c r="FJ38" s="617">
        <f>+FJ37/ES37-1</f>
        <v>3.7534330180042819E-2</v>
      </c>
      <c r="FK38" s="1700">
        <f>+FK37/EU37-1</f>
        <v>3.3396946564885566E-2</v>
      </c>
      <c r="FL38" s="1685">
        <f>+FL37/EU37-1</f>
        <v>3.4351145038167941E-2</v>
      </c>
      <c r="FM38" s="725">
        <f>+FM37/EI37-1</f>
        <v>0.20815426089882894</v>
      </c>
      <c r="FN38" s="662">
        <f>+FN37/EK37-1</f>
        <v>0.10664862269175357</v>
      </c>
      <c r="FO38" s="662"/>
      <c r="FP38" s="662">
        <f>+FP37/ES37-1</f>
        <v>9.3479808768182293E-2</v>
      </c>
      <c r="FQ38" s="1274">
        <f>+FQ37/EU37-1</f>
        <v>6.5839694656488534E-2</v>
      </c>
      <c r="FR38" s="1274"/>
      <c r="FS38" s="617">
        <f>+FS37/EX37-1</f>
        <v>2.0000000000000018E-2</v>
      </c>
      <c r="FT38" s="662"/>
      <c r="FU38" s="662"/>
      <c r="FV38" s="617">
        <f>+FV37/EZ37-1</f>
        <v>1.8127407388038419E-2</v>
      </c>
      <c r="FW38" s="662"/>
      <c r="FX38" s="662"/>
      <c r="FY38" s="617">
        <f>+FY37/FB37-1</f>
        <v>1.9067796610169552E-2</v>
      </c>
      <c r="FZ38" s="617">
        <f>+FZ37/FC37-1</f>
        <v>-2.0000000000000018E-2</v>
      </c>
      <c r="GA38" s="617">
        <f>+GA37/FE37-1</f>
        <v>2.1359223226382618E-3</v>
      </c>
      <c r="GB38" s="617">
        <f>+GB37/FG37-1</f>
        <v>-2.4320606405750511E-2</v>
      </c>
      <c r="GC38" s="617">
        <f>+GC37/FI37-1</f>
        <v>-2.176759410801965E-2</v>
      </c>
      <c r="GD38" s="1677">
        <f>+GD37/FK37-1</f>
        <v>-3.970452446906747E-3</v>
      </c>
      <c r="GE38" s="617"/>
      <c r="GF38" s="617"/>
      <c r="GG38" s="617"/>
      <c r="GH38" s="662"/>
      <c r="GI38" s="662"/>
      <c r="GJ38" s="1689"/>
      <c r="GK38" s="662"/>
      <c r="GL38" s="1266">
        <f>+GL37/FS37-1</f>
        <v>3.0000000000000027E-2</v>
      </c>
      <c r="GM38" s="662"/>
      <c r="GN38" s="662"/>
      <c r="GO38" s="662">
        <f>+GO37/FV37-1</f>
        <v>9.8936343192079779E-3</v>
      </c>
      <c r="GP38" s="662">
        <f>+GP37/FY37-1</f>
        <v>2.0000000000000018E-2</v>
      </c>
      <c r="GQ38" s="662"/>
      <c r="GR38" s="617">
        <f>+GR37/FZ37-1</f>
        <v>4.3594698765972328E-2</v>
      </c>
      <c r="GS38" s="617">
        <f>+GS37/GA37-1</f>
        <v>3.0000000000000027E-2</v>
      </c>
      <c r="GT38" s="666">
        <f>+GT37/GB37-1</f>
        <v>7.0834716925124663E-2</v>
      </c>
      <c r="GU38" s="666">
        <f>+GU37/GC37-1</f>
        <v>5.4709720595616629E-2</v>
      </c>
      <c r="GV38" s="1700">
        <f>+GV37/GD37-1</f>
        <v>3.9232409381663169E-2</v>
      </c>
      <c r="GW38" s="617"/>
      <c r="GX38" s="662"/>
      <c r="GY38" s="662"/>
      <c r="GZ38" s="662"/>
      <c r="HA38" s="1689"/>
      <c r="HB38" s="662"/>
      <c r="HC38" s="662"/>
      <c r="HD38" s="662">
        <f>+HD37/GL37-1</f>
        <v>-9.9999999999998979E-3</v>
      </c>
      <c r="HE38" s="662"/>
      <c r="HF38" s="662">
        <f>+HF37/GO37-1</f>
        <v>-1.000000000000012E-2</v>
      </c>
      <c r="HG38" s="662"/>
      <c r="HH38" s="662"/>
      <c r="HI38" s="662">
        <f>+HI37/GP37-1</f>
        <v>-1.0000000000000009E-2</v>
      </c>
      <c r="HJ38" s="662"/>
      <c r="HK38" s="662"/>
      <c r="HL38" s="662"/>
      <c r="HM38" s="662"/>
      <c r="HN38" s="617">
        <f>+HN37/GR37-1</f>
        <v>-3.3287335358916925E-2</v>
      </c>
      <c r="HO38" s="617">
        <f>+HO37/GS37-1</f>
        <v>-1.4209993460493286</v>
      </c>
      <c r="HP38" s="617">
        <f>+HP37/GS37-1</f>
        <v>-2.0000000000000129E-2</v>
      </c>
      <c r="HQ38" s="666">
        <f>+HQ37/GS37-1</f>
        <v>-1</v>
      </c>
      <c r="HR38" s="666">
        <f>+HR37/GT37-1</f>
        <v>-4.0445611233552059E-2</v>
      </c>
      <c r="HS38" s="666"/>
      <c r="HT38" s="666">
        <f>+HT37/GU37-1</f>
        <v>-3.6252855329949152E-2</v>
      </c>
      <c r="HU38" s="666"/>
      <c r="HV38" s="666">
        <f>+HV37/GV37-1</f>
        <v>-2.4763162120211901E-2</v>
      </c>
      <c r="HW38" s="662"/>
      <c r="HX38" s="662"/>
      <c r="HY38" s="662"/>
      <c r="HZ38" s="666"/>
      <c r="IA38" s="662"/>
      <c r="IB38" s="662"/>
      <c r="IC38" s="1689"/>
      <c r="ID38" s="662"/>
      <c r="IE38" s="1288"/>
      <c r="IF38" s="662"/>
      <c r="IG38" s="662">
        <f>IG37/HM37-1</f>
        <v>5.5248618784531356E-3</v>
      </c>
      <c r="IH38" s="662">
        <f>+IH37/HO37-1</f>
        <v>-1.7204419889502762</v>
      </c>
      <c r="II38" s="662"/>
      <c r="IJ38" s="662" t="e">
        <f>+IJ37/HQ37-1</f>
        <v>#DIV/0!</v>
      </c>
      <c r="IK38" s="662"/>
      <c r="IL38" s="662"/>
      <c r="IM38" s="662" t="e">
        <f>+IM37/HS37-1</f>
        <v>#DIV/0!</v>
      </c>
      <c r="IN38" s="1703"/>
      <c r="IO38" s="662">
        <f>+IO37/HU37-1</f>
        <v>0</v>
      </c>
      <c r="IP38" s="1274"/>
      <c r="IQ38" s="662"/>
      <c r="IR38" s="1274">
        <f>+IR37/HZ37-1</f>
        <v>2.4999999999999467E-3</v>
      </c>
      <c r="IS38" s="1288"/>
      <c r="IT38" s="662"/>
      <c r="IU38" s="662"/>
      <c r="IV38" s="662"/>
      <c r="IW38" s="662"/>
      <c r="IX38" s="662">
        <f>(IX37-IG37)/IG37</f>
        <v>-1.6483516483516484E-2</v>
      </c>
      <c r="IY38" s="662"/>
      <c r="IZ38" s="662"/>
      <c r="JA38" s="662"/>
      <c r="JB38" s="662">
        <f>(JB37-IM37)/IM37</f>
        <v>1.5790067720090293</v>
      </c>
      <c r="JC38" s="662">
        <f>(JC37-IO37)/IO37</f>
        <v>4.3378995433789952E-2</v>
      </c>
      <c r="JD38" s="662">
        <f>(JD37-IR37)/IR37</f>
        <v>1.6209476309226933E-2</v>
      </c>
      <c r="JE38" s="662"/>
      <c r="JF38" s="662"/>
      <c r="JG38" s="662"/>
      <c r="JH38" s="1274"/>
      <c r="JI38" s="1288"/>
      <c r="JJ38" s="1671"/>
      <c r="JK38" s="1670"/>
      <c r="JL38" s="1670"/>
      <c r="JM38" s="1670"/>
      <c r="JN38" s="1670"/>
      <c r="JO38" s="1670"/>
      <c r="JP38" s="1670">
        <f>+JP37/IX37-1</f>
        <v>3.0726256983240274E-2</v>
      </c>
      <c r="JQ38" s="1670"/>
      <c r="JR38" s="1670"/>
      <c r="JS38" s="1670"/>
      <c r="JT38" s="1670"/>
      <c r="JU38" s="1670"/>
      <c r="JV38" s="1670"/>
      <c r="JW38" s="1670"/>
      <c r="JX38" s="1670"/>
      <c r="JY38" s="1670"/>
      <c r="JZ38" s="662"/>
      <c r="KA38" s="1274"/>
      <c r="KB38" s="1670" t="e">
        <f>+KB37/IV37-1</f>
        <v>#DIV/0!</v>
      </c>
      <c r="KC38" s="1670">
        <f>+KC37/IX37-1</f>
        <v>5.5865921787709993E-3</v>
      </c>
      <c r="KD38" s="1670">
        <f>+KD37/JC37-1</f>
        <v>3.938730853391692E-2</v>
      </c>
      <c r="KE38" s="1670">
        <f>+KE37/JC37-1</f>
        <v>4.1575492341356712E-2</v>
      </c>
      <c r="KF38" s="1670"/>
      <c r="KG38" s="1670">
        <f>+KG37/JD37-1</f>
        <v>3.6809815950920255E-2</v>
      </c>
      <c r="KH38" s="1670">
        <f>+KH37/JD37-1</f>
        <v>2.4539877300613577E-2</v>
      </c>
      <c r="KI38" s="1274"/>
      <c r="KJ38" s="662"/>
      <c r="KK38" s="662"/>
      <c r="KL38" s="662">
        <f>KL37/IO37-1</f>
        <v>8.4474885844748826E-2</v>
      </c>
      <c r="KM38" s="1670">
        <f>KM37/IR37-1</f>
        <v>3.8653366583541127E-2</v>
      </c>
      <c r="KN38" s="662"/>
      <c r="KO38" s="1670">
        <v>1.6483516483516425E-2</v>
      </c>
      <c r="KP38" s="1670">
        <v>5.4794520547945202E-2</v>
      </c>
      <c r="KQ38" s="1686">
        <v>3.7406483790523692E-2</v>
      </c>
      <c r="KR38" s="1670">
        <v>3.1963470319634757E-2</v>
      </c>
      <c r="KS38" s="1686">
        <v>2.0000000000000018E-2</v>
      </c>
      <c r="KT38" s="662">
        <f>+KT37/HG37-1</f>
        <v>0.37846943187496884</v>
      </c>
      <c r="KU38" s="662">
        <f>+KU37/HL37-1</f>
        <v>4.8725931747422013E-3</v>
      </c>
      <c r="KV38" s="662" t="e">
        <f>+KV37/#REF!-1</f>
        <v>#REF!</v>
      </c>
      <c r="KW38" s="1274">
        <f>+KW37/HZ37-1</f>
        <v>1.4999999999999902E-2</v>
      </c>
      <c r="KX38" s="662">
        <f>+KX37/GT37-1</f>
        <v>-1.4637794222138734E-2</v>
      </c>
      <c r="KY38" s="1266">
        <f>+KY37/GU37-1</f>
        <v>-2.5561230964466941E-2</v>
      </c>
      <c r="KZ38" s="1274">
        <f>+KZ37/GV37-1</f>
        <v>-1.8750780539151801E-2</v>
      </c>
      <c r="LA38" s="662">
        <f>+LA37/GP37-1</f>
        <v>2.9309852839264572E-2</v>
      </c>
      <c r="LB38" s="662">
        <f>+LB37/GU37-1</f>
        <v>-6.9796954314720328E-3</v>
      </c>
      <c r="LC38" s="1274">
        <f>+LC37/GV37-1</f>
        <v>8.9026065547448408E-3</v>
      </c>
      <c r="LD38" s="1274">
        <f>+LD37/LC37-1</f>
        <v>-1</v>
      </c>
      <c r="LE38" s="662">
        <f>+LE37/GB37-1</f>
        <v>4.6151014154841352E-2</v>
      </c>
      <c r="LF38" s="662">
        <f>+LF37/GC37-1</f>
        <v>4.463777814957326E-2</v>
      </c>
      <c r="LG38" s="1274">
        <f>+LG37/GD37-1</f>
        <v>3.3651617687957769E-2</v>
      </c>
    </row>
    <row r="39" spans="1:319" s="705" customFormat="1" ht="12">
      <c r="A39" s="510"/>
      <c r="B39" s="749" t="s">
        <v>1246</v>
      </c>
      <c r="C39" s="699" t="s">
        <v>1413</v>
      </c>
      <c r="D39" s="497"/>
      <c r="E39" s="510"/>
      <c r="F39" s="510"/>
      <c r="G39" s="699"/>
      <c r="H39" s="510"/>
      <c r="I39" s="510"/>
      <c r="J39" s="699"/>
      <c r="K39" s="584"/>
      <c r="L39" s="584"/>
      <c r="M39" s="584"/>
      <c r="N39" s="584"/>
      <c r="O39" s="584"/>
      <c r="P39" s="584"/>
      <c r="Q39" s="584"/>
      <c r="R39" s="584"/>
      <c r="S39" s="700"/>
      <c r="T39" s="584"/>
      <c r="U39" s="584"/>
      <c r="V39" s="584"/>
      <c r="W39" s="584"/>
      <c r="X39" s="584"/>
      <c r="Y39" s="584"/>
      <c r="Z39" s="584"/>
      <c r="AA39" s="584"/>
      <c r="AB39" s="700"/>
      <c r="AC39" s="584"/>
      <c r="AD39" s="584"/>
      <c r="AE39" s="584"/>
      <c r="AF39" s="584"/>
      <c r="AG39" s="584"/>
      <c r="AH39" s="584"/>
      <c r="AI39" s="584"/>
      <c r="AJ39" s="584"/>
      <c r="AK39" s="497"/>
      <c r="AL39" s="584"/>
      <c r="AM39" s="584"/>
      <c r="AN39" s="584"/>
      <c r="AO39" s="584"/>
      <c r="AP39" s="584"/>
      <c r="AQ39" s="584"/>
      <c r="AR39" s="584"/>
      <c r="AS39" s="584"/>
      <c r="AT39" s="497"/>
      <c r="AU39" s="584"/>
      <c r="AV39" s="584"/>
      <c r="AW39" s="609"/>
      <c r="AX39" s="584"/>
      <c r="AY39" s="609"/>
      <c r="AZ39" s="584"/>
      <c r="BA39" s="609"/>
      <c r="BB39" s="612"/>
      <c r="BC39" s="612"/>
      <c r="BD39" s="609"/>
      <c r="BE39" s="609"/>
      <c r="BF39" s="497"/>
      <c r="BG39" s="609"/>
      <c r="BH39" s="609"/>
      <c r="BI39" s="609"/>
      <c r="BJ39" s="497"/>
      <c r="BK39" s="510"/>
      <c r="BL39" s="510"/>
      <c r="BM39" s="510"/>
      <c r="BN39" s="510"/>
      <c r="BO39" s="497"/>
      <c r="BP39" s="609"/>
      <c r="BQ39" s="584"/>
      <c r="BR39" s="612"/>
      <c r="BS39" s="747"/>
      <c r="BT39" s="747"/>
      <c r="BU39" s="747"/>
      <c r="BV39" s="725"/>
      <c r="BW39" s="747"/>
      <c r="BX39" s="747"/>
      <c r="BY39" s="612"/>
      <c r="BZ39" s="584"/>
      <c r="CA39" s="609"/>
      <c r="CB39" s="609"/>
      <c r="CC39" s="609"/>
      <c r="CD39" s="609"/>
      <c r="CE39" s="609"/>
      <c r="CF39" s="497"/>
      <c r="CG39" s="727"/>
      <c r="CH39" s="666"/>
      <c r="CI39" s="748"/>
      <c r="CJ39" s="492"/>
      <c r="CK39" s="492"/>
      <c r="CL39" s="492"/>
      <c r="CM39" s="510"/>
      <c r="CN39" s="510"/>
      <c r="CO39" s="492"/>
      <c r="CP39" s="492"/>
      <c r="CQ39" s="510"/>
      <c r="CR39" s="618"/>
      <c r="CS39" s="510"/>
      <c r="CT39" s="510"/>
      <c r="CU39" s="618"/>
      <c r="CV39" s="510"/>
      <c r="CW39" s="703"/>
      <c r="CX39" s="492"/>
      <c r="CY39" s="492"/>
      <c r="CZ39" s="492"/>
      <c r="DA39" s="492"/>
      <c r="DB39" s="492"/>
      <c r="DC39" s="492"/>
      <c r="DD39" s="704"/>
      <c r="DE39" s="492"/>
      <c r="DF39" s="492"/>
      <c r="DG39" s="492"/>
      <c r="DH39" s="492"/>
      <c r="DI39" s="492"/>
      <c r="DJ39" s="492"/>
      <c r="DK39" s="492"/>
      <c r="DL39" s="494"/>
      <c r="DM39" s="626"/>
      <c r="DN39" s="609"/>
      <c r="DO39" s="609"/>
      <c r="DP39" s="503"/>
      <c r="DQ39" s="503"/>
      <c r="DR39" s="503"/>
      <c r="DS39" s="501"/>
      <c r="DT39" s="626"/>
      <c r="DU39" s="609"/>
      <c r="DV39" s="609"/>
      <c r="DW39" s="503"/>
      <c r="DX39" s="503"/>
      <c r="DY39" s="503"/>
      <c r="DZ39" s="497"/>
      <c r="EC39" s="503"/>
      <c r="ED39" s="626"/>
      <c r="EE39" s="497"/>
      <c r="EF39" s="510"/>
      <c r="EG39" s="701"/>
      <c r="EH39" s="510"/>
      <c r="EI39" s="618"/>
      <c r="EJ39" s="510"/>
      <c r="EK39" s="618"/>
      <c r="EL39" s="510"/>
      <c r="EM39" s="618"/>
      <c r="EN39" s="667"/>
      <c r="EO39" s="618"/>
      <c r="EP39" s="618"/>
      <c r="EQ39" s="561">
        <v>1000</v>
      </c>
      <c r="ER39" s="618"/>
      <c r="ES39" s="618"/>
      <c r="ET39" s="618"/>
      <c r="EU39" s="750">
        <v>1000</v>
      </c>
      <c r="EV39" s="501"/>
      <c r="EW39" s="482"/>
      <c r="EX39" s="482"/>
      <c r="EY39" s="482"/>
      <c r="EZ39" s="482"/>
      <c r="FA39" s="482"/>
      <c r="FB39" s="751">
        <v>1500</v>
      </c>
      <c r="FC39" s="561">
        <v>1200</v>
      </c>
      <c r="FD39" s="618"/>
      <c r="FE39" s="561">
        <f>FC39+FB39</f>
        <v>2700</v>
      </c>
      <c r="FF39" s="482"/>
      <c r="FG39" s="510">
        <f>FK39-FE39</f>
        <v>1300</v>
      </c>
      <c r="FH39" s="510"/>
      <c r="FI39" s="510">
        <f>FK39-FB39</f>
        <v>2500</v>
      </c>
      <c r="FJ39" s="751"/>
      <c r="FK39" s="750">
        <v>4000</v>
      </c>
      <c r="FL39" s="731"/>
      <c r="FM39" s="625"/>
      <c r="FN39" s="733"/>
      <c r="FO39" s="733">
        <f>+FQ39-FE39</f>
        <v>1800</v>
      </c>
      <c r="FP39" s="733">
        <f>FQ39-FB39</f>
        <v>3000</v>
      </c>
      <c r="FQ39" s="732">
        <v>4500</v>
      </c>
      <c r="FR39" s="732"/>
      <c r="FS39" s="482" t="s">
        <v>1414</v>
      </c>
      <c r="FT39" s="733"/>
      <c r="FU39" s="733"/>
      <c r="FV39" s="482"/>
      <c r="FW39" s="733"/>
      <c r="FX39" s="733"/>
      <c r="FY39" s="561">
        <v>2100</v>
      </c>
      <c r="FZ39" s="561">
        <f>FC39*1.1</f>
        <v>1320</v>
      </c>
      <c r="GA39" s="561">
        <f>FZ39+FY39</f>
        <v>3420</v>
      </c>
      <c r="GB39" s="510">
        <f>+GD39-GA39</f>
        <v>660</v>
      </c>
      <c r="GC39" s="510">
        <f>GD39-FY39</f>
        <v>1980</v>
      </c>
      <c r="GD39" s="750">
        <f>FK39*1.02</f>
        <v>4080</v>
      </c>
      <c r="GE39" s="561"/>
      <c r="GF39" s="561"/>
      <c r="GG39" s="561"/>
      <c r="GH39" s="733"/>
      <c r="GI39" s="733"/>
      <c r="GJ39" s="738"/>
      <c r="GK39" s="733"/>
      <c r="GL39" s="606">
        <v>1000</v>
      </c>
      <c r="GM39" s="733"/>
      <c r="GN39" s="733"/>
      <c r="GO39" s="733"/>
      <c r="GP39" s="733">
        <v>1800</v>
      </c>
      <c r="GQ39" s="733"/>
      <c r="GR39" s="561">
        <f>GS39-GP39</f>
        <v>1200</v>
      </c>
      <c r="GS39" s="561">
        <v>3000</v>
      </c>
      <c r="GT39" s="510">
        <f>+GU39-GR39</f>
        <v>900</v>
      </c>
      <c r="GU39" s="510">
        <f>GV39-GP39</f>
        <v>2100</v>
      </c>
      <c r="GV39" s="699">
        <v>3900</v>
      </c>
      <c r="GW39" s="561"/>
      <c r="GX39" s="733"/>
      <c r="GY39" s="733"/>
      <c r="GZ39" s="733"/>
      <c r="HA39" s="504"/>
      <c r="HB39" s="733"/>
      <c r="HC39" s="733"/>
      <c r="HD39" s="606">
        <v>1100</v>
      </c>
      <c r="HE39" s="733"/>
      <c r="HF39" s="733">
        <f>HI39-HD39</f>
        <v>1200</v>
      </c>
      <c r="HG39" s="733">
        <f>HL39-HE39</f>
        <v>0</v>
      </c>
      <c r="HH39" s="733"/>
      <c r="HI39" s="733">
        <v>2300</v>
      </c>
      <c r="HJ39" s="733"/>
      <c r="HK39" s="733"/>
      <c r="HL39" s="733"/>
      <c r="HM39" s="733"/>
      <c r="HN39" s="561">
        <f>HP39-HI39</f>
        <v>1950</v>
      </c>
      <c r="HO39" s="561">
        <f>HQ39-HM39</f>
        <v>0</v>
      </c>
      <c r="HP39" s="743">
        <v>4250</v>
      </c>
      <c r="HQ39" s="752"/>
      <c r="HR39" s="510">
        <f>+HT39-HN39</f>
        <v>1600</v>
      </c>
      <c r="HS39" s="510"/>
      <c r="HT39" s="510">
        <f>HV39-HI39</f>
        <v>3550</v>
      </c>
      <c r="HU39" s="510">
        <f>HZ39-HM39</f>
        <v>0</v>
      </c>
      <c r="HV39" s="734">
        <f>GV39*1.5</f>
        <v>5850</v>
      </c>
      <c r="HW39" s="733"/>
      <c r="HX39" s="733"/>
      <c r="HY39" s="733"/>
      <c r="HZ39" s="510"/>
      <c r="IA39" s="733"/>
      <c r="IB39" s="733"/>
      <c r="IC39" s="504"/>
      <c r="ID39" s="733"/>
      <c r="IE39" s="744"/>
      <c r="IF39" s="733"/>
      <c r="IG39" s="733"/>
      <c r="IH39" s="733">
        <f>IJ39-IG39</f>
        <v>0</v>
      </c>
      <c r="II39" s="733"/>
      <c r="IJ39" s="753"/>
      <c r="IK39" s="733">
        <f>IP39-IL39</f>
        <v>0</v>
      </c>
      <c r="IL39" s="733"/>
      <c r="IM39" s="733">
        <f>+IO39-IH39</f>
        <v>7000</v>
      </c>
      <c r="IN39" s="733"/>
      <c r="IO39" s="733">
        <f>IR39-IG39</f>
        <v>7000</v>
      </c>
      <c r="IP39" s="732"/>
      <c r="IQ39" s="733"/>
      <c r="IR39" s="732">
        <v>7000</v>
      </c>
      <c r="IS39" s="740"/>
      <c r="IT39" s="733"/>
      <c r="IU39" s="733"/>
      <c r="IV39" s="733"/>
      <c r="IW39" s="733"/>
      <c r="IX39" s="733"/>
      <c r="IY39" s="733"/>
      <c r="IZ39" s="733"/>
      <c r="JA39" s="733"/>
      <c r="JB39" s="733"/>
      <c r="JC39" s="733"/>
      <c r="JD39" s="733"/>
      <c r="JE39" s="733"/>
      <c r="JF39" s="733"/>
      <c r="JG39" s="733"/>
      <c r="JH39" s="732"/>
      <c r="JI39" s="740"/>
      <c r="JJ39" s="740"/>
      <c r="JK39" s="733"/>
      <c r="JL39" s="733"/>
      <c r="JM39" s="733"/>
      <c r="JN39" s="733"/>
      <c r="JO39" s="733"/>
      <c r="JP39" s="733"/>
      <c r="JQ39" s="733"/>
      <c r="JR39" s="733"/>
      <c r="JS39" s="733"/>
      <c r="JT39" s="733"/>
      <c r="JU39" s="733"/>
      <c r="JV39" s="733"/>
      <c r="JW39" s="733"/>
      <c r="JX39" s="733"/>
      <c r="JY39" s="733"/>
      <c r="JZ39" s="733"/>
      <c r="KA39" s="732"/>
      <c r="KB39" s="733"/>
      <c r="KC39" s="733"/>
      <c r="KD39" s="733"/>
      <c r="KE39" s="733"/>
      <c r="KF39" s="733"/>
      <c r="KG39" s="733"/>
      <c r="KH39" s="733"/>
      <c r="KI39" s="732"/>
      <c r="KJ39" s="733"/>
      <c r="KK39" s="733"/>
      <c r="KL39" s="733"/>
      <c r="KM39" s="733"/>
      <c r="KN39" s="733"/>
      <c r="KO39" s="733"/>
      <c r="KP39" s="733"/>
      <c r="KQ39" s="732"/>
      <c r="KR39" s="733"/>
      <c r="KS39" s="732"/>
      <c r="KT39" s="733"/>
      <c r="KU39" s="733"/>
      <c r="KV39" s="733"/>
      <c r="KW39" s="732"/>
      <c r="KX39" s="733"/>
      <c r="KY39" s="733"/>
      <c r="KZ39" s="732"/>
      <c r="LA39" s="733"/>
      <c r="LB39" s="733"/>
      <c r="LC39" s="732"/>
      <c r="LD39" s="732"/>
      <c r="LE39" s="733"/>
      <c r="LF39" s="733"/>
      <c r="LG39" s="732"/>
    </row>
    <row r="40" spans="1:319" s="705" customFormat="1" ht="12">
      <c r="A40" s="510"/>
      <c r="B40" s="697" t="s">
        <v>196</v>
      </c>
      <c r="C40" s="699" t="s">
        <v>1415</v>
      </c>
      <c r="D40" s="497"/>
      <c r="E40" s="510"/>
      <c r="F40" s="510"/>
      <c r="G40" s="699"/>
      <c r="H40" s="510"/>
      <c r="I40" s="510"/>
      <c r="J40" s="699"/>
      <c r="K40" s="584"/>
      <c r="L40" s="584"/>
      <c r="M40" s="584"/>
      <c r="N40" s="584"/>
      <c r="O40" s="584"/>
      <c r="P40" s="584"/>
      <c r="Q40" s="584"/>
      <c r="R40" s="584"/>
      <c r="S40" s="700"/>
      <c r="T40" s="584"/>
      <c r="U40" s="584"/>
      <c r="V40" s="584"/>
      <c r="W40" s="584"/>
      <c r="X40" s="584"/>
      <c r="Y40" s="584"/>
      <c r="Z40" s="584"/>
      <c r="AA40" s="584"/>
      <c r="AB40" s="700"/>
      <c r="AC40" s="584"/>
      <c r="AD40" s="584"/>
      <c r="AE40" s="584"/>
      <c r="AF40" s="584"/>
      <c r="AG40" s="584"/>
      <c r="AH40" s="584"/>
      <c r="AI40" s="584"/>
      <c r="AJ40" s="584"/>
      <c r="AK40" s="497"/>
      <c r="AL40" s="584"/>
      <c r="AM40" s="584"/>
      <c r="AN40" s="584"/>
      <c r="AO40" s="584"/>
      <c r="AP40" s="584"/>
      <c r="AQ40" s="584"/>
      <c r="AR40" s="584"/>
      <c r="AS40" s="584"/>
      <c r="AT40" s="497"/>
      <c r="AU40" s="584"/>
      <c r="AV40" s="584"/>
      <c r="AW40" s="609"/>
      <c r="AX40" s="584"/>
      <c r="AY40" s="609"/>
      <c r="AZ40" s="584"/>
      <c r="BA40" s="609"/>
      <c r="BB40" s="612"/>
      <c r="BC40" s="612"/>
      <c r="BD40" s="609"/>
      <c r="BE40" s="609"/>
      <c r="BF40" s="497"/>
      <c r="BG40" s="609"/>
      <c r="BH40" s="609"/>
      <c r="BI40" s="609"/>
      <c r="BJ40" s="497"/>
      <c r="BK40" s="510"/>
      <c r="BL40" s="510"/>
      <c r="BM40" s="510"/>
      <c r="BN40" s="510"/>
      <c r="BO40" s="497"/>
      <c r="BP40" s="609"/>
      <c r="BQ40" s="584"/>
      <c r="BR40" s="612"/>
      <c r="BS40" s="747"/>
      <c r="BT40" s="747"/>
      <c r="BU40" s="747"/>
      <c r="BV40" s="725"/>
      <c r="BW40" s="747"/>
      <c r="BX40" s="747"/>
      <c r="BY40" s="612"/>
      <c r="BZ40" s="584"/>
      <c r="CA40" s="609"/>
      <c r="CB40" s="609"/>
      <c r="CC40" s="609"/>
      <c r="CD40" s="609"/>
      <c r="CE40" s="609"/>
      <c r="CF40" s="497"/>
      <c r="CG40" s="727"/>
      <c r="CH40" s="666"/>
      <c r="CI40" s="748"/>
      <c r="CJ40" s="492"/>
      <c r="CK40" s="492"/>
      <c r="CL40" s="492"/>
      <c r="CM40" s="510"/>
      <c r="CN40" s="510"/>
      <c r="CO40" s="492"/>
      <c r="CP40" s="492"/>
      <c r="CQ40" s="510"/>
      <c r="CR40" s="618"/>
      <c r="CS40" s="510"/>
      <c r="CT40" s="510"/>
      <c r="CU40" s="618"/>
      <c r="CV40" s="510"/>
      <c r="CW40" s="703"/>
      <c r="CX40" s="492"/>
      <c r="CY40" s="492"/>
      <c r="CZ40" s="492"/>
      <c r="DA40" s="492"/>
      <c r="DB40" s="492"/>
      <c r="DC40" s="492"/>
      <c r="DD40" s="704"/>
      <c r="DE40" s="492"/>
      <c r="DF40" s="492"/>
      <c r="DG40" s="492"/>
      <c r="DH40" s="492"/>
      <c r="DI40" s="492"/>
      <c r="DJ40" s="492"/>
      <c r="DK40" s="492"/>
      <c r="DL40" s="494"/>
      <c r="DM40" s="626"/>
      <c r="DN40" s="609"/>
      <c r="DO40" s="609"/>
      <c r="DP40" s="503"/>
      <c r="DQ40" s="503"/>
      <c r="DR40" s="503"/>
      <c r="DS40" s="501"/>
      <c r="DT40" s="626"/>
      <c r="DU40" s="609"/>
      <c r="DV40" s="609"/>
      <c r="DW40" s="503"/>
      <c r="DX40" s="503"/>
      <c r="DY40" s="503"/>
      <c r="DZ40" s="497"/>
      <c r="EC40" s="503"/>
      <c r="ED40" s="626"/>
      <c r="EE40" s="497"/>
      <c r="EF40" s="510"/>
      <c r="EG40" s="701"/>
      <c r="EH40" s="510"/>
      <c r="EI40" s="618"/>
      <c r="EJ40" s="510"/>
      <c r="EK40" s="618"/>
      <c r="EL40" s="510"/>
      <c r="EM40" s="618"/>
      <c r="EN40" s="667"/>
      <c r="EO40" s="618"/>
      <c r="EP40" s="618"/>
      <c r="EQ40" s="561">
        <f>EQ37-EQ39</f>
        <v>23343.22</v>
      </c>
      <c r="ER40" s="618"/>
      <c r="ES40" s="618"/>
      <c r="ET40" s="618"/>
      <c r="EU40" s="750">
        <f>EU37-EU39</f>
        <v>103800</v>
      </c>
      <c r="EV40" s="501"/>
      <c r="EW40" s="482"/>
      <c r="EX40" s="482"/>
      <c r="EY40" s="482"/>
      <c r="EZ40" s="482"/>
      <c r="FA40" s="482"/>
      <c r="FB40" s="751">
        <f>FB37-FB39</f>
        <v>45700</v>
      </c>
      <c r="FC40" s="561">
        <f>FC37-FC39</f>
        <v>34903.508799999996</v>
      </c>
      <c r="FD40" s="618"/>
      <c r="FE40" s="561">
        <f>FC40+FB40</f>
        <v>80603.508799999996</v>
      </c>
      <c r="FF40" s="482"/>
      <c r="FG40" s="510">
        <f>FK40-FE40</f>
        <v>23696.491200000004</v>
      </c>
      <c r="FH40" s="510"/>
      <c r="FI40" s="510">
        <f>FK40-FB40</f>
        <v>58600</v>
      </c>
      <c r="FJ40" s="751"/>
      <c r="FK40" s="750">
        <f>FK37-FK39</f>
        <v>104300</v>
      </c>
      <c r="FL40" s="731"/>
      <c r="FM40" s="625"/>
      <c r="FN40" s="733"/>
      <c r="FO40" s="733">
        <f>+FQ40-FE40</f>
        <v>26596.491200000004</v>
      </c>
      <c r="FP40" s="733">
        <f>FP37-FP39</f>
        <v>61500</v>
      </c>
      <c r="FQ40" s="754">
        <f>FQ37-FQ39</f>
        <v>107200</v>
      </c>
      <c r="FR40" s="732"/>
      <c r="FS40" s="482"/>
      <c r="FT40" s="733"/>
      <c r="FU40" s="733"/>
      <c r="FV40" s="482"/>
      <c r="FW40" s="733"/>
      <c r="FX40" s="733"/>
      <c r="FY40" s="751">
        <f>FY37-FY39</f>
        <v>46000</v>
      </c>
      <c r="FZ40" s="561">
        <f>FZ37-FZ39</f>
        <v>34061.438623999995</v>
      </c>
      <c r="GA40" s="561">
        <f>FZ40+FY40</f>
        <v>80061.438624000002</v>
      </c>
      <c r="GB40" s="561">
        <f>GB37-GB39</f>
        <v>23728.561375999998</v>
      </c>
      <c r="GC40" s="561">
        <f>GC37-GC39</f>
        <v>57790</v>
      </c>
      <c r="GD40" s="755">
        <f>GD37-GD39</f>
        <v>103790</v>
      </c>
      <c r="GE40" s="561"/>
      <c r="GF40" s="751"/>
      <c r="GG40" s="751"/>
      <c r="GH40" s="733"/>
      <c r="GI40" s="733"/>
      <c r="GJ40" s="738"/>
      <c r="GK40" s="733"/>
      <c r="GL40" s="606">
        <f>GL37-GL39</f>
        <v>23902.544938880001</v>
      </c>
      <c r="GM40" s="733"/>
      <c r="GN40" s="733"/>
      <c r="GO40" s="733"/>
      <c r="GP40" s="733">
        <f>GP37-GP39</f>
        <v>47262</v>
      </c>
      <c r="GQ40" s="733"/>
      <c r="GR40" s="561">
        <f>GR37-GR39</f>
        <v>35723.881782720011</v>
      </c>
      <c r="GS40" s="561">
        <f>GS37-GS39</f>
        <v>82985.881782720011</v>
      </c>
      <c r="GT40" s="561">
        <f>GT37-GT39</f>
        <v>25216.118217279989</v>
      </c>
      <c r="GU40" s="561">
        <f>GU37-GU39</f>
        <v>60940</v>
      </c>
      <c r="GV40" s="750">
        <f>GV37-GV39</f>
        <v>108202</v>
      </c>
      <c r="GW40" s="561"/>
      <c r="GX40" s="733"/>
      <c r="GY40" s="756">
        <f>(GP40-FY40)/FY40</f>
        <v>2.7434782608695651E-2</v>
      </c>
      <c r="GZ40" s="733"/>
      <c r="HA40" s="504"/>
      <c r="HB40" s="733"/>
      <c r="HC40" s="733"/>
      <c r="HD40" s="606">
        <f>HD37-HD39</f>
        <v>23553.519489491202</v>
      </c>
      <c r="HE40" s="561">
        <f>HE37-HE39</f>
        <v>22565</v>
      </c>
      <c r="HF40" s="733">
        <f>HI40-HD40</f>
        <v>22717.860510508795</v>
      </c>
      <c r="HG40" s="733">
        <f>HL40-HE40</f>
        <v>13758.012736056218</v>
      </c>
      <c r="HH40" s="733">
        <f>HM40-HE40</f>
        <v>13635</v>
      </c>
      <c r="HI40" s="733">
        <f>HI37-HI39</f>
        <v>46271.38</v>
      </c>
      <c r="HJ40" s="733"/>
      <c r="HK40" s="733"/>
      <c r="HL40" s="561">
        <f>HL37-HL39</f>
        <v>36323.012736056218</v>
      </c>
      <c r="HM40" s="561">
        <f>HM37-HM39</f>
        <v>36200</v>
      </c>
      <c r="HN40" s="734">
        <f>HP40-HI40</f>
        <v>33744.784147065606</v>
      </c>
      <c r="HO40" s="734">
        <f>HQ40-HM40</f>
        <v>-36200</v>
      </c>
      <c r="HP40" s="561">
        <f>HP37-HP39</f>
        <v>80016.164147065603</v>
      </c>
      <c r="HQ40" s="561">
        <f>HQ37-HQ39</f>
        <v>0</v>
      </c>
      <c r="HR40" s="561">
        <f>HR37-HR39</f>
        <v>23459.835852934397</v>
      </c>
      <c r="HS40" s="561"/>
      <c r="HT40" s="561">
        <f>HT37-HT39</f>
        <v>57204.62</v>
      </c>
      <c r="HU40" s="561">
        <f>HZ40-HM40</f>
        <v>43800</v>
      </c>
      <c r="HV40" s="561">
        <f>HV37-HV39</f>
        <v>103476</v>
      </c>
      <c r="HW40" s="756"/>
      <c r="HX40" s="733"/>
      <c r="HY40" s="756"/>
      <c r="HZ40" s="561">
        <f>HZ37-HZ39</f>
        <v>80000</v>
      </c>
      <c r="IA40" s="756"/>
      <c r="IB40" s="733"/>
      <c r="IC40" s="504"/>
      <c r="ID40" s="733"/>
      <c r="IE40" s="744">
        <f>IE37-IE39</f>
        <v>17535</v>
      </c>
      <c r="IF40" s="733">
        <f>IG40-IE40</f>
        <v>18865</v>
      </c>
      <c r="IG40" s="733">
        <f>IG37-IG39</f>
        <v>36400</v>
      </c>
      <c r="IH40" s="733">
        <f>IJ40-IG40</f>
        <v>26080</v>
      </c>
      <c r="II40" s="733"/>
      <c r="IJ40" s="733">
        <f>IJ37-IJ39</f>
        <v>62480</v>
      </c>
      <c r="IK40" s="733">
        <f>IP40-IL40</f>
        <v>0</v>
      </c>
      <c r="IL40" s="733"/>
      <c r="IM40" s="733">
        <f>IM37-IM39</f>
        <v>10720</v>
      </c>
      <c r="IN40" s="733"/>
      <c r="IO40" s="733">
        <f>IO37-IO39</f>
        <v>36800</v>
      </c>
      <c r="IP40" s="732"/>
      <c r="IQ40" s="733"/>
      <c r="IR40" s="732"/>
      <c r="IS40" s="740"/>
      <c r="IT40" s="733"/>
      <c r="IU40" s="733">
        <f>IU37-IU39</f>
        <v>21700</v>
      </c>
      <c r="IV40" s="733"/>
      <c r="IW40" s="733"/>
      <c r="IX40" s="733"/>
      <c r="IY40" s="733"/>
      <c r="IZ40" s="733"/>
      <c r="JA40" s="733"/>
      <c r="JB40" s="733"/>
      <c r="JC40" s="733"/>
      <c r="JD40" s="733"/>
      <c r="JE40" s="733"/>
      <c r="JF40" s="733"/>
      <c r="JG40" s="733"/>
      <c r="JH40" s="732"/>
      <c r="JI40" s="740"/>
      <c r="JJ40" s="740"/>
      <c r="JK40" s="733"/>
      <c r="JL40" s="2273">
        <f>0.8*(1+JL44)+0.13*(1+JL47)+0.07</f>
        <v>1.0606</v>
      </c>
      <c r="JM40" s="733"/>
      <c r="JN40" s="733"/>
      <c r="JO40" s="733"/>
      <c r="JP40" s="733"/>
      <c r="JQ40" s="733"/>
      <c r="JR40" s="733"/>
      <c r="JS40" s="733"/>
      <c r="JT40" s="733"/>
      <c r="JU40" s="733"/>
      <c r="JV40" s="733"/>
      <c r="JW40" s="733"/>
      <c r="JX40" s="733"/>
      <c r="JY40" s="733"/>
      <c r="JZ40" s="733"/>
      <c r="KA40" s="732"/>
      <c r="KB40" s="733"/>
      <c r="KC40" s="733"/>
      <c r="KD40" s="733"/>
      <c r="KE40" s="733"/>
      <c r="KF40" s="733"/>
      <c r="KG40" s="733"/>
      <c r="KH40" s="733"/>
      <c r="KI40" s="732"/>
      <c r="KJ40" s="733"/>
      <c r="KK40" s="733"/>
      <c r="KL40" s="733"/>
      <c r="KM40" s="733"/>
      <c r="KN40" s="733"/>
      <c r="KO40" s="733"/>
      <c r="KP40" s="733"/>
      <c r="KQ40" s="732"/>
      <c r="KR40" s="733">
        <v>45200</v>
      </c>
      <c r="KS40" s="732">
        <v>81600</v>
      </c>
      <c r="KT40" s="733">
        <f>KU40-IE40</f>
        <v>18965</v>
      </c>
      <c r="KU40" s="733">
        <f>KU37-KU39</f>
        <v>36500</v>
      </c>
      <c r="KV40" s="733">
        <f>KW40-KU40</f>
        <v>44700</v>
      </c>
      <c r="KW40" s="732">
        <f>KW37-KW39</f>
        <v>81200</v>
      </c>
      <c r="KX40" s="733">
        <f>KY40-HN40</f>
        <v>29983.835852934397</v>
      </c>
      <c r="KY40" s="733">
        <f>KZ40-HI40</f>
        <v>63728.62</v>
      </c>
      <c r="KZ40" s="732">
        <f>KZ37-KZ39</f>
        <v>110000</v>
      </c>
      <c r="LA40" s="733">
        <f>LA37-LA39</f>
        <v>50500</v>
      </c>
      <c r="LB40" s="733">
        <f>LC40-LA40</f>
        <v>62600</v>
      </c>
      <c r="LC40" s="732">
        <f>LC37-LC39</f>
        <v>113100</v>
      </c>
      <c r="LD40" s="732">
        <f>LD37-LD39</f>
        <v>0</v>
      </c>
      <c r="LE40" s="733">
        <f>LF40-GR40</f>
        <v>28514.118217279989</v>
      </c>
      <c r="LF40" s="733">
        <f>LG40-GP40</f>
        <v>64238</v>
      </c>
      <c r="LG40" s="732">
        <f>LG37-LG39</f>
        <v>111500</v>
      </c>
    </row>
    <row r="41" spans="1:319" s="532" customFormat="1">
      <c r="A41" s="520"/>
      <c r="B41" s="521" t="s">
        <v>636</v>
      </c>
      <c r="C41" s="522" t="s">
        <v>430</v>
      </c>
      <c r="D41" s="523"/>
      <c r="E41" s="520"/>
      <c r="F41" s="520"/>
      <c r="G41" s="522"/>
      <c r="H41" s="520"/>
      <c r="I41" s="520"/>
      <c r="J41" s="522"/>
      <c r="K41" s="524"/>
      <c r="L41" s="524"/>
      <c r="M41" s="524"/>
      <c r="N41" s="524"/>
      <c r="O41" s="524"/>
      <c r="P41" s="524"/>
      <c r="Q41" s="524"/>
      <c r="R41" s="524"/>
      <c r="S41" s="525"/>
      <c r="T41" s="524">
        <v>17100</v>
      </c>
      <c r="U41" s="524">
        <f>+Y41-T41</f>
        <v>17083</v>
      </c>
      <c r="V41" s="524">
        <f>+X41-Y41</f>
        <v>15792</v>
      </c>
      <c r="W41" s="524">
        <f>+Z41-V41</f>
        <v>15267</v>
      </c>
      <c r="X41" s="524">
        <v>49975</v>
      </c>
      <c r="Y41" s="524">
        <v>34183</v>
      </c>
      <c r="Z41" s="524">
        <f>+AA41-Y41</f>
        <v>31059</v>
      </c>
      <c r="AA41" s="524">
        <v>65242</v>
      </c>
      <c r="AB41" s="525"/>
      <c r="AC41" s="524">
        <v>16517</v>
      </c>
      <c r="AD41" s="524">
        <f>+AH41-AC41</f>
        <v>17088</v>
      </c>
      <c r="AE41" s="524">
        <f>+AG41-AH41</f>
        <v>15179</v>
      </c>
      <c r="AF41" s="524">
        <f>+AI41-AE41</f>
        <v>14594</v>
      </c>
      <c r="AG41" s="524">
        <v>48784</v>
      </c>
      <c r="AH41" s="524">
        <v>33605</v>
      </c>
      <c r="AI41" s="524">
        <f>+AJ41-AH41</f>
        <v>29773</v>
      </c>
      <c r="AJ41" s="524">
        <v>63378</v>
      </c>
      <c r="AK41" s="523"/>
      <c r="AL41" s="524">
        <v>16208</v>
      </c>
      <c r="AM41" s="524">
        <f>+AQ41-AL41</f>
        <v>17052</v>
      </c>
      <c r="AN41" s="524">
        <f>+AP41-AQ41</f>
        <v>15216</v>
      </c>
      <c r="AO41" s="524">
        <f>+AR41-AN41</f>
        <v>14896</v>
      </c>
      <c r="AP41" s="524">
        <v>48476</v>
      </c>
      <c r="AQ41" s="524">
        <v>33260</v>
      </c>
      <c r="AR41" s="524">
        <f>+AS41-AQ41</f>
        <v>30112</v>
      </c>
      <c r="AS41" s="524">
        <v>63372</v>
      </c>
      <c r="AT41" s="523"/>
      <c r="AU41" s="524">
        <v>15735</v>
      </c>
      <c r="AV41" s="524">
        <f>+BB41-AU41</f>
        <v>16753</v>
      </c>
      <c r="AW41" s="524">
        <f>+BA41-BB41</f>
        <v>14972</v>
      </c>
      <c r="AX41" s="524">
        <v>14712</v>
      </c>
      <c r="AY41" s="524">
        <f>+BC41-AW41</f>
        <v>14609</v>
      </c>
      <c r="AZ41" s="524">
        <v>47200</v>
      </c>
      <c r="BA41" s="524">
        <v>47460</v>
      </c>
      <c r="BB41" s="526">
        <v>32488</v>
      </c>
      <c r="BC41" s="526">
        <f>+BE41-BB41</f>
        <v>29581</v>
      </c>
      <c r="BD41" s="524">
        <v>62500</v>
      </c>
      <c r="BE41" s="524">
        <v>62069</v>
      </c>
      <c r="BF41" s="523"/>
      <c r="BG41" s="524"/>
      <c r="BH41" s="524"/>
      <c r="BI41" s="524"/>
      <c r="BJ41" s="523"/>
      <c r="BK41" s="520">
        <v>34000</v>
      </c>
      <c r="BL41" s="520">
        <v>30500</v>
      </c>
      <c r="BM41" s="520">
        <v>64500</v>
      </c>
      <c r="BN41" s="520"/>
      <c r="BO41" s="523"/>
      <c r="BP41" s="524">
        <v>16180</v>
      </c>
      <c r="BQ41" s="524">
        <v>16000</v>
      </c>
      <c r="BR41" s="524">
        <f>+BY41-BP41</f>
        <v>16854</v>
      </c>
      <c r="BS41" s="524">
        <v>15000</v>
      </c>
      <c r="BT41" s="524">
        <f>+BX41-BY41</f>
        <v>15422</v>
      </c>
      <c r="BU41" s="524">
        <v>12444</v>
      </c>
      <c r="BV41" s="524">
        <f>CC41-BT41</f>
        <v>15494</v>
      </c>
      <c r="BW41" s="524">
        <v>48034</v>
      </c>
      <c r="BX41" s="524">
        <v>48456</v>
      </c>
      <c r="BY41" s="524">
        <v>33034</v>
      </c>
      <c r="BZ41" s="524">
        <v>32000</v>
      </c>
      <c r="CA41" s="524">
        <v>32180</v>
      </c>
      <c r="CB41" s="524">
        <v>27866</v>
      </c>
      <c r="CC41" s="524">
        <f>CE41-BY41</f>
        <v>30916</v>
      </c>
      <c r="CD41" s="524">
        <v>60900</v>
      </c>
      <c r="CE41" s="524">
        <v>63950</v>
      </c>
      <c r="CF41" s="523"/>
      <c r="CG41" s="527">
        <v>17103</v>
      </c>
      <c r="CH41" s="520">
        <v>16800</v>
      </c>
      <c r="CI41" s="520">
        <v>16827.2</v>
      </c>
      <c r="CJ41" s="520">
        <f>CR41-CG41</f>
        <v>17480</v>
      </c>
      <c r="CK41" s="520">
        <v>17865.240000000002</v>
      </c>
      <c r="CL41" s="528">
        <f>CP41-CR41</f>
        <v>16218</v>
      </c>
      <c r="CM41" s="520">
        <v>16193.1</v>
      </c>
      <c r="CN41" s="520">
        <v>17499</v>
      </c>
      <c r="CO41" s="520">
        <f>CW41-CP41</f>
        <v>16074</v>
      </c>
      <c r="CP41" s="520">
        <v>50801</v>
      </c>
      <c r="CQ41" s="520">
        <v>50776.1</v>
      </c>
      <c r="CR41" s="542">
        <v>34583</v>
      </c>
      <c r="CS41" s="542">
        <v>34968.240000000005</v>
      </c>
      <c r="CT41" s="520">
        <v>33717</v>
      </c>
      <c r="CU41" s="520">
        <f>CW41-CR41</f>
        <v>32292</v>
      </c>
      <c r="CV41" s="520">
        <v>68300</v>
      </c>
      <c r="CW41" s="522">
        <v>66875</v>
      </c>
      <c r="CX41" s="520"/>
      <c r="CY41" s="520">
        <v>17727</v>
      </c>
      <c r="CZ41" s="520">
        <f>+DB41-CY41</f>
        <v>17945</v>
      </c>
      <c r="DA41" s="520" t="e">
        <f>+#REF!+CY41</f>
        <v>#REF!</v>
      </c>
      <c r="DB41" s="520">
        <v>35672</v>
      </c>
      <c r="DC41" s="520">
        <f>+DG41-DB41</f>
        <v>16015</v>
      </c>
      <c r="DD41" s="520">
        <f>CL41</f>
        <v>16218</v>
      </c>
      <c r="DE41" s="520">
        <f t="shared" si="42"/>
        <v>16284</v>
      </c>
      <c r="DF41" s="757">
        <f>DJ41-DC41</f>
        <v>17413</v>
      </c>
      <c r="DG41" s="757">
        <v>51687</v>
      </c>
      <c r="DH41" s="520">
        <f>+DD41+DB41</f>
        <v>51890</v>
      </c>
      <c r="DI41" s="520">
        <f t="shared" si="3"/>
        <v>32299</v>
      </c>
      <c r="DJ41" s="520">
        <f>DL41-DB41</f>
        <v>33428</v>
      </c>
      <c r="DK41" s="520">
        <v>67971</v>
      </c>
      <c r="DL41" s="529">
        <v>69100</v>
      </c>
      <c r="DM41" s="529"/>
      <c r="DN41" s="524"/>
      <c r="DO41" s="524"/>
      <c r="DP41" s="530"/>
      <c r="DQ41" s="530">
        <f>+DR41-DC41</f>
        <v>18613</v>
      </c>
      <c r="DR41" s="530">
        <f>+DS41-DB41</f>
        <v>34628</v>
      </c>
      <c r="DS41" s="531">
        <v>70300</v>
      </c>
      <c r="DT41" s="529"/>
      <c r="DU41" s="524"/>
      <c r="DV41" s="524">
        <f>DW41-CY41</f>
        <v>18873</v>
      </c>
      <c r="DW41" s="528">
        <v>36600</v>
      </c>
      <c r="DX41" s="530">
        <f>DY41-DB41</f>
        <v>34628</v>
      </c>
      <c r="DY41" s="530">
        <v>70300</v>
      </c>
      <c r="DZ41" s="523"/>
      <c r="EB41" s="528">
        <f>ED41-CP41</f>
        <v>17399</v>
      </c>
      <c r="EC41" s="530">
        <f>ED41-CR41</f>
        <v>33617</v>
      </c>
      <c r="ED41" s="529">
        <v>68200</v>
      </c>
      <c r="EE41" s="523"/>
      <c r="EF41" s="520"/>
      <c r="EG41" s="527">
        <v>17553</v>
      </c>
      <c r="EH41" s="520">
        <f>+CY41*1.011</f>
        <v>17921.996999999999</v>
      </c>
      <c r="EI41" s="520">
        <f t="shared" ref="EI41" si="55">+EK41-EG41</f>
        <v>17633</v>
      </c>
      <c r="EJ41" s="520">
        <v>18106.723000000002</v>
      </c>
      <c r="EK41" s="520">
        <v>35186</v>
      </c>
      <c r="EL41" s="520">
        <f>+EG41+EJ41</f>
        <v>35659.722999999998</v>
      </c>
      <c r="EM41" s="520">
        <f>+EO41-EK41</f>
        <v>16214</v>
      </c>
      <c r="EN41" s="520">
        <f>+DC41*1.04</f>
        <v>16655.600000000002</v>
      </c>
      <c r="EO41" s="520">
        <v>51400</v>
      </c>
      <c r="EP41" s="520">
        <f>+EN41+EK41</f>
        <v>51841.600000000006</v>
      </c>
      <c r="EQ41" s="520">
        <f>+EU41-EO41</f>
        <v>16125</v>
      </c>
      <c r="ER41" s="520"/>
      <c r="ES41" s="520">
        <f>+EU41-EK41</f>
        <v>32339</v>
      </c>
      <c r="ET41" s="520"/>
      <c r="EU41" s="522">
        <v>67525</v>
      </c>
      <c r="EV41" s="533"/>
      <c r="EW41" s="520">
        <v>18079.59</v>
      </c>
      <c r="EX41" s="520">
        <v>17806</v>
      </c>
      <c r="EY41" s="520">
        <v>18189.277999999998</v>
      </c>
      <c r="EZ41" s="520">
        <f>+FB41-EX41</f>
        <v>18028</v>
      </c>
      <c r="FA41" s="520">
        <v>35995.277999999998</v>
      </c>
      <c r="FB41" s="520">
        <v>35834</v>
      </c>
      <c r="FC41" s="520">
        <f>+FE41-FB41</f>
        <v>16580</v>
      </c>
      <c r="FD41" s="743">
        <v>16850.999999999993</v>
      </c>
      <c r="FE41" s="520">
        <v>52414</v>
      </c>
      <c r="FF41" s="758">
        <v>52684.999999999993</v>
      </c>
      <c r="FG41" s="758">
        <f>FK41-FE41</f>
        <v>16212</v>
      </c>
      <c r="FH41" s="520">
        <f>+FL41-FE41</f>
        <v>16086</v>
      </c>
      <c r="FI41" s="520">
        <f>FK41-FB41</f>
        <v>32792</v>
      </c>
      <c r="FJ41" s="520">
        <f>+FL41-FB41</f>
        <v>32666</v>
      </c>
      <c r="FK41" s="522">
        <v>68626</v>
      </c>
      <c r="FL41" s="529">
        <f>Driver!AD124</f>
        <v>68500</v>
      </c>
      <c r="FM41" s="524">
        <f>+FN41-EX41</f>
        <v>18694</v>
      </c>
      <c r="FN41" s="530">
        <v>36500</v>
      </c>
      <c r="FO41" s="530">
        <f>+FQ41-FE41</f>
        <v>17586</v>
      </c>
      <c r="FP41" s="530">
        <f>+FQ41-FB41</f>
        <v>34166</v>
      </c>
      <c r="FQ41" s="531">
        <v>70000</v>
      </c>
      <c r="FR41" s="531"/>
      <c r="FS41" s="520">
        <v>17946</v>
      </c>
      <c r="FT41" s="530">
        <f>EX41*1.03</f>
        <v>18340.18</v>
      </c>
      <c r="FU41" s="530">
        <v>18700</v>
      </c>
      <c r="FV41" s="520">
        <f>+FY41-FS41</f>
        <v>18498</v>
      </c>
      <c r="FW41" s="530">
        <f>FU41+FS41</f>
        <v>36646</v>
      </c>
      <c r="FX41" s="530"/>
      <c r="FY41" s="520">
        <v>36444</v>
      </c>
      <c r="FZ41" s="520">
        <f>+GA41-FY41</f>
        <v>16334</v>
      </c>
      <c r="GA41" s="520">
        <v>52778</v>
      </c>
      <c r="GB41" s="520">
        <f>+GD41-GA41</f>
        <v>16411</v>
      </c>
      <c r="GC41" s="520">
        <f>+GD41-FY41</f>
        <v>32745</v>
      </c>
      <c r="GD41" s="522">
        <v>69189</v>
      </c>
      <c r="GE41" s="520">
        <v>69200</v>
      </c>
      <c r="GF41" s="520">
        <v>17000</v>
      </c>
      <c r="GG41" s="520">
        <f>GH41-FZ41</f>
        <v>16411</v>
      </c>
      <c r="GH41" s="530">
        <f>GI41-FY41</f>
        <v>32745</v>
      </c>
      <c r="GI41" s="530">
        <f>Segments!O25</f>
        <v>69189</v>
      </c>
      <c r="GJ41" s="534"/>
      <c r="GK41" s="530">
        <v>18500</v>
      </c>
      <c r="GL41" s="530">
        <v>18537</v>
      </c>
      <c r="GM41" s="530">
        <v>19000</v>
      </c>
      <c r="GN41" s="530">
        <f>GL41+GM41</f>
        <v>37537</v>
      </c>
      <c r="GO41" s="530">
        <f>+GP41-GL41</f>
        <v>18749</v>
      </c>
      <c r="GP41" s="530">
        <v>37286</v>
      </c>
      <c r="GQ41" s="530">
        <v>16800</v>
      </c>
      <c r="GR41" s="520">
        <f>+GS41-GP41</f>
        <v>16957</v>
      </c>
      <c r="GS41" s="520">
        <v>54243</v>
      </c>
      <c r="GT41" s="520">
        <f>+GU41-GR41</f>
        <v>18050</v>
      </c>
      <c r="GU41" s="520">
        <f>+GV41-GP41</f>
        <v>35007</v>
      </c>
      <c r="GV41" s="522">
        <v>72293</v>
      </c>
      <c r="GW41" s="520">
        <v>72700</v>
      </c>
      <c r="GX41" s="530">
        <f>GY41-GR41</f>
        <v>18050</v>
      </c>
      <c r="GY41" s="530">
        <f>GZ41-GP41</f>
        <v>35007</v>
      </c>
      <c r="GZ41" s="530">
        <f>Segments!P25</f>
        <v>72293</v>
      </c>
      <c r="HA41" s="534"/>
      <c r="HB41" s="530">
        <f>GL41*1.15</f>
        <v>21317.55</v>
      </c>
      <c r="HC41" s="530"/>
      <c r="HD41" s="530">
        <v>20757</v>
      </c>
      <c r="HE41" s="530">
        <v>14348</v>
      </c>
      <c r="HF41" s="530">
        <f>+HI41-HD41</f>
        <v>19949</v>
      </c>
      <c r="HG41" s="530">
        <f>+HL41-HE41</f>
        <v>13833.818181818184</v>
      </c>
      <c r="HH41" s="530">
        <f>HM41-HE41</f>
        <v>13804</v>
      </c>
      <c r="HI41" s="530">
        <v>40706</v>
      </c>
      <c r="HJ41" s="530">
        <f>GO41*1.08</f>
        <v>20248.920000000002</v>
      </c>
      <c r="HK41" s="530">
        <f>HD41+HI41</f>
        <v>61463</v>
      </c>
      <c r="HL41" s="530">
        <f>KU41/0.99</f>
        <v>28181.818181818184</v>
      </c>
      <c r="HM41" s="530">
        <v>28152</v>
      </c>
      <c r="HN41" s="520">
        <f>+HP41-HI41</f>
        <v>17771</v>
      </c>
      <c r="HO41" s="520">
        <f>+HQ41-HM41</f>
        <v>12314</v>
      </c>
      <c r="HP41" s="520">
        <v>58477</v>
      </c>
      <c r="HQ41" s="535">
        <v>40466</v>
      </c>
      <c r="HR41" s="520">
        <f>+HT41-HN41</f>
        <v>17752</v>
      </c>
      <c r="HS41" s="520">
        <f>HU41-HO41</f>
        <v>12134</v>
      </c>
      <c r="HT41" s="520">
        <f>+HV41-HI41</f>
        <v>35523</v>
      </c>
      <c r="HU41" s="520">
        <f>HZ41-HM41</f>
        <v>24448</v>
      </c>
      <c r="HV41" s="520">
        <v>76229</v>
      </c>
      <c r="HW41" s="530">
        <f>GR41*1.08</f>
        <v>18313.560000000001</v>
      </c>
      <c r="HX41" s="530">
        <f>HY41-HN41</f>
        <v>17752</v>
      </c>
      <c r="HY41" s="530">
        <f>IB41-HI41</f>
        <v>35523</v>
      </c>
      <c r="HZ41" s="520">
        <v>52600</v>
      </c>
      <c r="IA41" s="530">
        <v>78100</v>
      </c>
      <c r="IB41" s="530">
        <f>Segments!Q25</f>
        <v>76229</v>
      </c>
      <c r="IC41" s="534"/>
      <c r="ID41" s="530">
        <v>13500</v>
      </c>
      <c r="IE41" s="536">
        <v>13260</v>
      </c>
      <c r="IF41" s="530">
        <f>IG41-IE41</f>
        <v>13523</v>
      </c>
      <c r="IG41" s="537">
        <v>26783</v>
      </c>
      <c r="IH41" s="530">
        <f>+IJ41-IG41</f>
        <v>12071</v>
      </c>
      <c r="II41" s="538">
        <v>13000</v>
      </c>
      <c r="IJ41" s="538">
        <v>38854</v>
      </c>
      <c r="IK41" s="530">
        <f>+IP41-IL41</f>
        <v>38854</v>
      </c>
      <c r="IL41" s="530">
        <f>IN41-IH41</f>
        <v>12446</v>
      </c>
      <c r="IM41" s="530">
        <f>+IO41-IH41</f>
        <v>12446</v>
      </c>
      <c r="IN41" s="530">
        <f>IP41-IG41</f>
        <v>24517</v>
      </c>
      <c r="IO41" s="530">
        <f>+IR41-IG41</f>
        <v>24517</v>
      </c>
      <c r="IP41" s="531">
        <f>Segments!S25</f>
        <v>51300</v>
      </c>
      <c r="IQ41" s="530">
        <v>53000</v>
      </c>
      <c r="IR41" s="539">
        <v>51300</v>
      </c>
      <c r="IS41" s="1283"/>
      <c r="IT41" s="530">
        <f>IE41*1.05</f>
        <v>13923</v>
      </c>
      <c r="IU41" s="540">
        <v>13500</v>
      </c>
      <c r="IV41" s="540">
        <f>IX41-IU41</f>
        <v>13690</v>
      </c>
      <c r="IW41" s="530">
        <v>14199.150000000001</v>
      </c>
      <c r="IX41" s="530">
        <v>27190</v>
      </c>
      <c r="IY41" s="530">
        <v>27699.15</v>
      </c>
      <c r="IZ41" s="530">
        <f>JA41-IX41</f>
        <v>12736</v>
      </c>
      <c r="JA41" s="530">
        <v>39926</v>
      </c>
      <c r="JB41" s="530">
        <f>+JC41-IZ41</f>
        <v>12911</v>
      </c>
      <c r="JC41" s="530">
        <f>+JD41-IX41</f>
        <v>25647</v>
      </c>
      <c r="JD41" s="530">
        <v>52837</v>
      </c>
      <c r="JE41" s="530">
        <v>39790</v>
      </c>
      <c r="JF41" s="530">
        <f>JG41-IZ41</f>
        <v>12911</v>
      </c>
      <c r="JG41" s="530">
        <f>JH41-IX41</f>
        <v>25647</v>
      </c>
      <c r="JH41" s="531">
        <f>Segments!T25</f>
        <v>52837</v>
      </c>
      <c r="JI41" s="1283"/>
      <c r="JJ41" s="1669">
        <f>ROUND(+IU41*(1+JJ42),-2)</f>
        <v>14100</v>
      </c>
      <c r="JK41" s="1138">
        <f>ROUND(+IV41*(1+JK42),-2)</f>
        <v>14300</v>
      </c>
      <c r="JL41" s="1138">
        <v>14326</v>
      </c>
      <c r="JM41" s="1138">
        <f>+JP41-JL41</f>
        <v>14939</v>
      </c>
      <c r="JN41" s="1138">
        <f>JS41-JP41</f>
        <v>13871</v>
      </c>
      <c r="JO41" s="1138"/>
      <c r="JP41" s="1138">
        <v>29265</v>
      </c>
      <c r="JQ41" s="1138"/>
      <c r="JR41" s="1138"/>
      <c r="JS41" s="1138">
        <v>43136</v>
      </c>
      <c r="JT41" s="1138">
        <f>ROUND(+IZ41*(1+JT42),-2)</f>
        <v>13100</v>
      </c>
      <c r="JU41" s="1138">
        <f>+JW41-JN41</f>
        <v>13164</v>
      </c>
      <c r="JV41" s="1138">
        <f>+JL41+JK41</f>
        <v>28626</v>
      </c>
      <c r="JW41" s="1138">
        <f>+JX41-JP41</f>
        <v>27035</v>
      </c>
      <c r="JX41" s="1138">
        <f>+Driver!AL124</f>
        <v>56300</v>
      </c>
      <c r="JY41" s="1138">
        <f>+JP41+JT41</f>
        <v>42365</v>
      </c>
      <c r="JZ41" s="899"/>
      <c r="KA41" s="1271"/>
      <c r="KB41" s="540">
        <f>+KC41-JL41</f>
        <v>13974</v>
      </c>
      <c r="KC41" s="540">
        <v>28300</v>
      </c>
      <c r="KD41" s="540">
        <f t="shared" ref="KD41" si="56">+KH41-KC41</f>
        <v>26400</v>
      </c>
      <c r="KE41" s="540">
        <f>+KG41-JP41</f>
        <v>25435</v>
      </c>
      <c r="KF41" s="540">
        <f>+KG41-JS41</f>
        <v>11564</v>
      </c>
      <c r="KG41" s="540">
        <v>54700</v>
      </c>
      <c r="KH41" s="540">
        <v>54700</v>
      </c>
      <c r="KI41" s="1271"/>
      <c r="KJ41" s="899"/>
      <c r="KK41" s="541">
        <f>KL41-IZ41</f>
        <v>13274</v>
      </c>
      <c r="KL41" s="530">
        <f>KM41-IX41</f>
        <v>26010</v>
      </c>
      <c r="KM41" s="540">
        <v>53200</v>
      </c>
      <c r="KN41" s="899"/>
      <c r="KO41" s="540">
        <v>27900</v>
      </c>
      <c r="KP41" s="530">
        <v>25300</v>
      </c>
      <c r="KQ41" s="531">
        <v>53200</v>
      </c>
      <c r="KR41" s="530">
        <v>25217</v>
      </c>
      <c r="KS41" s="531">
        <v>52000</v>
      </c>
      <c r="KT41" s="530">
        <f>+KU41-IE41</f>
        <v>14640</v>
      </c>
      <c r="KU41" s="530">
        <v>27900</v>
      </c>
      <c r="KV41" s="530">
        <f>+KW41-KU41</f>
        <v>24100</v>
      </c>
      <c r="KW41" s="531">
        <v>52000</v>
      </c>
      <c r="KX41" s="530">
        <f>+KY41-HN41</f>
        <v>17523</v>
      </c>
      <c r="KY41" s="530">
        <f>+KZ41-HI41</f>
        <v>35294</v>
      </c>
      <c r="KZ41" s="531">
        <v>76000</v>
      </c>
      <c r="LA41" s="530">
        <v>38600</v>
      </c>
      <c r="LB41" s="530">
        <f>+LC41-LA41</f>
        <v>34500</v>
      </c>
      <c r="LC41" s="531">
        <v>73100</v>
      </c>
      <c r="LD41" s="531"/>
      <c r="LE41" s="530">
        <f>+LF41-GR41</f>
        <v>17957</v>
      </c>
      <c r="LF41" s="530">
        <f>+LG41-GP41</f>
        <v>34914</v>
      </c>
      <c r="LG41" s="531">
        <v>72200</v>
      </c>
    </row>
    <row r="42" spans="1:319" s="765" customFormat="1" ht="12">
      <c r="A42" s="180"/>
      <c r="B42" s="644" t="s">
        <v>669</v>
      </c>
      <c r="C42" s="1676" t="s">
        <v>1443</v>
      </c>
      <c r="D42" s="463"/>
      <c r="E42" s="180"/>
      <c r="F42" s="180"/>
      <c r="G42" s="596"/>
      <c r="H42" s="180"/>
      <c r="I42" s="180"/>
      <c r="J42" s="596"/>
      <c r="K42" s="759"/>
      <c r="L42" s="759"/>
      <c r="M42" s="759"/>
      <c r="N42" s="759"/>
      <c r="O42" s="759"/>
      <c r="P42" s="759"/>
      <c r="Q42" s="759"/>
      <c r="R42" s="759"/>
      <c r="S42" s="760"/>
      <c r="T42" s="759"/>
      <c r="U42" s="759"/>
      <c r="V42" s="759"/>
      <c r="W42" s="759"/>
      <c r="X42" s="759"/>
      <c r="Y42" s="759"/>
      <c r="Z42" s="759"/>
      <c r="AA42" s="759"/>
      <c r="AB42" s="760"/>
      <c r="AC42" s="759"/>
      <c r="AD42" s="759"/>
      <c r="AE42" s="759"/>
      <c r="AF42" s="759"/>
      <c r="AG42" s="759"/>
      <c r="AH42" s="759"/>
      <c r="AI42" s="759"/>
      <c r="AJ42" s="759"/>
      <c r="AK42" s="463"/>
      <c r="AL42" s="759"/>
      <c r="AM42" s="759"/>
      <c r="AN42" s="759"/>
      <c r="AO42" s="759"/>
      <c r="AP42" s="759"/>
      <c r="AQ42" s="759"/>
      <c r="AR42" s="759"/>
      <c r="AS42" s="759"/>
      <c r="AT42" s="463"/>
      <c r="AU42" s="609">
        <f>+AU41/AL41-1</f>
        <v>-2.9183119447186545E-2</v>
      </c>
      <c r="AV42" s="609">
        <f>+AV41/AM41-1</f>
        <v>-1.7534600046915316E-2</v>
      </c>
      <c r="AW42" s="609">
        <f>+AW41/AN41-1</f>
        <v>-1.6035751840168255E-2</v>
      </c>
      <c r="AX42" s="609">
        <f>+AX41/AN41-1</f>
        <v>-3.3123028391167209E-2</v>
      </c>
      <c r="AY42" s="609">
        <f>+AY41/AO41-1</f>
        <v>-1.9266917293233043E-2</v>
      </c>
      <c r="AZ42" s="609">
        <f>+AZ41/AP41-1</f>
        <v>-2.6322303820447202E-2</v>
      </c>
      <c r="BA42" s="609">
        <f>+BA41/AP41-1</f>
        <v>-2.0958824985559898E-2</v>
      </c>
      <c r="BB42" s="612">
        <f>+BB41/AQ41-1</f>
        <v>-2.3211064341551402E-2</v>
      </c>
      <c r="BC42" s="612">
        <f>+BC41/AR41-1</f>
        <v>-1.7634165781083899E-2</v>
      </c>
      <c r="BD42" s="609"/>
      <c r="BE42" s="609">
        <f>+BE41/AS41-1</f>
        <v>-2.0561131098908003E-2</v>
      </c>
      <c r="BF42" s="463"/>
      <c r="BG42" s="759"/>
      <c r="BH42" s="759"/>
      <c r="BI42" s="759"/>
      <c r="BJ42" s="463"/>
      <c r="BK42" s="180"/>
      <c r="BL42" s="180"/>
      <c r="BM42" s="180"/>
      <c r="BN42" s="180"/>
      <c r="BO42" s="463"/>
      <c r="BP42" s="609">
        <f>+BP41/AU41-1</f>
        <v>2.8280902446774725E-2</v>
      </c>
      <c r="BQ42" s="759"/>
      <c r="BR42" s="609">
        <f>(BR41-AV41)/AV41</f>
        <v>6.0287709663940786E-3</v>
      </c>
      <c r="BS42" s="759"/>
      <c r="BT42" s="609">
        <f>(BT41-AW41)/AW41</f>
        <v>3.0056104728827145E-2</v>
      </c>
      <c r="BU42" s="609">
        <f>BU41/AY41-1</f>
        <v>-0.14819631733862693</v>
      </c>
      <c r="BV42" s="761">
        <f>BV41/AY41-1</f>
        <v>6.0579095078376444E-2</v>
      </c>
      <c r="BW42" s="759"/>
      <c r="BX42" s="612">
        <f>+BX41/BA41-1</f>
        <v>2.0986093552465279E-2</v>
      </c>
      <c r="BY42" s="612">
        <f>+BY41/BB41-1</f>
        <v>1.6806205368135929E-2</v>
      </c>
      <c r="BZ42" s="759"/>
      <c r="CA42" s="759"/>
      <c r="CB42" s="761">
        <f>CB41/BC41-1</f>
        <v>-5.7976403772691976E-2</v>
      </c>
      <c r="CC42" s="761">
        <f>CC41/BC41-1</f>
        <v>4.5130320137926283E-2</v>
      </c>
      <c r="CD42" s="761">
        <f>CD41/BE41-1</f>
        <v>-1.8833878425623118E-2</v>
      </c>
      <c r="CE42" s="761">
        <f>CE41/BE41-1</f>
        <v>3.030498316389818E-2</v>
      </c>
      <c r="CF42" s="463"/>
      <c r="CG42" s="762">
        <f>(CG41-BP41)/BP41</f>
        <v>5.704573547589617E-2</v>
      </c>
      <c r="CH42" s="763">
        <v>0.04</v>
      </c>
      <c r="CI42" s="763">
        <v>0.04</v>
      </c>
      <c r="CJ42" s="492">
        <f>CJ41/BR41-1</f>
        <v>3.7142518096594301E-2</v>
      </c>
      <c r="CK42" s="492">
        <v>6.0000000000000053E-2</v>
      </c>
      <c r="CL42" s="492">
        <f>CL41/BT41-1</f>
        <v>5.1614576578913329E-2</v>
      </c>
      <c r="CM42" s="492">
        <f>CM41/BT41-1</f>
        <v>5.0000000000000044E-2</v>
      </c>
      <c r="CN42" s="492">
        <v>0.12940493094100947</v>
      </c>
      <c r="CO42" s="492">
        <f>CO41/BV41-1</f>
        <v>3.7433845359494011E-2</v>
      </c>
      <c r="CP42" s="492">
        <f>CP41/BX41-1</f>
        <v>4.8394419679709477E-2</v>
      </c>
      <c r="CQ42" s="180"/>
      <c r="CR42" s="764">
        <f>(CR41-BY41)/BY41</f>
        <v>4.6891081915602109E-2</v>
      </c>
      <c r="CS42" s="180"/>
      <c r="CT42" s="618">
        <v>9.0600336395393971E-2</v>
      </c>
      <c r="CU42" s="618">
        <f>(CU41-CC41)/CC41</f>
        <v>4.4507698279208176E-2</v>
      </c>
      <c r="CV42" s="702">
        <v>6.8021892103205639E-2</v>
      </c>
      <c r="CW42" s="703">
        <f>CW41/CE41-1</f>
        <v>4.5738858483189926E-2</v>
      </c>
      <c r="CX42" s="492"/>
      <c r="CY42" s="492">
        <f>(CY41-CG41)/CG41</f>
        <v>3.6484827223294158E-2</v>
      </c>
      <c r="CZ42" s="492">
        <f>+CZ41/CJ41-1</f>
        <v>2.6601830663615544E-2</v>
      </c>
      <c r="DA42" s="492" t="e">
        <f>+DA41/CR41-1</f>
        <v>#REF!</v>
      </c>
      <c r="DB42" s="492">
        <f>+DB41/CR41-1</f>
        <v>3.1489460139374925E-2</v>
      </c>
      <c r="DC42" s="492">
        <f>+DC41/CL41-1</f>
        <v>-1.2516956468121787E-2</v>
      </c>
      <c r="DD42" s="704">
        <f>(DD41-CL41)/CL41</f>
        <v>0</v>
      </c>
      <c r="DE42" s="704">
        <f>+DE41/CO41-1</f>
        <v>1.3064576334453237E-2</v>
      </c>
      <c r="DF42" s="704">
        <f>+DF41/CO41-1</f>
        <v>8.330222719920366E-2</v>
      </c>
      <c r="DG42" s="492">
        <f>+DG41/CP41-1</f>
        <v>1.7440601562961344E-2</v>
      </c>
      <c r="DH42" s="704">
        <f>+DH41/CP41-1</f>
        <v>2.1436585893978455E-2</v>
      </c>
      <c r="DI42" s="492">
        <f>+DI41/CU41-1</f>
        <v>2.1677195590230625E-4</v>
      </c>
      <c r="DJ42" s="492">
        <f>(DJ41-CU41)/CU41</f>
        <v>3.5178991700730834E-2</v>
      </c>
      <c r="DK42" s="492">
        <f>+DK41/CW41-1</f>
        <v>1.6388785046729026E-2</v>
      </c>
      <c r="DL42" s="494">
        <v>3.3271028037383132E-2</v>
      </c>
      <c r="DM42" s="494"/>
      <c r="DN42" s="612"/>
      <c r="DO42" s="612"/>
      <c r="DP42" s="503"/>
      <c r="DQ42" s="503">
        <f>+DQ41/CO41-1</f>
        <v>0.15795694911036451</v>
      </c>
      <c r="DR42" s="503">
        <f>+DR41/CU41-1</f>
        <v>7.2339898426854843E-2</v>
      </c>
      <c r="DS42" s="501">
        <f>DS41/CW41-1</f>
        <v>5.1214953271027985E-2</v>
      </c>
      <c r="DT42" s="494"/>
      <c r="DU42" s="612"/>
      <c r="DV42" s="612"/>
      <c r="DW42" s="492">
        <f>DW41/CR41-1</f>
        <v>5.8323453720035889E-2</v>
      </c>
      <c r="DX42" s="503">
        <f>DX41/CU41-1</f>
        <v>7.2339898426854843E-2</v>
      </c>
      <c r="DY42" s="503">
        <f>DY41/CW41-1</f>
        <v>5.1214953271027985E-2</v>
      </c>
      <c r="DZ42" s="463"/>
      <c r="EB42" s="492">
        <f>EB41/BV41-1</f>
        <v>0.12295081967213117</v>
      </c>
      <c r="EC42" s="503">
        <f>EC41/CC41-1</f>
        <v>8.7365765299521225E-2</v>
      </c>
      <c r="ED42" s="626">
        <f>(ED41-CE41)/CE41</f>
        <v>6.6458170445660672E-2</v>
      </c>
      <c r="EE42" s="463"/>
      <c r="EF42" s="180"/>
      <c r="EG42" s="701">
        <f>+EG41/CY41-1</f>
        <v>-9.8155356236250269E-3</v>
      </c>
      <c r="EH42" s="618">
        <f>+EH41/CY41-1</f>
        <v>1.0999999999999899E-2</v>
      </c>
      <c r="EI42" s="618">
        <f>+EI41/CZ41-1</f>
        <v>-1.7386458623572021E-2</v>
      </c>
      <c r="EJ42" s="618">
        <f>+EJ41/CZ41-1</f>
        <v>9.0121482307050638E-3</v>
      </c>
      <c r="EK42" s="618">
        <f>+EK41/DB41-1</f>
        <v>-1.3624130971069737E-2</v>
      </c>
      <c r="EL42" s="618">
        <f>+EL41/DB41-1</f>
        <v>-3.4416348957166942E-4</v>
      </c>
      <c r="EM42" s="618">
        <f>+EM41/DC41-1</f>
        <v>1.2425850764907986E-2</v>
      </c>
      <c r="EN42" s="618">
        <f>+EN41/DC41-1</f>
        <v>4.0000000000000036E-2</v>
      </c>
      <c r="EO42" s="618">
        <f>+EO41/DG41-1</f>
        <v>-5.5526534718595144E-3</v>
      </c>
      <c r="EP42" s="618">
        <f>+EP41/DG41-1</f>
        <v>2.9910809294408924E-3</v>
      </c>
      <c r="EQ42" s="618">
        <f>+EQ41/DE41-1</f>
        <v>-9.7641857037582547E-3</v>
      </c>
      <c r="ER42" s="618">
        <f>+ER41/DE41-1</f>
        <v>-1</v>
      </c>
      <c r="ES42" s="618">
        <f>+ES41/DI41-1</f>
        <v>1.2384284343167629E-3</v>
      </c>
      <c r="ET42" s="618">
        <f>+ET41/DI41-1</f>
        <v>-1</v>
      </c>
      <c r="EU42" s="620">
        <f>+EU41/DK41-1</f>
        <v>-6.5616218681496807E-3</v>
      </c>
      <c r="EV42" s="501"/>
      <c r="EW42" s="482">
        <v>3.0000000000000027E-2</v>
      </c>
      <c r="EX42" s="482">
        <f>+EX41/EG41-1</f>
        <v>1.4413490571412391E-2</v>
      </c>
      <c r="EY42" s="482">
        <v>3.1547552883797403E-2</v>
      </c>
      <c r="EZ42" s="482">
        <f>+EZ41/EI41-1</f>
        <v>2.2401179606419852E-2</v>
      </c>
      <c r="FA42" s="482">
        <v>2.2999999999999909E-2</v>
      </c>
      <c r="FB42" s="482">
        <f>+FB41/EK41-1</f>
        <v>1.8416415619848747E-2</v>
      </c>
      <c r="FC42" s="482">
        <f>+FC41/EM41-1</f>
        <v>2.25730849882817E-2</v>
      </c>
      <c r="FD42" s="743">
        <v>3.928703589490512E-2</v>
      </c>
      <c r="FE42" s="482">
        <f>+FE41/EO41-1</f>
        <v>1.9727626459143943E-2</v>
      </c>
      <c r="FF42" s="743">
        <v>2.4999999999999911E-2</v>
      </c>
      <c r="FG42" s="766">
        <f>+FG41/EQ41-1</f>
        <v>5.3953488372093794E-3</v>
      </c>
      <c r="FH42" s="482">
        <f>+FH41/EQ41-1</f>
        <v>-2.4186046511628367E-3</v>
      </c>
      <c r="FI42" s="482">
        <f>+FI41/ES41-1</f>
        <v>1.4007854293577315E-2</v>
      </c>
      <c r="FJ42" s="482">
        <f>+FJ41/ES41-1</f>
        <v>1.0111629920529497E-2</v>
      </c>
      <c r="FK42" s="620">
        <f>+FK41/EU41-1</f>
        <v>1.6305072195483161E-2</v>
      </c>
      <c r="FL42" s="494">
        <f>+FL41/EU41-1</f>
        <v>1.443909663087739E-2</v>
      </c>
      <c r="FM42" s="612">
        <f>+FM41/EI41-1</f>
        <v>6.0171269778256598E-2</v>
      </c>
      <c r="FN42" s="503">
        <f>+FN41/EK41-1</f>
        <v>3.7344398340249052E-2</v>
      </c>
      <c r="FO42" s="624">
        <f>+FO41/EQ41-1</f>
        <v>9.0604651162790706E-2</v>
      </c>
      <c r="FP42" s="624">
        <f>+FP41/ES41-1</f>
        <v>5.6495253409196255E-2</v>
      </c>
      <c r="FQ42" s="501">
        <f>+FQ41/EU41-1</f>
        <v>3.6653091447611974E-2</v>
      </c>
      <c r="FR42" s="501"/>
      <c r="FS42" s="482">
        <f>+FS41/EX41-1</f>
        <v>7.8625182522744641E-3</v>
      </c>
      <c r="FT42" s="503">
        <f>(FT41-EX41)/EX41</f>
        <v>3.0000000000000016E-2</v>
      </c>
      <c r="FU42" s="503">
        <f>(FU41-EZ41)/EZ41</f>
        <v>3.7275349456401152E-2</v>
      </c>
      <c r="FV42" s="482">
        <f>+FV41/EZ41-1</f>
        <v>2.6070556911470977E-2</v>
      </c>
      <c r="FW42" s="503">
        <f>(FW41-FB41)/FB41</f>
        <v>2.2660043534073783E-2</v>
      </c>
      <c r="FX42" s="503"/>
      <c r="FY42" s="482">
        <f>+FY41/FB41-1</f>
        <v>1.7022939108109592E-2</v>
      </c>
      <c r="FZ42" s="482">
        <f>+FZ41/FC41-1</f>
        <v>-1.4837153196622488E-2</v>
      </c>
      <c r="GA42" s="482">
        <f>+GA41/FE41-1</f>
        <v>6.9447094287786726E-3</v>
      </c>
      <c r="GB42" s="482">
        <f>+GB41/FG41-1</f>
        <v>1.2274858129780464E-2</v>
      </c>
      <c r="GC42" s="482">
        <f>+GC41/FI41-1</f>
        <v>-1.4332764088802463E-3</v>
      </c>
      <c r="GD42" s="483">
        <f>+GD41/FK41-1</f>
        <v>8.2038877393406651E-3</v>
      </c>
      <c r="GE42" s="482">
        <v>8.3641768425960997E-3</v>
      </c>
      <c r="GF42" s="482">
        <f>(GF41-FC41)/FC41</f>
        <v>2.5331724969843185E-2</v>
      </c>
      <c r="GG42" s="482">
        <f>(GG41-FG41)/FG41</f>
        <v>1.227485812978041E-2</v>
      </c>
      <c r="GH42" s="503">
        <f>(GH41-FI41)/FI41</f>
        <v>-1.4332764088802147E-3</v>
      </c>
      <c r="GI42" s="503">
        <f>(GI41-FK41)/FK41</f>
        <v>8.2038877393407744E-3</v>
      </c>
      <c r="GJ42" s="504"/>
      <c r="GK42" s="503">
        <f>(GK41-FS41)/FS41</f>
        <v>3.0870388944611613E-2</v>
      </c>
      <c r="GL42" s="503">
        <f>+GL41/FS41-1</f>
        <v>3.2932129722500925E-2</v>
      </c>
      <c r="GM42" s="503">
        <f>(GM41-FV41)/FV41</f>
        <v>2.7138068980430318E-2</v>
      </c>
      <c r="GN42" s="503">
        <f>(GN41-FY41)/FY41</f>
        <v>2.9991219405114698E-2</v>
      </c>
      <c r="GO42" s="503">
        <f>+GO41/FV41-1</f>
        <v>1.3569034490215071E-2</v>
      </c>
      <c r="GP42" s="503">
        <f>+GP41/FY41-1</f>
        <v>2.3103940291954839E-2</v>
      </c>
      <c r="GQ42" s="503">
        <f>(GQ41-FZ41)/FZ41</f>
        <v>2.8529447777641728E-2</v>
      </c>
      <c r="GR42" s="482">
        <f>+GR41/FZ41-1</f>
        <v>3.8141300355087449E-2</v>
      </c>
      <c r="GS42" s="482">
        <f>+GS41/GA41-1</f>
        <v>2.7757777861987964E-2</v>
      </c>
      <c r="GT42" s="661">
        <f>+GT41/GB41-1</f>
        <v>9.987203704832126E-2</v>
      </c>
      <c r="GU42" s="482">
        <f>+GU41/GC41-1</f>
        <v>6.9079248740265609E-2</v>
      </c>
      <c r="GV42" s="483">
        <f>+GV41/GD41-1</f>
        <v>4.4862622671233865E-2</v>
      </c>
      <c r="GW42" s="482">
        <v>5.0745060631025164E-2</v>
      </c>
      <c r="GX42" s="503">
        <f>(GX41-GB41)/GB41</f>
        <v>9.9872037048321247E-2</v>
      </c>
      <c r="GY42" s="503">
        <f>(GY41-GC41)/GC41</f>
        <v>6.9079248740265692E-2</v>
      </c>
      <c r="GZ42" s="503">
        <f>(GZ41-GD41)/GD41</f>
        <v>4.4862622671233865E-2</v>
      </c>
      <c r="HA42" s="504"/>
      <c r="HB42" s="503">
        <f>(HB41-GL41)/GL41</f>
        <v>0.14999999999999997</v>
      </c>
      <c r="HC42" s="503"/>
      <c r="HD42" s="503">
        <f>+HD41/GL41-1</f>
        <v>0.11976047904191622</v>
      </c>
      <c r="HE42" s="503"/>
      <c r="HF42" s="503">
        <f>+HF41/GO41-1</f>
        <v>6.4003413515387519E-2</v>
      </c>
      <c r="HG42" s="503"/>
      <c r="HH42" s="503"/>
      <c r="HI42" s="503">
        <f>+HI41/GP41-1</f>
        <v>9.1723435069463122E-2</v>
      </c>
      <c r="HJ42" s="503">
        <f>(HI41-GO41)/GO41</f>
        <v>1.1711024587978025</v>
      </c>
      <c r="HK42" s="503">
        <f>(HK41-GP41)/GP41</f>
        <v>0.64842031861824811</v>
      </c>
      <c r="HL42" s="503"/>
      <c r="HM42" s="503"/>
      <c r="HN42" s="482">
        <f>+HN41/GR41-1</f>
        <v>4.8003774252521003E-2</v>
      </c>
      <c r="HO42" s="482">
        <f>+HO41/GS41-1</f>
        <v>-0.77298453256641408</v>
      </c>
      <c r="HP42" s="482">
        <f>+HP41/GS41-1</f>
        <v>7.8056154711207082E-2</v>
      </c>
      <c r="HQ42" s="482">
        <f>+HQ41/GS41-1</f>
        <v>-0.25398668952675918</v>
      </c>
      <c r="HR42" s="618">
        <f>+HR41/GT41-1</f>
        <v>-1.6509695290858772E-2</v>
      </c>
      <c r="HS42" s="618"/>
      <c r="HT42" s="618">
        <f>+HT41/GU41-1</f>
        <v>1.4739909161024967E-2</v>
      </c>
      <c r="HU42" s="618"/>
      <c r="HV42" s="482">
        <f>+HV41/GV41-1</f>
        <v>5.4445105335233057E-2</v>
      </c>
      <c r="HW42" s="503">
        <f>(HW41-GR41)/GR41</f>
        <v>8.0000000000000071E-2</v>
      </c>
      <c r="HX42" s="503">
        <f>(HX41-GT41)/GT41</f>
        <v>-1.6509695290858727E-2</v>
      </c>
      <c r="HY42" s="503">
        <f>(HY41-GU41)/GU41</f>
        <v>1.4739909161024937E-2</v>
      </c>
      <c r="HZ42" s="482"/>
      <c r="IA42" s="503">
        <v>8.032589600652898E-2</v>
      </c>
      <c r="IB42" s="503">
        <f>(IB41-GV41)/GV41</f>
        <v>5.4445105335233009E-2</v>
      </c>
      <c r="IC42" s="504"/>
      <c r="ID42" s="503"/>
      <c r="IE42" s="506">
        <f>+IE41/HE41-1</f>
        <v>-7.582938388625593E-2</v>
      </c>
      <c r="IF42" s="503">
        <f>IF41/HH41-1</f>
        <v>-2.0356418429440692E-2</v>
      </c>
      <c r="IG42" s="503">
        <f>IG41/HM41-1</f>
        <v>-4.8628871838590548E-2</v>
      </c>
      <c r="IH42" s="503">
        <f>+IH41/HO41-1</f>
        <v>-1.9733636511288011E-2</v>
      </c>
      <c r="II42" s="503"/>
      <c r="IJ42" s="503">
        <f>+IJ41/HQ41-1</f>
        <v>-3.9835911629516163E-2</v>
      </c>
      <c r="IK42" s="503"/>
      <c r="IL42" s="503">
        <f>(IL41-HS41)/HS41</f>
        <v>2.571287291907038E-2</v>
      </c>
      <c r="IM42" s="503">
        <f>+IM41/HS41-1</f>
        <v>2.5712872919070318E-2</v>
      </c>
      <c r="IN42" s="503">
        <f>IN41/HU41-1</f>
        <v>2.8223167539267457E-3</v>
      </c>
      <c r="IO42" s="503">
        <f>+IO41/HU41-1</f>
        <v>2.8223167539267457E-3</v>
      </c>
      <c r="IP42" s="501">
        <f>(IP41-HZ41)/HZ41</f>
        <v>-2.4714828897338403E-2</v>
      </c>
      <c r="IQ42" s="503">
        <v>7.6045627376425855E-3</v>
      </c>
      <c r="IR42" s="501">
        <f>+IR41/HZ41-1</f>
        <v>-2.4714828897338448E-2</v>
      </c>
      <c r="IS42" s="506"/>
      <c r="IT42" s="503">
        <f>(IT41-IE41)/IE41</f>
        <v>0.05</v>
      </c>
      <c r="IU42" s="503">
        <f>+IU41/IE41-1</f>
        <v>1.8099547511312153E-2</v>
      </c>
      <c r="IV42" s="503">
        <f>(IV41-IF41)/IF41</f>
        <v>1.2349330769799601E-2</v>
      </c>
      <c r="IW42" s="503">
        <v>5.0000000000000107E-2</v>
      </c>
      <c r="IX42" s="503">
        <f>(IX41-IG41)/IG41</f>
        <v>1.5196206548930292E-2</v>
      </c>
      <c r="IY42" s="503">
        <v>3.4206399581824344E-2</v>
      </c>
      <c r="IZ42" s="503">
        <f>(IZ41-IH41)/IH41</f>
        <v>5.5090713279761415E-2</v>
      </c>
      <c r="JA42" s="503">
        <f>(JA41-IJ41)/IJ41</f>
        <v>2.7590466875997324E-2</v>
      </c>
      <c r="JB42" s="503">
        <f>(JB41-IM41)/IM41</f>
        <v>3.736140125341475E-2</v>
      </c>
      <c r="JC42" s="503">
        <f>(JC41-IO41)/IO41</f>
        <v>4.6090467838642575E-2</v>
      </c>
      <c r="JD42" s="503">
        <f>(JD41-IR41)/IR41</f>
        <v>2.9961013645224171E-2</v>
      </c>
      <c r="JE42" s="503"/>
      <c r="JF42" s="503">
        <f>(JF41-IM41)/IM41</f>
        <v>3.736140125341475E-2</v>
      </c>
      <c r="JG42" s="503">
        <f>(JG41-IO41)/IO41</f>
        <v>4.6090467838642575E-2</v>
      </c>
      <c r="JH42" s="501">
        <f>(JH41-IR41)/IR41</f>
        <v>2.9961013645224171E-2</v>
      </c>
      <c r="JI42" s="506"/>
      <c r="JJ42" s="995">
        <f>+JJ44*0.8+JJ47*0.12+JJ49*0.08</f>
        <v>4.1599999999999998E-2</v>
      </c>
      <c r="JK42" s="495">
        <f>+JK44*0.8+JK47*0.12+JK49*0.08</f>
        <v>4.1599999999999998E-2</v>
      </c>
      <c r="JL42" s="1670">
        <f>+JL41/IU41-1</f>
        <v>6.1185185185185231E-2</v>
      </c>
      <c r="JM42" s="1670">
        <f t="shared" ref="JM42" si="57">+JM41/IV41-1</f>
        <v>9.1234477720964158E-2</v>
      </c>
      <c r="JN42" s="1670">
        <f>+JN41/IZ41-1</f>
        <v>8.9117462311557816E-2</v>
      </c>
      <c r="JO42" s="1670">
        <f>+JO41/JB41-1</f>
        <v>-1</v>
      </c>
      <c r="JP42" s="1670">
        <f>+JP41/IX41-1</f>
        <v>7.6314821625597551E-2</v>
      </c>
      <c r="JQ42" s="1670">
        <f>+JQ41/JC41-1</f>
        <v>-1</v>
      </c>
      <c r="JR42" s="1670">
        <f>+JR41/JD41-1</f>
        <v>-1</v>
      </c>
      <c r="JS42" s="1670">
        <f>+JS41/JA41-1</f>
        <v>8.0398737664679754E-2</v>
      </c>
      <c r="JT42" s="495">
        <f t="shared" ref="JT42" si="58">+JT44*0.8+JT47*0.12+JT49*0.08</f>
        <v>3.2399999999999998E-2</v>
      </c>
      <c r="JU42" s="495">
        <f>+JU41/JB41-1</f>
        <v>1.9595693594609331E-2</v>
      </c>
      <c r="JV42" s="1670">
        <f>+JV41/IX41-1</f>
        <v>5.281353438764258E-2</v>
      </c>
      <c r="JW42" s="1670">
        <f>+JW41/JC41-1</f>
        <v>5.4119390182087557E-2</v>
      </c>
      <c r="JX42" s="1670">
        <f>+JX41/JD41-1</f>
        <v>6.5541192724795083E-2</v>
      </c>
      <c r="JY42" s="1670">
        <f>+JY41/JA41-1</f>
        <v>6.1088012823723892E-2</v>
      </c>
      <c r="JZ42" s="503"/>
      <c r="KA42" s="501"/>
      <c r="KB42" s="1670">
        <f>+KB41/IV41-1</f>
        <v>2.0745069393718119E-2</v>
      </c>
      <c r="KC42" s="1670">
        <f>+KC41/IX41-1</f>
        <v>4.0823832291283502E-2</v>
      </c>
      <c r="KD42" s="1670">
        <f>+KD41/JC41-1</f>
        <v>2.9360159082933768E-2</v>
      </c>
      <c r="KE42" s="1670">
        <f>+KE41/JC41-1</f>
        <v>-8.2660740047568737E-3</v>
      </c>
      <c r="KF42" s="1670">
        <f>+KF41/JB41-1</f>
        <v>-0.10432964139106193</v>
      </c>
      <c r="KG42" s="1670">
        <f>+KG41/JD41-1</f>
        <v>3.5259382629596603E-2</v>
      </c>
      <c r="KH42" s="1670">
        <f>+KH41/JD41-1</f>
        <v>3.5259382629596603E-2</v>
      </c>
      <c r="KI42" s="501"/>
      <c r="KJ42" s="503"/>
      <c r="KK42" s="503">
        <f>(KK41-IM41)/IM41</f>
        <v>6.6527398360919171E-2</v>
      </c>
      <c r="KL42" s="503">
        <f>KL41/IO41-1</f>
        <v>6.0896520781498653E-2</v>
      </c>
      <c r="KM42" s="495">
        <f>KM41/IR41-1</f>
        <v>3.7037037037036979E-2</v>
      </c>
      <c r="KN42" s="503"/>
      <c r="KO42" s="495">
        <v>4.1705559496695743E-2</v>
      </c>
      <c r="KP42" s="495">
        <v>3.1937023289962063E-2</v>
      </c>
      <c r="KQ42" s="496">
        <v>3.7037037037036979E-2</v>
      </c>
      <c r="KR42" s="495">
        <v>3.1454515706806241E-2</v>
      </c>
      <c r="KS42" s="496">
        <v>-1.1406844106463865E-2</v>
      </c>
      <c r="KT42" s="503">
        <f>+KT41/HG41-1</f>
        <v>5.8276161186026076E-2</v>
      </c>
      <c r="KU42" s="495">
        <f>+KU41/HL41-1</f>
        <v>-1.000000000000012E-2</v>
      </c>
      <c r="KV42" s="503" t="e">
        <f>+KV41/#REF!-1</f>
        <v>#REF!</v>
      </c>
      <c r="KW42" s="501">
        <f>+KW41/HZ41-1</f>
        <v>-1.1406844106463865E-2</v>
      </c>
      <c r="KX42" s="503">
        <f>+KX41/GT41-1</f>
        <v>-2.9196675900276969E-2</v>
      </c>
      <c r="KY42" s="624">
        <f>+KY41/GU41-1</f>
        <v>8.1983603279343065E-3</v>
      </c>
      <c r="KZ42" s="501">
        <f>+KZ41/GV41-1</f>
        <v>5.1277440416084508E-2</v>
      </c>
      <c r="LA42" s="495">
        <f>+LA41/GP41-1</f>
        <v>3.5241109263530523E-2</v>
      </c>
      <c r="LB42" s="503">
        <f>+LB41/GU41-1</f>
        <v>-1.4482817722169861E-2</v>
      </c>
      <c r="LC42" s="501">
        <f>+LC41/GV41-1</f>
        <v>1.1162906505470804E-2</v>
      </c>
      <c r="LD42" s="501">
        <f>+LD41/LC41-1</f>
        <v>-1</v>
      </c>
      <c r="LE42" s="624">
        <f>+LE41/GB41-1</f>
        <v>9.4205106331119337E-2</v>
      </c>
      <c r="LF42" s="624">
        <f>+LF41/GC41-1</f>
        <v>6.6239120476408564E-2</v>
      </c>
      <c r="LG42" s="501">
        <f>+LG41/GD41-1</f>
        <v>4.3518478370839331E-2</v>
      </c>
    </row>
    <row r="43" spans="1:319" s="705" customFormat="1" ht="12">
      <c r="A43" s="510"/>
      <c r="B43" s="697" t="s">
        <v>1067</v>
      </c>
      <c r="C43" s="699" t="s">
        <v>1438</v>
      </c>
      <c r="D43" s="497"/>
      <c r="E43" s="510"/>
      <c r="F43" s="510"/>
      <c r="G43" s="699"/>
      <c r="H43" s="510"/>
      <c r="I43" s="510"/>
      <c r="J43" s="699"/>
      <c r="K43" s="584"/>
      <c r="L43" s="584"/>
      <c r="M43" s="584"/>
      <c r="N43" s="584"/>
      <c r="O43" s="584"/>
      <c r="P43" s="584"/>
      <c r="Q43" s="584"/>
      <c r="R43" s="584"/>
      <c r="S43" s="700"/>
      <c r="T43" s="584"/>
      <c r="U43" s="584"/>
      <c r="V43" s="584"/>
      <c r="W43" s="584"/>
      <c r="X43" s="584"/>
      <c r="Y43" s="584">
        <v>25857</v>
      </c>
      <c r="Z43" s="584">
        <f>+AA43-Y43</f>
        <v>22981</v>
      </c>
      <c r="AA43" s="584">
        <v>48838</v>
      </c>
      <c r="AB43" s="700"/>
      <c r="AC43" s="584"/>
      <c r="AD43" s="584"/>
      <c r="AE43" s="584"/>
      <c r="AF43" s="584"/>
      <c r="AG43" s="584"/>
      <c r="AH43" s="584">
        <v>25208</v>
      </c>
      <c r="AI43" s="584">
        <f>+AJ43-AH43</f>
        <v>22097</v>
      </c>
      <c r="AJ43" s="584">
        <v>47305</v>
      </c>
      <c r="AK43" s="497"/>
      <c r="AL43" s="584"/>
      <c r="AM43" s="584"/>
      <c r="AN43" s="584">
        <f>+AW43/(1+AW44)</f>
        <v>10804.536082474227</v>
      </c>
      <c r="AO43" s="584">
        <f>+AR43-AN43</f>
        <v>11471.463917525773</v>
      </c>
      <c r="AP43" s="584">
        <f>+BA43/(1+BA44)</f>
        <v>34249.484536082477</v>
      </c>
      <c r="AQ43" s="584">
        <v>25115</v>
      </c>
      <c r="AR43" s="584">
        <f>+AS43-AQ43</f>
        <v>22276</v>
      </c>
      <c r="AS43" s="584">
        <v>47391</v>
      </c>
      <c r="AT43" s="497"/>
      <c r="AU43" s="584"/>
      <c r="AV43" s="584"/>
      <c r="AW43" s="584">
        <f>+AW41*0.7</f>
        <v>10480.4</v>
      </c>
      <c r="AX43" s="584"/>
      <c r="AY43" s="584">
        <f>+BC43-AW43</f>
        <v>-37610.400000000001</v>
      </c>
      <c r="AZ43" s="584"/>
      <c r="BA43" s="584">
        <f>+BA41*0.7</f>
        <v>33222</v>
      </c>
      <c r="BB43" s="625">
        <v>27130</v>
      </c>
      <c r="BC43" s="625">
        <f>+BE43-BB43</f>
        <v>-27130</v>
      </c>
      <c r="BD43" s="584">
        <v>46500</v>
      </c>
      <c r="BE43" s="584"/>
      <c r="BF43" s="497"/>
      <c r="BG43" s="584"/>
      <c r="BH43" s="584"/>
      <c r="BI43" s="584"/>
      <c r="BJ43" s="497"/>
      <c r="BK43" s="510">
        <v>25500</v>
      </c>
      <c r="BL43" s="510">
        <v>22600</v>
      </c>
      <c r="BM43" s="510">
        <v>48100</v>
      </c>
      <c r="BN43" s="510" t="s">
        <v>960</v>
      </c>
      <c r="BO43" s="497"/>
      <c r="BP43" s="584">
        <f>CG43/(1+CG44)</f>
        <v>11538.461538461537</v>
      </c>
      <c r="BQ43" s="584"/>
      <c r="BR43" s="584">
        <f>BY43-BP43</f>
        <v>16134.138461538465</v>
      </c>
      <c r="BS43" s="584"/>
      <c r="BT43" s="584">
        <f>AW43*(1+BT44)</f>
        <v>10690.008</v>
      </c>
      <c r="BU43" s="584"/>
      <c r="BV43" s="584"/>
      <c r="BW43" s="584"/>
      <c r="BX43" s="584"/>
      <c r="BY43" s="584">
        <f>+BB43*(1+BY44)</f>
        <v>27672.600000000002</v>
      </c>
      <c r="BZ43" s="584"/>
      <c r="CA43" s="584"/>
      <c r="CB43" s="584"/>
      <c r="CC43" s="584"/>
      <c r="CD43" s="584"/>
      <c r="CE43" s="561">
        <f>CW43/1.03</f>
        <v>45631.067961165048</v>
      </c>
      <c r="CF43" s="497"/>
      <c r="CG43" s="714">
        <v>12000</v>
      </c>
      <c r="CH43" s="510"/>
      <c r="CI43" s="510"/>
      <c r="CJ43" s="510">
        <f>CP43-CL43-CG43</f>
        <v>13500</v>
      </c>
      <c r="CK43" s="510"/>
      <c r="CL43" s="510">
        <v>11500</v>
      </c>
      <c r="CM43" s="510"/>
      <c r="CN43" s="510"/>
      <c r="CO43" s="510"/>
      <c r="CP43" s="510">
        <v>37000</v>
      </c>
      <c r="CQ43" s="510"/>
      <c r="CR43" s="510">
        <f>CG43+CJ43</f>
        <v>25500</v>
      </c>
      <c r="CS43" s="510"/>
      <c r="CT43" s="510"/>
      <c r="CU43" s="510">
        <f>CW43-CR43</f>
        <v>21500</v>
      </c>
      <c r="CV43" s="510"/>
      <c r="CW43" s="699">
        <v>47000</v>
      </c>
      <c r="CX43" s="510"/>
      <c r="CY43" s="510"/>
      <c r="CZ43" s="510"/>
      <c r="DA43" s="510"/>
      <c r="DB43" s="510"/>
      <c r="DC43" s="510"/>
      <c r="DD43" s="510"/>
      <c r="DE43" s="510">
        <f t="shared" si="42"/>
        <v>50000</v>
      </c>
      <c r="DF43" s="510"/>
      <c r="DG43" s="510"/>
      <c r="DH43" s="510"/>
      <c r="DI43" s="510">
        <f t="shared" si="3"/>
        <v>50000</v>
      </c>
      <c r="DJ43" s="510"/>
      <c r="DK43" s="510">
        <v>50000</v>
      </c>
      <c r="DL43" s="767"/>
      <c r="DM43" s="767"/>
      <c r="DP43" s="713"/>
      <c r="DQ43" s="713"/>
      <c r="DR43" s="713">
        <f>+DS43-DB43</f>
        <v>0</v>
      </c>
      <c r="DS43" s="356"/>
      <c r="DT43" s="767"/>
      <c r="DX43" s="1"/>
      <c r="DY43" s="1"/>
      <c r="DZ43" s="497"/>
      <c r="EC43" s="1"/>
      <c r="ED43" s="767"/>
      <c r="EE43" s="497"/>
      <c r="EF43" s="510"/>
      <c r="EG43" s="768" t="s">
        <v>1416</v>
      </c>
      <c r="EH43" s="510"/>
      <c r="EI43" s="510"/>
      <c r="EJ43" s="510"/>
      <c r="EK43" s="736" t="s">
        <v>1229</v>
      </c>
      <c r="EL43" s="510"/>
      <c r="EM43" s="736"/>
      <c r="EN43" s="510"/>
      <c r="EO43" s="736" t="s">
        <v>1241</v>
      </c>
      <c r="EQ43" s="736"/>
      <c r="ES43" s="736"/>
      <c r="EU43" s="737"/>
      <c r="EV43" s="356"/>
      <c r="EW43" s="736"/>
      <c r="EX43" s="769">
        <v>0.01</v>
      </c>
      <c r="EY43" s="769"/>
      <c r="EZ43" s="736"/>
      <c r="FA43" s="736"/>
      <c r="FB43" s="736"/>
      <c r="FC43" s="736"/>
      <c r="FD43" s="180"/>
      <c r="FE43" s="736"/>
      <c r="FF43" s="180"/>
      <c r="FG43" s="180"/>
      <c r="FH43" s="736"/>
      <c r="FI43" s="736"/>
      <c r="FJ43" s="736"/>
      <c r="FK43" s="737" t="s">
        <v>1383</v>
      </c>
      <c r="FL43" s="767"/>
      <c r="FN43" s="713"/>
      <c r="FO43" s="713"/>
      <c r="FP43" s="713"/>
      <c r="FQ43" s="356"/>
      <c r="FR43" s="356"/>
      <c r="FT43" s="1"/>
      <c r="FU43" s="1"/>
      <c r="FV43" s="736"/>
      <c r="FW43" s="1"/>
      <c r="FX43" s="1"/>
      <c r="FY43" s="736"/>
      <c r="FZ43" s="736"/>
      <c r="GA43" s="736"/>
      <c r="GB43" s="736"/>
      <c r="GC43" s="736"/>
      <c r="GD43" s="737"/>
      <c r="GE43" s="736"/>
      <c r="GF43" s="736"/>
      <c r="GG43" s="736"/>
      <c r="GH43" s="1"/>
      <c r="GI43" s="1"/>
      <c r="GJ43" s="357"/>
      <c r="GK43" s="1"/>
      <c r="GL43" s="1"/>
      <c r="GM43" s="1"/>
      <c r="GN43" s="1"/>
      <c r="GO43" s="1"/>
      <c r="GP43" s="1"/>
      <c r="GQ43" s="1"/>
      <c r="GR43" s="736"/>
      <c r="GS43" s="736"/>
      <c r="GT43" s="736"/>
      <c r="GU43" s="736"/>
      <c r="GV43" s="737"/>
      <c r="GW43" s="736"/>
      <c r="GX43" s="1"/>
      <c r="GY43" s="1"/>
      <c r="GZ43" s="1"/>
      <c r="HA43" s="357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736"/>
      <c r="HO43" s="736"/>
      <c r="HP43" s="736"/>
      <c r="HQ43" s="736"/>
      <c r="HR43" s="736"/>
      <c r="HS43" s="736"/>
      <c r="HT43" s="736"/>
      <c r="HU43" s="736"/>
      <c r="HV43" s="736"/>
      <c r="HW43" s="1"/>
      <c r="HX43" s="1"/>
      <c r="HY43" s="1"/>
      <c r="HZ43" s="736"/>
      <c r="IA43" s="1"/>
      <c r="IB43" s="1"/>
      <c r="IC43" s="357"/>
      <c r="ID43" s="1"/>
      <c r="IE43" s="770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356"/>
      <c r="IQ43" s="1"/>
      <c r="IR43" s="356"/>
      <c r="IS43" s="784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356"/>
      <c r="JI43" s="784"/>
      <c r="JJ43" s="784"/>
      <c r="JK43" s="713"/>
      <c r="JL43" s="713" t="s">
        <v>1517</v>
      </c>
      <c r="JM43" s="713"/>
      <c r="JN43" s="713"/>
      <c r="JO43" s="713"/>
      <c r="JP43" s="713"/>
      <c r="JQ43" s="713"/>
      <c r="JR43" s="713"/>
      <c r="JS43" s="713"/>
      <c r="JT43" s="713"/>
      <c r="JU43" s="713"/>
      <c r="JV43" s="713"/>
      <c r="JW43" s="713"/>
      <c r="JX43" s="713"/>
      <c r="JY43" s="713"/>
      <c r="JZ43" s="713"/>
      <c r="KA43" s="517"/>
      <c r="KB43" s="1017"/>
      <c r="KC43" s="1017"/>
      <c r="KD43" s="1017"/>
      <c r="KE43" s="1017"/>
      <c r="KF43" s="1017"/>
      <c r="KG43" s="1017"/>
      <c r="KH43" s="1017"/>
      <c r="KI43" s="517"/>
      <c r="KJ43" s="713"/>
      <c r="KK43" s="1"/>
      <c r="KL43" s="713"/>
      <c r="KM43" s="713"/>
      <c r="KN43" s="713"/>
      <c r="KO43" s="713"/>
      <c r="KP43" s="713"/>
      <c r="KQ43" s="517"/>
      <c r="KR43" s="713"/>
      <c r="KS43" s="517"/>
      <c r="KT43" s="713"/>
      <c r="KU43" s="713"/>
      <c r="KV43" s="713"/>
      <c r="KW43" s="771"/>
      <c r="KX43" s="713"/>
      <c r="KY43" s="713"/>
      <c r="KZ43" s="771"/>
      <c r="LA43" s="713"/>
      <c r="LB43" s="713"/>
      <c r="LC43" s="771"/>
      <c r="LD43" s="771"/>
      <c r="LE43" s="713"/>
      <c r="LF43" s="713"/>
      <c r="LG43" s="771"/>
    </row>
    <row r="44" spans="1:319" s="705" customFormat="1" ht="12">
      <c r="A44" s="510"/>
      <c r="B44" s="644" t="s">
        <v>669</v>
      </c>
      <c r="C44" s="699" t="s">
        <v>961</v>
      </c>
      <c r="D44" s="497"/>
      <c r="E44" s="510"/>
      <c r="F44" s="510"/>
      <c r="G44" s="699"/>
      <c r="H44" s="510"/>
      <c r="I44" s="510"/>
      <c r="J44" s="699"/>
      <c r="K44" s="584"/>
      <c r="L44" s="584"/>
      <c r="M44" s="584"/>
      <c r="N44" s="584"/>
      <c r="O44" s="584"/>
      <c r="P44" s="584"/>
      <c r="Q44" s="584"/>
      <c r="R44" s="584"/>
      <c r="S44" s="700"/>
      <c r="T44" s="584"/>
      <c r="U44" s="584"/>
      <c r="V44" s="584"/>
      <c r="W44" s="584"/>
      <c r="X44" s="584"/>
      <c r="Y44" s="584"/>
      <c r="Z44" s="584"/>
      <c r="AA44" s="584"/>
      <c r="AB44" s="700"/>
      <c r="AC44" s="584"/>
      <c r="AD44" s="584"/>
      <c r="AE44" s="584"/>
      <c r="AF44" s="584"/>
      <c r="AG44" s="584"/>
      <c r="AH44" s="584"/>
      <c r="AI44" s="584"/>
      <c r="AJ44" s="584"/>
      <c r="AK44" s="497"/>
      <c r="AL44" s="584"/>
      <c r="AM44" s="584"/>
      <c r="AN44" s="584"/>
      <c r="AO44" s="584"/>
      <c r="AP44" s="584"/>
      <c r="AQ44" s="584"/>
      <c r="AR44" s="584"/>
      <c r="AS44" s="584"/>
      <c r="AT44" s="497"/>
      <c r="AU44" s="584"/>
      <c r="AV44" s="584"/>
      <c r="AW44" s="609">
        <v>-0.03</v>
      </c>
      <c r="AX44" s="584"/>
      <c r="AY44" s="609">
        <f>+AY43/AO43-1</f>
        <v>-4.2786050908934055</v>
      </c>
      <c r="AZ44" s="584"/>
      <c r="BA44" s="609">
        <v>-0.03</v>
      </c>
      <c r="BB44" s="625"/>
      <c r="BC44" s="625"/>
      <c r="BD44" s="584"/>
      <c r="BE44" s="584"/>
      <c r="BF44" s="497"/>
      <c r="BG44" s="584"/>
      <c r="BH44" s="584"/>
      <c r="BI44" s="584"/>
      <c r="BJ44" s="497"/>
      <c r="BK44" s="510"/>
      <c r="BL44" s="510"/>
      <c r="BM44" s="510"/>
      <c r="BN44" s="510"/>
      <c r="BO44" s="497"/>
      <c r="BP44" s="609">
        <v>0.03</v>
      </c>
      <c r="BQ44" s="584"/>
      <c r="BR44" s="584"/>
      <c r="BS44" s="584"/>
      <c r="BT44" s="747">
        <v>0.02</v>
      </c>
      <c r="BU44" s="747"/>
      <c r="BV44" s="584"/>
      <c r="BW44" s="584"/>
      <c r="BX44" s="612"/>
      <c r="BY44" s="609">
        <v>0.02</v>
      </c>
      <c r="BZ44" s="584"/>
      <c r="CA44" s="584"/>
      <c r="CB44" s="584"/>
      <c r="CC44" s="584"/>
      <c r="CD44" s="584"/>
      <c r="CE44" s="584"/>
      <c r="CF44" s="497"/>
      <c r="CG44" s="772">
        <v>0.04</v>
      </c>
      <c r="CH44" s="510"/>
      <c r="CI44" s="510"/>
      <c r="CJ44" s="492">
        <f>CJ43/BR43-1</f>
        <v>-0.16326489746061645</v>
      </c>
      <c r="CK44" s="492" t="e">
        <v>#DIV/0!</v>
      </c>
      <c r="CL44" s="492">
        <f>CL43/BT43-1</f>
        <v>7.5770944231285942E-2</v>
      </c>
      <c r="CM44" s="510"/>
      <c r="CN44" s="510"/>
      <c r="CO44" s="492" t="e">
        <f>CO43/BV43-1</f>
        <v>#DIV/0!</v>
      </c>
      <c r="CP44" s="492" t="e">
        <f>CP43/BX43-1</f>
        <v>#DIV/0!</v>
      </c>
      <c r="CQ44" s="510"/>
      <c r="CR44" s="492">
        <f>(CR43-BY43)/BY43</f>
        <v>-7.8510873571691925E-2</v>
      </c>
      <c r="CS44" s="510"/>
      <c r="CT44" s="510"/>
      <c r="CU44" s="618" t="e">
        <f>(CU43-CC43)/CC43</f>
        <v>#DIV/0!</v>
      </c>
      <c r="CV44" s="510"/>
      <c r="CW44" s="767">
        <f>CW43/CE43-1</f>
        <v>3.0000000000000027E-2</v>
      </c>
      <c r="CX44" s="492"/>
      <c r="CY44" s="492">
        <v>0.05</v>
      </c>
      <c r="CZ44" s="492"/>
      <c r="DA44" s="492"/>
      <c r="DB44" s="492"/>
      <c r="DC44" s="492">
        <v>-0.01</v>
      </c>
      <c r="DD44" s="492"/>
      <c r="DE44" s="492" t="e">
        <f>+DE43/CO43-1</f>
        <v>#DIV/0!</v>
      </c>
      <c r="DF44" s="492" t="e">
        <f>+DF43/CO43-1</f>
        <v>#DIV/0!</v>
      </c>
      <c r="DG44" s="492">
        <f>+DG43/CP43-1</f>
        <v>-1</v>
      </c>
      <c r="DH44" s="492">
        <f>+DH43/CP43-1</f>
        <v>-1</v>
      </c>
      <c r="DI44" s="492">
        <f>+DI43/CU43-1</f>
        <v>1.3255813953488373</v>
      </c>
      <c r="DJ44" s="492">
        <f>(DJ43-CU43)/CU43</f>
        <v>-1</v>
      </c>
      <c r="DK44" s="492">
        <f>+DK43/CW43-1</f>
        <v>6.3829787234042534E-2</v>
      </c>
      <c r="DL44" s="626"/>
      <c r="DM44" s="626"/>
      <c r="DN44" s="609"/>
      <c r="DO44" s="609"/>
      <c r="DP44" s="503"/>
      <c r="DQ44" s="503"/>
      <c r="DR44" s="503">
        <f>+DR43/CU43-1</f>
        <v>-1</v>
      </c>
      <c r="DS44" s="501">
        <f>DS43/CW43-1</f>
        <v>-1</v>
      </c>
      <c r="DT44" s="626"/>
      <c r="DU44" s="609"/>
      <c r="DV44" s="609"/>
      <c r="DX44" s="503"/>
      <c r="DY44" s="503"/>
      <c r="DZ44" s="497"/>
      <c r="EC44" s="503" t="e">
        <f>EC43/CC43-1</f>
        <v>#DIV/0!</v>
      </c>
      <c r="ED44" s="626"/>
      <c r="EE44" s="497"/>
      <c r="EF44" s="510"/>
      <c r="EG44" s="701"/>
      <c r="EH44" s="510"/>
      <c r="EI44" s="510"/>
      <c r="EJ44" s="510"/>
      <c r="EK44" s="618"/>
      <c r="EL44" s="510"/>
      <c r="EM44" s="618"/>
      <c r="EN44" s="510"/>
      <c r="EO44" s="618"/>
      <c r="EQ44" s="618"/>
      <c r="ES44" s="618"/>
      <c r="EU44" s="620"/>
      <c r="EV44" s="501"/>
      <c r="EW44" s="482" t="e">
        <v>#VALUE!</v>
      </c>
      <c r="EX44" s="482"/>
      <c r="EY44" s="482" t="e">
        <v>#DIV/0!</v>
      </c>
      <c r="EZ44" s="482" t="e">
        <f>+EZ43/EI43-1</f>
        <v>#DIV/0!</v>
      </c>
      <c r="FA44" s="482" t="e">
        <v>#VALUE!</v>
      </c>
      <c r="FB44" s="618" t="e">
        <f>+FB43/EK43-1</f>
        <v>#VALUE!</v>
      </c>
      <c r="FC44" s="618" t="e">
        <f>+FC43/EM43-1</f>
        <v>#DIV/0!</v>
      </c>
      <c r="FD44" s="618" t="e">
        <v>#DIV/0!</v>
      </c>
      <c r="FE44" s="618" t="e">
        <f>+FE43/EO43-1</f>
        <v>#VALUE!</v>
      </c>
      <c r="FF44" s="618" t="e">
        <v>#VALUE!</v>
      </c>
      <c r="FG44" s="618"/>
      <c r="FH44" s="618" t="e">
        <f>+FH43/EQ43-1</f>
        <v>#DIV/0!</v>
      </c>
      <c r="FI44" s="618"/>
      <c r="FJ44" s="618" t="e">
        <f>+FJ43/ES43-1</f>
        <v>#DIV/0!</v>
      </c>
      <c r="FK44" s="620"/>
      <c r="FL44" s="626"/>
      <c r="FM44" s="609"/>
      <c r="FN44" s="503"/>
      <c r="FO44" s="503"/>
      <c r="FP44" s="503"/>
      <c r="FQ44" s="501"/>
      <c r="FR44" s="501"/>
      <c r="FS44" s="773" t="s">
        <v>1383</v>
      </c>
      <c r="FT44" s="503"/>
      <c r="FU44" s="503"/>
      <c r="FV44" s="774" t="s">
        <v>1361</v>
      </c>
      <c r="FW44" s="503"/>
      <c r="FX44" s="503"/>
      <c r="FY44" s="775" t="s">
        <v>1230</v>
      </c>
      <c r="FZ44" s="775" t="s">
        <v>1417</v>
      </c>
      <c r="GA44" s="487"/>
      <c r="GB44" s="487"/>
      <c r="GC44" s="612">
        <v>0</v>
      </c>
      <c r="GD44" s="493">
        <v>0.01</v>
      </c>
      <c r="GE44" s="482"/>
      <c r="GF44" s="776"/>
      <c r="GG44" s="776"/>
      <c r="GH44" s="503"/>
      <c r="GI44" s="503"/>
      <c r="GJ44" s="504"/>
      <c r="GK44" s="503"/>
      <c r="GL44" s="777" t="s">
        <v>1300</v>
      </c>
      <c r="GM44" s="503"/>
      <c r="GN44" s="503"/>
      <c r="GO44" s="503">
        <v>0.03</v>
      </c>
      <c r="GP44" s="503">
        <v>0.04</v>
      </c>
      <c r="GQ44" s="503"/>
      <c r="GR44" s="775">
        <v>0.06</v>
      </c>
      <c r="GS44" s="487">
        <v>0.04</v>
      </c>
      <c r="GT44" s="487">
        <v>0.13</v>
      </c>
      <c r="GU44" s="612">
        <v>0.09</v>
      </c>
      <c r="GV44" s="494">
        <v>0.06</v>
      </c>
      <c r="GW44" s="487"/>
      <c r="GX44" s="503"/>
      <c r="GY44" s="503"/>
      <c r="GZ44" s="503"/>
      <c r="HA44" s="504"/>
      <c r="HB44" s="503"/>
      <c r="HC44" s="503"/>
      <c r="HD44" s="503">
        <v>0.21</v>
      </c>
      <c r="HE44" s="503"/>
      <c r="HF44" s="503">
        <v>0.12</v>
      </c>
      <c r="HG44" s="503"/>
      <c r="HH44" s="503"/>
      <c r="HI44" s="503">
        <v>0.17</v>
      </c>
      <c r="HJ44" s="503"/>
      <c r="HK44" s="503"/>
      <c r="HL44" s="503"/>
      <c r="HM44" s="503"/>
      <c r="HN44" s="775">
        <v>0.1</v>
      </c>
      <c r="HO44" s="775">
        <v>0.1</v>
      </c>
      <c r="HP44" s="487">
        <v>0.15</v>
      </c>
      <c r="HQ44" s="778"/>
      <c r="HR44" s="612">
        <v>0.01</v>
      </c>
      <c r="HS44" s="612"/>
      <c r="HT44" s="612">
        <v>0.05</v>
      </c>
      <c r="HU44" s="612"/>
      <c r="HV44" s="612">
        <v>0.11</v>
      </c>
      <c r="HW44" s="503"/>
      <c r="HX44" s="503"/>
      <c r="HY44" s="503"/>
      <c r="HZ44" s="612"/>
      <c r="IA44" s="503"/>
      <c r="IB44" s="503"/>
      <c r="IC44" s="504"/>
      <c r="ID44" s="503"/>
      <c r="IE44" s="506">
        <v>-0.1</v>
      </c>
      <c r="IF44" s="706" t="s">
        <v>1381</v>
      </c>
      <c r="IG44" s="706" t="s">
        <v>1382</v>
      </c>
      <c r="IH44" s="706">
        <v>-0.04</v>
      </c>
      <c r="II44" s="706"/>
      <c r="IJ44" s="779">
        <v>-0.06</v>
      </c>
      <c r="IK44" s="706"/>
      <c r="IL44" s="706"/>
      <c r="IM44" s="657">
        <v>0.02</v>
      </c>
      <c r="IN44" s="503"/>
      <c r="IO44" s="659">
        <v>-0.01</v>
      </c>
      <c r="IP44" s="501"/>
      <c r="IQ44" s="503"/>
      <c r="IR44" s="501">
        <v>-0.04</v>
      </c>
      <c r="IS44" s="787"/>
      <c r="IT44" s="503"/>
      <c r="IU44" s="503"/>
      <c r="IV44" s="503"/>
      <c r="IW44" s="503"/>
      <c r="IX44" s="503" t="s">
        <v>1407</v>
      </c>
      <c r="IY44" s="503"/>
      <c r="IZ44" s="503"/>
      <c r="JA44" s="503"/>
      <c r="JB44" s="503"/>
      <c r="JC44" s="503"/>
      <c r="JD44" s="706">
        <v>0</v>
      </c>
      <c r="JE44" s="503"/>
      <c r="JF44" s="503"/>
      <c r="JG44" s="503"/>
      <c r="JH44" s="501"/>
      <c r="JI44" s="787"/>
      <c r="JJ44" s="1667">
        <v>0.04</v>
      </c>
      <c r="JK44" s="1668">
        <v>0.04</v>
      </c>
      <c r="JL44" s="2241">
        <v>0.04</v>
      </c>
      <c r="JM44" s="2241"/>
      <c r="JN44" s="2241"/>
      <c r="JO44" s="2241"/>
      <c r="JP44" s="2241" t="s">
        <v>1556</v>
      </c>
      <c r="JQ44" s="2241"/>
      <c r="JR44" s="2241"/>
      <c r="JS44" s="2241"/>
      <c r="JT44" s="1668">
        <v>0.03</v>
      </c>
      <c r="JU44" s="1668">
        <v>0.03</v>
      </c>
      <c r="JV44" s="1641">
        <f>+JL44/2+JK44/2</f>
        <v>0.04</v>
      </c>
      <c r="JW44" s="1641">
        <f>+JU44/2+JN44/2</f>
        <v>1.4999999999999999E-2</v>
      </c>
      <c r="JX44" s="1641" t="e">
        <f>+JP44/2+JW44/2</f>
        <v>#VALUE!</v>
      </c>
      <c r="JY44" s="1641"/>
      <c r="JZ44" s="706"/>
      <c r="KA44" s="780"/>
      <c r="KB44" s="794"/>
      <c r="KC44" s="794"/>
      <c r="KD44" s="794"/>
      <c r="KE44" s="794"/>
      <c r="KF44" s="794"/>
      <c r="KG44" s="1654" t="s">
        <v>1436</v>
      </c>
      <c r="KH44" s="1654" t="s">
        <v>1436</v>
      </c>
      <c r="KI44" s="780"/>
      <c r="KJ44" s="706"/>
      <c r="KK44" s="503"/>
      <c r="KL44" s="706"/>
      <c r="KM44" s="706"/>
      <c r="KN44" s="706"/>
      <c r="KO44" s="706"/>
      <c r="KP44" s="706"/>
      <c r="KQ44" s="780"/>
      <c r="KR44" s="706"/>
      <c r="KS44" s="780"/>
      <c r="KT44" s="706"/>
      <c r="KU44" s="706"/>
      <c r="KV44" s="706"/>
      <c r="KW44" s="780"/>
      <c r="KX44" s="503">
        <f>KY44*2-HN44</f>
        <v>0</v>
      </c>
      <c r="KY44" s="503">
        <f>KZ44*2-HI44</f>
        <v>4.9999999999999989E-2</v>
      </c>
      <c r="KZ44" s="781">
        <v>0.11</v>
      </c>
      <c r="LA44" s="706"/>
      <c r="LB44" s="706"/>
      <c r="LC44" s="781"/>
      <c r="LD44" s="780"/>
      <c r="LE44" s="706">
        <f>LF44*2-GR44</f>
        <v>6.0000000000000012E-2</v>
      </c>
      <c r="LF44" s="706">
        <f>LG44*2-GP44</f>
        <v>6.0000000000000005E-2</v>
      </c>
      <c r="LG44" s="780" t="s">
        <v>1300</v>
      </c>
    </row>
    <row r="45" spans="1:319" s="705" customFormat="1" ht="12">
      <c r="A45" s="510"/>
      <c r="B45" s="2361" t="s">
        <v>1397</v>
      </c>
      <c r="C45" s="1705" t="s">
        <v>1397</v>
      </c>
      <c r="D45" s="497"/>
      <c r="E45" s="510"/>
      <c r="F45" s="510"/>
      <c r="G45" s="699"/>
      <c r="H45" s="510"/>
      <c r="I45" s="510"/>
      <c r="J45" s="699"/>
      <c r="K45" s="584"/>
      <c r="L45" s="584"/>
      <c r="M45" s="584"/>
      <c r="N45" s="584"/>
      <c r="O45" s="584"/>
      <c r="P45" s="584"/>
      <c r="Q45" s="584"/>
      <c r="R45" s="584"/>
      <c r="S45" s="700"/>
      <c r="T45" s="584"/>
      <c r="U45" s="584"/>
      <c r="V45" s="584"/>
      <c r="W45" s="584"/>
      <c r="X45" s="584"/>
      <c r="Y45" s="584"/>
      <c r="Z45" s="584"/>
      <c r="AA45" s="584"/>
      <c r="AB45" s="700"/>
      <c r="AC45" s="584"/>
      <c r="AD45" s="584"/>
      <c r="AE45" s="584"/>
      <c r="AF45" s="584"/>
      <c r="AG45" s="584"/>
      <c r="AH45" s="584"/>
      <c r="AI45" s="584"/>
      <c r="AJ45" s="584"/>
      <c r="AK45" s="497"/>
      <c r="AL45" s="584"/>
      <c r="AM45" s="584"/>
      <c r="AN45" s="584"/>
      <c r="AO45" s="584"/>
      <c r="AP45" s="584"/>
      <c r="AQ45" s="584"/>
      <c r="AR45" s="584"/>
      <c r="AS45" s="584"/>
      <c r="AT45" s="497"/>
      <c r="AU45" s="584"/>
      <c r="AV45" s="584"/>
      <c r="AW45" s="609"/>
      <c r="AX45" s="584"/>
      <c r="AY45" s="609"/>
      <c r="AZ45" s="584"/>
      <c r="BA45" s="609"/>
      <c r="BB45" s="625"/>
      <c r="BC45" s="625"/>
      <c r="BD45" s="584"/>
      <c r="BE45" s="584"/>
      <c r="BF45" s="497"/>
      <c r="BG45" s="584"/>
      <c r="BH45" s="584"/>
      <c r="BI45" s="584"/>
      <c r="BJ45" s="497"/>
      <c r="BK45" s="510"/>
      <c r="BL45" s="510"/>
      <c r="BM45" s="510"/>
      <c r="BN45" s="510"/>
      <c r="BO45" s="497"/>
      <c r="BP45" s="609"/>
      <c r="BQ45" s="584"/>
      <c r="BR45" s="584"/>
      <c r="BS45" s="584"/>
      <c r="BT45" s="747"/>
      <c r="BU45" s="747"/>
      <c r="BV45" s="584"/>
      <c r="BW45" s="584"/>
      <c r="BX45" s="612"/>
      <c r="BY45" s="609"/>
      <c r="BZ45" s="584"/>
      <c r="CA45" s="584"/>
      <c r="CB45" s="584"/>
      <c r="CC45" s="584"/>
      <c r="CD45" s="584"/>
      <c r="CE45" s="584"/>
      <c r="CF45" s="497"/>
      <c r="CG45" s="772"/>
      <c r="CH45" s="510"/>
      <c r="CI45" s="510"/>
      <c r="CJ45" s="492"/>
      <c r="CK45" s="492"/>
      <c r="CL45" s="492"/>
      <c r="CM45" s="510"/>
      <c r="CN45" s="510"/>
      <c r="CO45" s="492"/>
      <c r="CP45" s="492"/>
      <c r="CQ45" s="510"/>
      <c r="CR45" s="492"/>
      <c r="CS45" s="510"/>
      <c r="CT45" s="510"/>
      <c r="CU45" s="618"/>
      <c r="CV45" s="510"/>
      <c r="CW45" s="767"/>
      <c r="CX45" s="492"/>
      <c r="CY45" s="492"/>
      <c r="CZ45" s="492"/>
      <c r="DA45" s="492"/>
      <c r="DB45" s="492"/>
      <c r="DC45" s="492"/>
      <c r="DD45" s="492"/>
      <c r="DE45" s="492"/>
      <c r="DF45" s="492"/>
      <c r="DG45" s="492"/>
      <c r="DH45" s="492"/>
      <c r="DI45" s="492"/>
      <c r="DJ45" s="492"/>
      <c r="DK45" s="492"/>
      <c r="DL45" s="626"/>
      <c r="DM45" s="626"/>
      <c r="DN45" s="609"/>
      <c r="DO45" s="609"/>
      <c r="DP45" s="503"/>
      <c r="DQ45" s="503"/>
      <c r="DR45" s="503"/>
      <c r="DS45" s="501"/>
      <c r="DT45" s="626"/>
      <c r="DU45" s="609"/>
      <c r="DV45" s="609"/>
      <c r="DX45" s="503"/>
      <c r="DY45" s="503"/>
      <c r="DZ45" s="497"/>
      <c r="EC45" s="503"/>
      <c r="ED45" s="626"/>
      <c r="EE45" s="497"/>
      <c r="EF45" s="510"/>
      <c r="EG45" s="701"/>
      <c r="EH45" s="510"/>
      <c r="EI45" s="510"/>
      <c r="EJ45" s="510"/>
      <c r="EK45" s="618"/>
      <c r="EL45" s="510"/>
      <c r="EM45" s="618"/>
      <c r="EN45" s="510"/>
      <c r="EO45" s="618"/>
      <c r="EQ45" s="618"/>
      <c r="ES45" s="618"/>
      <c r="EU45" s="620"/>
      <c r="EV45" s="501"/>
      <c r="EW45" s="482"/>
      <c r="EX45" s="482"/>
      <c r="EY45" s="482"/>
      <c r="EZ45" s="482"/>
      <c r="FA45" s="482"/>
      <c r="FB45" s="618"/>
      <c r="FC45" s="618"/>
      <c r="FD45" s="618"/>
      <c r="FE45" s="618"/>
      <c r="FF45" s="618"/>
      <c r="FG45" s="618"/>
      <c r="FH45" s="618"/>
      <c r="FI45" s="618"/>
      <c r="FJ45" s="618"/>
      <c r="FK45" s="620"/>
      <c r="FL45" s="626"/>
      <c r="FM45" s="609"/>
      <c r="FN45" s="503"/>
      <c r="FO45" s="503"/>
      <c r="FP45" s="503"/>
      <c r="FQ45" s="501"/>
      <c r="FR45" s="501"/>
      <c r="FS45" s="773"/>
      <c r="FT45" s="503"/>
      <c r="FU45" s="503"/>
      <c r="FV45" s="774"/>
      <c r="FW45" s="503"/>
      <c r="FX45" s="503"/>
      <c r="FY45" s="775"/>
      <c r="FZ45" s="775"/>
      <c r="GA45" s="487"/>
      <c r="GB45" s="487"/>
      <c r="GC45" s="612"/>
      <c r="GD45" s="493"/>
      <c r="GE45" s="482"/>
      <c r="GF45" s="776"/>
      <c r="GG45" s="776"/>
      <c r="GH45" s="503"/>
      <c r="GI45" s="503"/>
      <c r="GJ45" s="504"/>
      <c r="GK45" s="503"/>
      <c r="GL45" s="777"/>
      <c r="GM45" s="503"/>
      <c r="GN45" s="503"/>
      <c r="GO45" s="503"/>
      <c r="GP45" s="503"/>
      <c r="GQ45" s="503"/>
      <c r="GR45" s="775"/>
      <c r="GS45" s="487"/>
      <c r="GT45" s="487"/>
      <c r="GU45" s="612"/>
      <c r="GV45" s="494"/>
      <c r="GW45" s="487"/>
      <c r="GX45" s="503"/>
      <c r="GY45" s="503"/>
      <c r="GZ45" s="503"/>
      <c r="HA45" s="504"/>
      <c r="HB45" s="503"/>
      <c r="HC45" s="503"/>
      <c r="HD45" s="503"/>
      <c r="HE45" s="503"/>
      <c r="HF45" s="503"/>
      <c r="HG45" s="503"/>
      <c r="HH45" s="503"/>
      <c r="HI45" s="503"/>
      <c r="HJ45" s="503"/>
      <c r="HK45" s="503"/>
      <c r="HL45" s="503"/>
      <c r="HM45" s="503"/>
      <c r="HN45" s="775"/>
      <c r="HO45" s="775"/>
      <c r="HP45" s="487"/>
      <c r="HQ45" s="778"/>
      <c r="HR45" s="612"/>
      <c r="HS45" s="612"/>
      <c r="HT45" s="612"/>
      <c r="HU45" s="612"/>
      <c r="HV45" s="612"/>
      <c r="HW45" s="503"/>
      <c r="HX45" s="503"/>
      <c r="HY45" s="503"/>
      <c r="HZ45" s="612"/>
      <c r="IA45" s="503"/>
      <c r="IB45" s="503"/>
      <c r="IC45" s="504"/>
      <c r="ID45" s="503"/>
      <c r="IE45" s="506"/>
      <c r="IF45" s="706"/>
      <c r="IG45" s="706"/>
      <c r="IH45" s="706"/>
      <c r="II45" s="706"/>
      <c r="IJ45" s="779"/>
      <c r="IK45" s="706"/>
      <c r="IL45" s="706"/>
      <c r="IM45" s="657"/>
      <c r="IN45" s="503"/>
      <c r="IO45" s="659"/>
      <c r="IP45" s="501"/>
      <c r="IQ45" s="503"/>
      <c r="IR45" s="501"/>
      <c r="IS45" s="787"/>
      <c r="IT45" s="503"/>
      <c r="IU45" s="503"/>
      <c r="IV45" s="503"/>
      <c r="IW45" s="503"/>
      <c r="IX45" s="503"/>
      <c r="IY45" s="503"/>
      <c r="IZ45" s="503"/>
      <c r="JA45" s="503"/>
      <c r="JB45" s="503"/>
      <c r="JC45" s="503"/>
      <c r="JD45" s="706"/>
      <c r="JE45" s="503"/>
      <c r="JF45" s="503"/>
      <c r="JG45" s="503"/>
      <c r="JH45" s="501"/>
      <c r="JI45" s="787"/>
      <c r="JJ45" s="1667"/>
      <c r="JK45" s="1668"/>
      <c r="JL45" s="2241">
        <v>-0.05</v>
      </c>
      <c r="JM45" s="2241">
        <v>-0.02</v>
      </c>
      <c r="JN45" s="2241">
        <v>-0.02</v>
      </c>
      <c r="JO45" s="2241"/>
      <c r="JP45" s="2241">
        <v>-0.04</v>
      </c>
      <c r="JQ45" s="2241"/>
      <c r="JR45" s="2241"/>
      <c r="JS45" s="2241"/>
      <c r="JT45" s="1668"/>
      <c r="JU45" s="1668"/>
      <c r="JV45" s="1641"/>
      <c r="JW45" s="1641"/>
      <c r="JX45" s="1641"/>
      <c r="JY45" s="1641"/>
      <c r="JZ45" s="706"/>
      <c r="KA45" s="780"/>
      <c r="KB45" s="794"/>
      <c r="KC45" s="794"/>
      <c r="KD45" s="794"/>
      <c r="KE45" s="794"/>
      <c r="KF45" s="794"/>
      <c r="KG45" s="1654"/>
      <c r="KH45" s="1654"/>
      <c r="KI45" s="780"/>
      <c r="KJ45" s="706"/>
      <c r="KK45" s="503"/>
      <c r="KL45" s="706"/>
      <c r="KM45" s="706"/>
      <c r="KN45" s="706"/>
      <c r="KO45" s="706"/>
      <c r="KP45" s="706"/>
      <c r="KQ45" s="780"/>
      <c r="KR45" s="706"/>
      <c r="KS45" s="780"/>
      <c r="KT45" s="706"/>
      <c r="KU45" s="706"/>
      <c r="KV45" s="706"/>
      <c r="KW45" s="780"/>
      <c r="KX45" s="503"/>
      <c r="KY45" s="503"/>
      <c r="KZ45" s="781"/>
      <c r="LA45" s="706"/>
      <c r="LB45" s="706"/>
      <c r="LC45" s="781"/>
      <c r="LD45" s="780"/>
      <c r="LE45" s="706"/>
      <c r="LF45" s="706"/>
      <c r="LG45" s="780"/>
    </row>
    <row r="46" spans="1:319" s="705" customFormat="1" ht="12">
      <c r="A46" s="510"/>
      <c r="B46" s="697" t="s">
        <v>1068</v>
      </c>
      <c r="C46" s="699" t="s">
        <v>1439</v>
      </c>
      <c r="D46" s="497"/>
      <c r="E46" s="510"/>
      <c r="F46" s="510"/>
      <c r="G46" s="699"/>
      <c r="H46" s="510"/>
      <c r="I46" s="510"/>
      <c r="J46" s="699"/>
      <c r="K46" s="584"/>
      <c r="L46" s="584"/>
      <c r="M46" s="584"/>
      <c r="N46" s="584"/>
      <c r="O46" s="584"/>
      <c r="P46" s="584"/>
      <c r="Q46" s="584"/>
      <c r="R46" s="584"/>
      <c r="S46" s="700"/>
      <c r="T46" s="584"/>
      <c r="U46" s="584"/>
      <c r="V46" s="584"/>
      <c r="W46" s="584"/>
      <c r="X46" s="584"/>
      <c r="Y46" s="584">
        <v>5255</v>
      </c>
      <c r="Z46" s="584">
        <f>+AA46-Y46</f>
        <v>4841</v>
      </c>
      <c r="AA46" s="584">
        <v>10096</v>
      </c>
      <c r="AB46" s="700"/>
      <c r="AC46" s="584"/>
      <c r="AD46" s="584"/>
      <c r="AE46" s="584"/>
      <c r="AF46" s="584"/>
      <c r="AG46" s="584"/>
      <c r="AH46" s="584">
        <v>5338</v>
      </c>
      <c r="AI46" s="584">
        <f>+AJ46-AH46</f>
        <v>4642</v>
      </c>
      <c r="AJ46" s="584">
        <v>9980</v>
      </c>
      <c r="AK46" s="497"/>
      <c r="AL46" s="584"/>
      <c r="AM46" s="584"/>
      <c r="AN46" s="584">
        <f>+AW46/(1+AW47)</f>
        <v>2395.52</v>
      </c>
      <c r="AO46" s="584">
        <f>+AR46-AN46</f>
        <v>2399.48</v>
      </c>
      <c r="AP46" s="584">
        <f>+BA46/(1+BA47)</f>
        <v>7372.4271844660198</v>
      </c>
      <c r="AQ46" s="584">
        <v>5118</v>
      </c>
      <c r="AR46" s="584">
        <f>+AS46-AQ46</f>
        <v>4795</v>
      </c>
      <c r="AS46" s="584">
        <v>9913</v>
      </c>
      <c r="AT46" s="497"/>
      <c r="AU46" s="584"/>
      <c r="AV46" s="584"/>
      <c r="AW46" s="584">
        <f>+AW41*0.16</f>
        <v>2395.52</v>
      </c>
      <c r="AX46" s="584"/>
      <c r="AY46" s="584">
        <f>+BC46-AW46</f>
        <v>-7753.52</v>
      </c>
      <c r="AZ46" s="584"/>
      <c r="BA46" s="584">
        <f>+BA41*0.16</f>
        <v>7593.6</v>
      </c>
      <c r="BB46" s="625">
        <v>5358</v>
      </c>
      <c r="BC46" s="625">
        <f>+BE46-BB46</f>
        <v>-5358</v>
      </c>
      <c r="BD46" s="584">
        <v>10000</v>
      </c>
      <c r="BE46" s="584"/>
      <c r="BF46" s="497"/>
      <c r="BG46" s="584"/>
      <c r="BH46" s="584"/>
      <c r="BI46" s="584"/>
      <c r="BJ46" s="497"/>
      <c r="BK46" s="510">
        <v>5500</v>
      </c>
      <c r="BL46" s="510">
        <v>4800</v>
      </c>
      <c r="BM46" s="510">
        <v>10300</v>
      </c>
      <c r="BN46" s="510"/>
      <c r="BO46" s="497"/>
      <c r="BP46" s="584">
        <f>CG46/(1+CG47)</f>
        <v>2232.1428571428569</v>
      </c>
      <c r="BQ46" s="584"/>
      <c r="BR46" s="584">
        <f>BY46-BP46</f>
        <v>3233.017142857143</v>
      </c>
      <c r="BS46" s="584"/>
      <c r="BT46" s="584">
        <f>AW46*(1+BT47)</f>
        <v>2539.2512000000002</v>
      </c>
      <c r="BU46" s="584"/>
      <c r="BV46" s="584"/>
      <c r="BW46" s="584"/>
      <c r="BX46" s="584"/>
      <c r="BY46" s="584">
        <f>+BB46*(1+BY47)</f>
        <v>5465.16</v>
      </c>
      <c r="BZ46" s="584"/>
      <c r="CA46" s="584"/>
      <c r="CB46" s="584"/>
      <c r="CC46" s="584"/>
      <c r="CD46" s="584"/>
      <c r="CE46" s="584"/>
      <c r="CF46" s="497"/>
      <c r="CG46" s="714">
        <v>2500</v>
      </c>
      <c r="CH46" s="510"/>
      <c r="CI46" s="510"/>
      <c r="CJ46" s="510">
        <f>CP46-CL46-CG46</f>
        <v>3700</v>
      </c>
      <c r="CK46" s="510"/>
      <c r="CL46" s="510">
        <v>2800</v>
      </c>
      <c r="CM46" s="510"/>
      <c r="CN46" s="510"/>
      <c r="CO46" s="510"/>
      <c r="CP46" s="510">
        <v>9000</v>
      </c>
      <c r="CQ46" s="510"/>
      <c r="CR46" s="510">
        <f>CG46+CJ46</f>
        <v>6200</v>
      </c>
      <c r="CS46" s="510"/>
      <c r="CT46" s="510"/>
      <c r="CU46" s="510">
        <f>CW46-CR46</f>
        <v>-6200</v>
      </c>
      <c r="CV46" s="510"/>
      <c r="CW46" s="699"/>
      <c r="CX46" s="510"/>
      <c r="CY46" s="510"/>
      <c r="CZ46" s="510"/>
      <c r="DA46" s="510"/>
      <c r="DB46" s="510"/>
      <c r="DC46" s="618">
        <v>0</v>
      </c>
      <c r="DD46" s="510"/>
      <c r="DE46" s="510">
        <f t="shared" si="42"/>
        <v>11500</v>
      </c>
      <c r="DF46" s="510"/>
      <c r="DG46" s="510"/>
      <c r="DH46" s="510"/>
      <c r="DI46" s="510">
        <f t="shared" si="3"/>
        <v>11500</v>
      </c>
      <c r="DJ46" s="510"/>
      <c r="DK46" s="510">
        <v>11500</v>
      </c>
      <c r="DL46" s="512"/>
      <c r="DM46" s="512"/>
      <c r="DN46" s="584"/>
      <c r="DO46" s="584"/>
      <c r="DP46" s="713"/>
      <c r="DQ46" s="713"/>
      <c r="DR46" s="713">
        <f>+DS46-DB46</f>
        <v>0</v>
      </c>
      <c r="DS46" s="517"/>
      <c r="DT46" s="512"/>
      <c r="DU46" s="584"/>
      <c r="DV46" s="584"/>
      <c r="DX46" s="713"/>
      <c r="DY46" s="713"/>
      <c r="DZ46" s="497"/>
      <c r="EC46" s="713"/>
      <c r="ED46" s="512"/>
      <c r="EE46" s="497"/>
      <c r="EF46" s="510"/>
      <c r="EG46" s="768" t="s">
        <v>1418</v>
      </c>
      <c r="EH46" s="510"/>
      <c r="EI46" s="510"/>
      <c r="EJ46" s="510"/>
      <c r="EK46" s="769" t="s">
        <v>1231</v>
      </c>
      <c r="EL46" s="510"/>
      <c r="EM46" s="769"/>
      <c r="EN46" s="510"/>
      <c r="EO46" s="769">
        <v>-0.01</v>
      </c>
      <c r="EQ46" s="769"/>
      <c r="ES46" s="769"/>
      <c r="EU46" s="782"/>
      <c r="EV46" s="517"/>
      <c r="EW46" s="769"/>
      <c r="EX46" s="769">
        <v>0.01</v>
      </c>
      <c r="EY46" s="769"/>
      <c r="EZ46" s="769"/>
      <c r="FA46" s="769"/>
      <c r="FB46" s="769"/>
      <c r="FC46" s="769"/>
      <c r="FD46" s="736"/>
      <c r="FE46" s="769"/>
      <c r="FF46" s="736"/>
      <c r="FG46" s="736"/>
      <c r="FH46" s="769"/>
      <c r="FI46" s="769"/>
      <c r="FJ46" s="769"/>
      <c r="FK46" s="782" t="s">
        <v>1230</v>
      </c>
      <c r="FL46" s="512"/>
      <c r="FM46" s="584"/>
      <c r="FN46" s="713"/>
      <c r="FO46" s="713"/>
      <c r="FP46" s="713"/>
      <c r="FQ46" s="517"/>
      <c r="FR46" s="517"/>
      <c r="FT46" s="713"/>
      <c r="FU46" s="713"/>
      <c r="FV46" s="769"/>
      <c r="FW46" s="713"/>
      <c r="FX46" s="713"/>
      <c r="FY46" s="769"/>
      <c r="FZ46" s="769"/>
      <c r="GA46" s="769"/>
      <c r="GB46" s="769"/>
      <c r="GC46" s="769"/>
      <c r="GD46" s="783"/>
      <c r="GE46" s="769"/>
      <c r="GF46" s="769"/>
      <c r="GG46" s="769"/>
      <c r="GH46" s="713"/>
      <c r="GI46" s="713"/>
      <c r="GJ46" s="715"/>
      <c r="GK46" s="713"/>
      <c r="GL46" s="713"/>
      <c r="GM46" s="713"/>
      <c r="GN46" s="713"/>
      <c r="GO46" s="713"/>
      <c r="GP46" s="713"/>
      <c r="GQ46" s="713"/>
      <c r="GR46" s="769"/>
      <c r="GS46" s="769"/>
      <c r="GT46" s="769"/>
      <c r="GU46" s="769"/>
      <c r="GV46" s="782"/>
      <c r="GW46" s="769"/>
      <c r="GX46" s="713"/>
      <c r="GY46" s="713"/>
      <c r="GZ46" s="713"/>
      <c r="HA46" s="715"/>
      <c r="HB46" s="713"/>
      <c r="HC46" s="713"/>
      <c r="HD46" s="713"/>
      <c r="HE46" s="713"/>
      <c r="HF46" s="713"/>
      <c r="HG46" s="713"/>
      <c r="HH46" s="713"/>
      <c r="HI46" s="713"/>
      <c r="HJ46" s="713"/>
      <c r="HK46" s="713"/>
      <c r="HL46" s="713"/>
      <c r="HM46" s="713"/>
      <c r="HN46" s="769"/>
      <c r="HO46" s="769"/>
      <c r="HP46" s="769"/>
      <c r="HQ46" s="769"/>
      <c r="HR46" s="769"/>
      <c r="HS46" s="769"/>
      <c r="HT46" s="769"/>
      <c r="HU46" s="769"/>
      <c r="HV46" s="769"/>
      <c r="HW46" s="713"/>
      <c r="HX46" s="713"/>
      <c r="HY46" s="713"/>
      <c r="HZ46" s="769"/>
      <c r="IA46" s="713"/>
      <c r="IB46" s="713"/>
      <c r="IC46" s="715"/>
      <c r="ID46" s="713"/>
      <c r="IE46" s="784"/>
      <c r="IF46" s="713"/>
      <c r="IG46" s="713"/>
      <c r="IH46" s="713"/>
      <c r="II46" s="713"/>
      <c r="IJ46" s="713"/>
      <c r="IK46" s="713"/>
      <c r="IL46" s="713"/>
      <c r="IM46" s="713"/>
      <c r="IN46" s="713"/>
      <c r="IO46" s="713"/>
      <c r="IP46" s="517"/>
      <c r="IQ46" s="713"/>
      <c r="IR46" s="517"/>
      <c r="IS46" s="784"/>
      <c r="IT46" s="713"/>
      <c r="IU46" s="713"/>
      <c r="IV46" s="713"/>
      <c r="IW46" s="713"/>
      <c r="IX46" s="713"/>
      <c r="IY46" s="713"/>
      <c r="IZ46" s="713"/>
      <c r="JA46" s="713"/>
      <c r="JB46" s="713"/>
      <c r="JC46" s="713"/>
      <c r="JD46" s="713"/>
      <c r="JE46" s="713"/>
      <c r="JF46" s="713"/>
      <c r="JG46" s="713"/>
      <c r="JH46" s="517"/>
      <c r="JI46" s="784"/>
      <c r="JJ46" s="784"/>
      <c r="JK46" s="713"/>
      <c r="JL46" s="713" t="s">
        <v>1519</v>
      </c>
      <c r="JM46" s="713"/>
      <c r="JN46" s="713"/>
      <c r="JO46" s="713"/>
      <c r="JP46" s="713" t="s">
        <v>1554</v>
      </c>
      <c r="JQ46" s="713"/>
      <c r="JR46" s="713"/>
      <c r="JS46" s="713"/>
      <c r="JT46" s="713"/>
      <c r="JU46" s="713"/>
      <c r="JV46" s="713"/>
      <c r="JW46" s="713"/>
      <c r="JX46" s="713"/>
      <c r="JY46" s="713"/>
      <c r="JZ46" s="713"/>
      <c r="KA46" s="517"/>
      <c r="KB46" s="1017"/>
      <c r="KC46" s="1017"/>
      <c r="KD46" s="1017"/>
      <c r="KE46" s="1017"/>
      <c r="KF46" s="1017"/>
      <c r="KG46" s="1017"/>
      <c r="KH46" s="1017"/>
      <c r="KI46" s="517"/>
      <c r="KJ46" s="713"/>
      <c r="KK46" s="713"/>
      <c r="KL46" s="713"/>
      <c r="KM46" s="713"/>
      <c r="KN46" s="713"/>
      <c r="KO46" s="713"/>
      <c r="KP46" s="713"/>
      <c r="KQ46" s="517"/>
      <c r="KR46" s="713"/>
      <c r="KS46" s="517"/>
      <c r="KT46" s="713"/>
      <c r="KU46" s="713"/>
      <c r="KV46" s="713"/>
      <c r="KW46" s="517"/>
      <c r="KX46" s="713"/>
      <c r="KY46" s="713"/>
      <c r="KZ46" s="517"/>
      <c r="LA46" s="713"/>
      <c r="LB46" s="713"/>
      <c r="LC46" s="517"/>
      <c r="LD46" s="517"/>
      <c r="LE46" s="713"/>
      <c r="LF46" s="713"/>
      <c r="LG46" s="517"/>
    </row>
    <row r="47" spans="1:319" s="705" customFormat="1" ht="12">
      <c r="A47" s="510"/>
      <c r="B47" s="644" t="s">
        <v>669</v>
      </c>
      <c r="C47" s="699" t="s">
        <v>961</v>
      </c>
      <c r="D47" s="497"/>
      <c r="E47" s="510"/>
      <c r="F47" s="510"/>
      <c r="G47" s="699"/>
      <c r="H47" s="510"/>
      <c r="I47" s="510"/>
      <c r="J47" s="699"/>
      <c r="K47" s="584"/>
      <c r="L47" s="584"/>
      <c r="M47" s="584"/>
      <c r="N47" s="584"/>
      <c r="O47" s="584"/>
      <c r="P47" s="584"/>
      <c r="Q47" s="584"/>
      <c r="R47" s="584"/>
      <c r="S47" s="700"/>
      <c r="T47" s="584"/>
      <c r="U47" s="584"/>
      <c r="V47" s="584"/>
      <c r="W47" s="584"/>
      <c r="X47" s="584"/>
      <c r="Y47" s="584"/>
      <c r="Z47" s="584"/>
      <c r="AA47" s="584"/>
      <c r="AB47" s="700"/>
      <c r="AC47" s="584"/>
      <c r="AD47" s="584"/>
      <c r="AE47" s="584"/>
      <c r="AF47" s="584"/>
      <c r="AG47" s="584"/>
      <c r="AH47" s="584"/>
      <c r="AI47" s="584"/>
      <c r="AJ47" s="584"/>
      <c r="AK47" s="497"/>
      <c r="AL47" s="584"/>
      <c r="AM47" s="584"/>
      <c r="AN47" s="584"/>
      <c r="AO47" s="584"/>
      <c r="AP47" s="584"/>
      <c r="AQ47" s="584"/>
      <c r="AR47" s="584"/>
      <c r="AS47" s="584"/>
      <c r="AT47" s="497"/>
      <c r="AU47" s="584"/>
      <c r="AV47" s="584"/>
      <c r="AW47" s="609">
        <v>0</v>
      </c>
      <c r="AX47" s="584"/>
      <c r="AY47" s="609">
        <f>+AY46/AO46-1</f>
        <v>-4.2313334555820425</v>
      </c>
      <c r="AZ47" s="584"/>
      <c r="BA47" s="609">
        <v>0.03</v>
      </c>
      <c r="BB47" s="625"/>
      <c r="BC47" s="625"/>
      <c r="BD47" s="584"/>
      <c r="BE47" s="584"/>
      <c r="BF47" s="497"/>
      <c r="BG47" s="584"/>
      <c r="BH47" s="584"/>
      <c r="BI47" s="584"/>
      <c r="BJ47" s="497"/>
      <c r="BK47" s="510"/>
      <c r="BL47" s="510"/>
      <c r="BM47" s="510"/>
      <c r="BN47" s="510"/>
      <c r="BO47" s="497"/>
      <c r="BP47" s="584"/>
      <c r="BQ47" s="584"/>
      <c r="BR47" s="584"/>
      <c r="BS47" s="584"/>
      <c r="BT47" s="747">
        <v>0.06</v>
      </c>
      <c r="BU47" s="747"/>
      <c r="BV47" s="584"/>
      <c r="BW47" s="584"/>
      <c r="BX47" s="584"/>
      <c r="BY47" s="609">
        <v>0.02</v>
      </c>
      <c r="BZ47" s="584"/>
      <c r="CA47" s="584"/>
      <c r="CB47" s="584"/>
      <c r="CC47" s="584"/>
      <c r="CD47" s="584"/>
      <c r="CE47" s="584"/>
      <c r="CF47" s="497"/>
      <c r="CG47" s="785">
        <v>0.12</v>
      </c>
      <c r="CH47" s="510"/>
      <c r="CI47" s="510"/>
      <c r="CJ47" s="492">
        <f>CJ46/BR46-1</f>
        <v>0.14444181286653057</v>
      </c>
      <c r="CK47" s="492" t="e">
        <v>#DIV/0!</v>
      </c>
      <c r="CL47" s="492">
        <f>CL46/BT46-1</f>
        <v>0.10268728040770436</v>
      </c>
      <c r="CM47" s="510"/>
      <c r="CN47" s="510"/>
      <c r="CO47" s="492" t="e">
        <f>CO46/BV46-1</f>
        <v>#DIV/0!</v>
      </c>
      <c r="CP47" s="492" t="e">
        <f>CP46/BX46-1</f>
        <v>#DIV/0!</v>
      </c>
      <c r="CQ47" s="510"/>
      <c r="CR47" s="492">
        <f>(CR46-BY46)/BY46</f>
        <v>0.13445900943430752</v>
      </c>
      <c r="CS47" s="510"/>
      <c r="CT47" s="510"/>
      <c r="CU47" s="618" t="e">
        <f>(CU46-CC46)/CC46</f>
        <v>#DIV/0!</v>
      </c>
      <c r="CV47" s="510"/>
      <c r="CW47" s="703" t="e">
        <f>CW46/CE46-1</f>
        <v>#DIV/0!</v>
      </c>
      <c r="CX47" s="492"/>
      <c r="CY47" s="492"/>
      <c r="CZ47" s="492"/>
      <c r="DA47" s="492"/>
      <c r="DB47" s="492"/>
      <c r="DC47" s="492"/>
      <c r="DD47" s="492"/>
      <c r="DE47" s="492" t="e">
        <f>+DE46/CO46-1</f>
        <v>#DIV/0!</v>
      </c>
      <c r="DF47" s="492" t="e">
        <f>+DF46/CO46-1</f>
        <v>#DIV/0!</v>
      </c>
      <c r="DG47" s="492">
        <f>+DG46/CP46-1</f>
        <v>-1</v>
      </c>
      <c r="DH47" s="492">
        <f>+DH46/CP46-1</f>
        <v>-1</v>
      </c>
      <c r="DI47" s="492">
        <f>+DI46/CU46-1</f>
        <v>-2.854838709677419</v>
      </c>
      <c r="DJ47" s="492">
        <f>(DJ46-CU46)/CU46</f>
        <v>-1</v>
      </c>
      <c r="DK47" s="492" t="e">
        <f>+DK46/CW46-1</f>
        <v>#DIV/0!</v>
      </c>
      <c r="DL47" s="626"/>
      <c r="DM47" s="626"/>
      <c r="DN47" s="609"/>
      <c r="DO47" s="609"/>
      <c r="DP47" s="503"/>
      <c r="DQ47" s="503"/>
      <c r="DR47" s="503">
        <f>+DR46/CU46-1</f>
        <v>-1</v>
      </c>
      <c r="DS47" s="501" t="e">
        <f>DS46/CW46-1</f>
        <v>#DIV/0!</v>
      </c>
      <c r="DT47" s="626"/>
      <c r="DU47" s="609"/>
      <c r="DV47" s="609"/>
      <c r="DX47" s="503"/>
      <c r="DY47" s="503"/>
      <c r="DZ47" s="497"/>
      <c r="EC47" s="503" t="e">
        <f>EC46/CC46-1</f>
        <v>#DIV/0!</v>
      </c>
      <c r="ED47" s="626"/>
      <c r="EE47" s="497"/>
      <c r="EF47" s="510"/>
      <c r="EG47" s="714"/>
      <c r="EH47" s="510"/>
      <c r="EI47" s="510"/>
      <c r="EJ47" s="510"/>
      <c r="EK47" s="510"/>
      <c r="EL47" s="510"/>
      <c r="EM47" s="510"/>
      <c r="EN47" s="510"/>
      <c r="EO47" s="510"/>
      <c r="EQ47" s="510"/>
      <c r="ES47" s="510"/>
      <c r="EU47" s="699"/>
      <c r="EV47" s="501"/>
      <c r="EW47" s="482" t="e">
        <v>#VALUE!</v>
      </c>
      <c r="EX47" s="482"/>
      <c r="EY47" s="482" t="e">
        <v>#DIV/0!</v>
      </c>
      <c r="EZ47" s="482" t="e">
        <f>+EZ46/EI46-1</f>
        <v>#DIV/0!</v>
      </c>
      <c r="FA47" s="482">
        <v>-1</v>
      </c>
      <c r="FB47" s="618">
        <f>+FB46/EK46-1</f>
        <v>-1</v>
      </c>
      <c r="FC47" s="618" t="e">
        <f>+FC46/EM46-1</f>
        <v>#DIV/0!</v>
      </c>
      <c r="FD47" s="618" t="e">
        <v>#DIV/0!</v>
      </c>
      <c r="FE47" s="618">
        <f>+FE46/EO46-1</f>
        <v>-1</v>
      </c>
      <c r="FF47" s="618">
        <v>-1</v>
      </c>
      <c r="FG47" s="618"/>
      <c r="FH47" s="618" t="e">
        <f>+FH46/EQ46-1</f>
        <v>#DIV/0!</v>
      </c>
      <c r="FI47" s="618"/>
      <c r="FJ47" s="618" t="e">
        <f>+FJ46/ES46-1</f>
        <v>#DIV/0!</v>
      </c>
      <c r="FK47" s="699"/>
      <c r="FL47" s="626"/>
      <c r="FM47" s="609"/>
      <c r="FN47" s="503"/>
      <c r="FO47" s="503"/>
      <c r="FP47" s="503"/>
      <c r="FQ47" s="501"/>
      <c r="FR47" s="501"/>
      <c r="FS47" s="769" t="s">
        <v>1416</v>
      </c>
      <c r="FT47" s="503"/>
      <c r="FU47" s="503"/>
      <c r="FV47" s="482" t="e">
        <f>+FV46/EZ46-1</f>
        <v>#DIV/0!</v>
      </c>
      <c r="FW47" s="503"/>
      <c r="FX47" s="503"/>
      <c r="FY47" s="769" t="s">
        <v>1416</v>
      </c>
      <c r="FZ47" s="618"/>
      <c r="GA47" s="482"/>
      <c r="GB47" s="482"/>
      <c r="GC47" s="618"/>
      <c r="GD47" s="783" t="s">
        <v>1416</v>
      </c>
      <c r="GE47" s="482"/>
      <c r="GF47" s="769"/>
      <c r="GG47" s="769"/>
      <c r="GH47" s="503"/>
      <c r="GI47" s="503"/>
      <c r="GJ47" s="504"/>
      <c r="GK47" s="503"/>
      <c r="GL47" s="503"/>
      <c r="GM47" s="503"/>
      <c r="GN47" s="503"/>
      <c r="GO47" s="503"/>
      <c r="GP47" s="503"/>
      <c r="GQ47" s="503"/>
      <c r="GR47" s="612" t="s">
        <v>1314</v>
      </c>
      <c r="GS47" s="482"/>
      <c r="GT47" s="482"/>
      <c r="GU47" s="618"/>
      <c r="GV47" s="494" t="s">
        <v>1314</v>
      </c>
      <c r="GW47" s="482"/>
      <c r="GX47" s="503"/>
      <c r="GY47" s="503"/>
      <c r="GZ47" s="503"/>
      <c r="HA47" s="504"/>
      <c r="HB47" s="503"/>
      <c r="HC47" s="503"/>
      <c r="HD47" s="624"/>
      <c r="HE47" s="624"/>
      <c r="HF47" s="503"/>
      <c r="HG47" s="503"/>
      <c r="HH47" s="503"/>
      <c r="HI47" s="624">
        <v>-0.24</v>
      </c>
      <c r="HJ47" s="503"/>
      <c r="HK47" s="503"/>
      <c r="HL47" s="624"/>
      <c r="HM47" s="624"/>
      <c r="HN47" s="612"/>
      <c r="HO47" s="612"/>
      <c r="HP47" s="786" t="s">
        <v>1344</v>
      </c>
      <c r="HQ47" s="786"/>
      <c r="HR47" s="618"/>
      <c r="HS47" s="618"/>
      <c r="HT47" s="618"/>
      <c r="HU47" s="618"/>
      <c r="HV47" s="612">
        <v>-0.2</v>
      </c>
      <c r="HW47" s="503"/>
      <c r="HX47" s="503"/>
      <c r="HY47" s="503"/>
      <c r="HZ47" s="612"/>
      <c r="IA47" s="503"/>
      <c r="IB47" s="503"/>
      <c r="IC47" s="504"/>
      <c r="ID47" s="503"/>
      <c r="IE47" s="787" t="s">
        <v>1326</v>
      </c>
      <c r="IF47" s="503"/>
      <c r="IG47" s="503"/>
      <c r="IH47" s="503"/>
      <c r="II47" s="503"/>
      <c r="IJ47" s="624"/>
      <c r="IK47" s="624"/>
      <c r="IL47" s="503"/>
      <c r="IM47" s="503"/>
      <c r="IN47" s="503"/>
      <c r="IO47" s="503"/>
      <c r="IP47" s="501"/>
      <c r="IQ47" s="503"/>
      <c r="IR47" s="501"/>
      <c r="IS47" s="506"/>
      <c r="IT47" s="659">
        <v>1</v>
      </c>
      <c r="IU47" s="503"/>
      <c r="IV47" s="503"/>
      <c r="IW47" s="503"/>
      <c r="IX47" s="706" t="s">
        <v>1408</v>
      </c>
      <c r="IY47" s="503"/>
      <c r="IZ47" s="503"/>
      <c r="JA47" s="503"/>
      <c r="JB47" s="503"/>
      <c r="JC47" s="503"/>
      <c r="JD47" s="706" t="s">
        <v>1408</v>
      </c>
      <c r="JE47" s="503"/>
      <c r="JF47" s="503"/>
      <c r="JG47" s="503"/>
      <c r="JH47" s="501"/>
      <c r="JI47" s="506"/>
      <c r="JJ47" s="1667">
        <v>0.08</v>
      </c>
      <c r="JK47" s="1668">
        <v>0.08</v>
      </c>
      <c r="JL47" s="2241">
        <v>0.22</v>
      </c>
      <c r="JM47" s="2241"/>
      <c r="JN47" s="2241"/>
      <c r="JO47" s="2241"/>
      <c r="JP47" s="2241" t="s">
        <v>1557</v>
      </c>
      <c r="JQ47" s="2241"/>
      <c r="JR47" s="2241"/>
      <c r="JS47" s="2241"/>
      <c r="JT47" s="1668">
        <v>7.0000000000000007E-2</v>
      </c>
      <c r="JU47" s="1668">
        <v>7.0000000000000007E-2</v>
      </c>
      <c r="JV47" s="1641">
        <f>+JL47/2+JK47/2</f>
        <v>0.15</v>
      </c>
      <c r="JW47" s="1641">
        <f>+JU47/2+JN47/2</f>
        <v>3.5000000000000003E-2</v>
      </c>
      <c r="JX47" s="1641" t="e">
        <f>+JP47/2+JW47/2</f>
        <v>#VALUE!</v>
      </c>
      <c r="JY47" s="1641"/>
      <c r="JZ47" s="503"/>
      <c r="KA47" s="501"/>
      <c r="KB47" s="662"/>
      <c r="KC47" s="662"/>
      <c r="KD47" s="662"/>
      <c r="KE47" s="662"/>
      <c r="KF47" s="662"/>
      <c r="KG47" s="1654" t="s">
        <v>1435</v>
      </c>
      <c r="KH47" s="1654" t="s">
        <v>1435</v>
      </c>
      <c r="KI47" s="501"/>
      <c r="KJ47" s="503"/>
      <c r="KK47" s="503"/>
      <c r="KL47" s="503"/>
      <c r="KM47" s="503"/>
      <c r="KN47" s="503"/>
      <c r="KO47" s="503"/>
      <c r="KP47" s="503"/>
      <c r="KQ47" s="501"/>
      <c r="KR47" s="503"/>
      <c r="KS47" s="501"/>
      <c r="KT47" s="503"/>
      <c r="KU47" s="503"/>
      <c r="KV47" s="503"/>
      <c r="KW47" s="501"/>
      <c r="KX47" s="503"/>
      <c r="KY47" s="503"/>
      <c r="KZ47" s="501"/>
      <c r="LA47" s="503"/>
      <c r="LB47" s="503"/>
      <c r="LC47" s="501"/>
      <c r="LD47" s="501"/>
      <c r="LE47" s="503"/>
      <c r="LF47" s="503"/>
      <c r="LG47" s="501"/>
    </row>
    <row r="48" spans="1:319" s="705" customFormat="1" ht="12">
      <c r="A48" s="510"/>
      <c r="B48" s="697" t="s">
        <v>1069</v>
      </c>
      <c r="C48" s="699" t="s">
        <v>1440</v>
      </c>
      <c r="D48" s="497"/>
      <c r="E48" s="510"/>
      <c r="F48" s="510"/>
      <c r="G48" s="699"/>
      <c r="H48" s="510"/>
      <c r="I48" s="510"/>
      <c r="J48" s="699"/>
      <c r="K48" s="584"/>
      <c r="L48" s="584"/>
      <c r="M48" s="584"/>
      <c r="N48" s="584"/>
      <c r="O48" s="584"/>
      <c r="P48" s="584"/>
      <c r="Q48" s="584"/>
      <c r="R48" s="584"/>
      <c r="S48" s="700"/>
      <c r="T48" s="584"/>
      <c r="U48" s="584"/>
      <c r="V48" s="584"/>
      <c r="W48" s="584"/>
      <c r="X48" s="584"/>
      <c r="Y48" s="584">
        <v>3071</v>
      </c>
      <c r="Z48" s="584">
        <f>+AA48-Y48</f>
        <v>3249</v>
      </c>
      <c r="AA48" s="584">
        <v>6320</v>
      </c>
      <c r="AB48" s="700"/>
      <c r="AC48" s="584"/>
      <c r="AD48" s="584"/>
      <c r="AE48" s="584"/>
      <c r="AF48" s="584"/>
      <c r="AG48" s="584"/>
      <c r="AH48" s="584">
        <v>3059</v>
      </c>
      <c r="AI48" s="584">
        <f>+AJ48-AH48</f>
        <v>3034</v>
      </c>
      <c r="AJ48" s="584">
        <v>6093</v>
      </c>
      <c r="AK48" s="497"/>
      <c r="AL48" s="584"/>
      <c r="AM48" s="584"/>
      <c r="AN48" s="584">
        <f>+AW48/(1+AW49)</f>
        <v>1467.8431372549019</v>
      </c>
      <c r="AO48" s="584">
        <f>+AR48-AN48</f>
        <v>1572.1568627450981</v>
      </c>
      <c r="AP48" s="584">
        <f>+BA48/(1+BA49)</f>
        <v>4842.8571428571431</v>
      </c>
      <c r="AQ48" s="584">
        <v>3027</v>
      </c>
      <c r="AR48" s="584">
        <f>+AS48-AQ48</f>
        <v>3040</v>
      </c>
      <c r="AS48" s="584">
        <v>6067</v>
      </c>
      <c r="AT48" s="497"/>
      <c r="AU48" s="584"/>
      <c r="AV48" s="584"/>
      <c r="AW48" s="584">
        <f>+AW41*0.1</f>
        <v>1497.2</v>
      </c>
      <c r="AX48" s="584"/>
      <c r="AY48" s="584">
        <f>+BC48-AW48</f>
        <v>-1497.2</v>
      </c>
      <c r="AZ48" s="584"/>
      <c r="BA48" s="584">
        <f>+BA41*0.1</f>
        <v>4746</v>
      </c>
      <c r="BB48" s="625"/>
      <c r="BC48" s="625"/>
      <c r="BD48" s="584">
        <v>6000</v>
      </c>
      <c r="BE48" s="584"/>
      <c r="BF48" s="497"/>
      <c r="BG48" s="584"/>
      <c r="BH48" s="584">
        <f>+BI48-BB48</f>
        <v>0</v>
      </c>
      <c r="BI48" s="584"/>
      <c r="BJ48" s="497"/>
      <c r="BK48" s="510">
        <v>3000</v>
      </c>
      <c r="BL48" s="510">
        <v>3100</v>
      </c>
      <c r="BM48" s="510">
        <v>6100</v>
      </c>
      <c r="BN48" s="510"/>
      <c r="BO48" s="497"/>
      <c r="BP48" s="584">
        <f>BP41-BP46-BP43</f>
        <v>2409.3956043956059</v>
      </c>
      <c r="BQ48" s="584"/>
      <c r="BR48" s="584"/>
      <c r="BS48" s="584"/>
      <c r="BT48" s="584">
        <f>AW48*(1+BT49)</f>
        <v>1557.0880000000002</v>
      </c>
      <c r="BU48" s="584"/>
      <c r="BV48" s="584"/>
      <c r="BW48" s="584"/>
      <c r="BX48" s="584"/>
      <c r="BY48" s="584"/>
      <c r="BZ48" s="584"/>
      <c r="CA48" s="584"/>
      <c r="CB48" s="584"/>
      <c r="CC48" s="584"/>
      <c r="CD48" s="584"/>
      <c r="CE48" s="584"/>
      <c r="CF48" s="497"/>
      <c r="CG48" s="788">
        <f>CG41-CG43-CG46</f>
        <v>2603</v>
      </c>
      <c r="CH48" s="510"/>
      <c r="CI48" s="510"/>
      <c r="CJ48" s="510">
        <f>CP48-CL48-CG48</f>
        <v>280</v>
      </c>
      <c r="CK48" s="510"/>
      <c r="CL48" s="510">
        <f>CL41-CL43-CL46</f>
        <v>1918</v>
      </c>
      <c r="CM48" s="510"/>
      <c r="CN48" s="510"/>
      <c r="CO48" s="510"/>
      <c r="CP48" s="510">
        <f>CP41-CP43-CP46</f>
        <v>4801</v>
      </c>
      <c r="CQ48" s="510"/>
      <c r="CR48" s="510">
        <f>CG48+CJ48</f>
        <v>2883</v>
      </c>
      <c r="CS48" s="510"/>
      <c r="CT48" s="510"/>
      <c r="CU48" s="510">
        <f>CW48-CR48</f>
        <v>-2883</v>
      </c>
      <c r="CV48" s="510"/>
      <c r="CW48" s="699"/>
      <c r="CX48" s="510"/>
      <c r="CY48" s="510"/>
      <c r="CZ48" s="510"/>
      <c r="DA48" s="510"/>
      <c r="DB48" s="510"/>
      <c r="DC48" s="618">
        <v>-0.03</v>
      </c>
      <c r="DD48" s="510"/>
      <c r="DE48" s="510">
        <f t="shared" si="42"/>
        <v>6500</v>
      </c>
      <c r="DF48" s="510"/>
      <c r="DG48" s="510"/>
      <c r="DH48" s="510"/>
      <c r="DI48" s="510">
        <f t="shared" si="3"/>
        <v>6500</v>
      </c>
      <c r="DJ48" s="510"/>
      <c r="DK48" s="510">
        <v>6500</v>
      </c>
      <c r="DL48" s="512"/>
      <c r="DM48" s="512"/>
      <c r="DN48" s="584"/>
      <c r="DO48" s="584"/>
      <c r="DP48" s="713"/>
      <c r="DQ48" s="713"/>
      <c r="DR48" s="713">
        <f>+DS48-DB48</f>
        <v>0</v>
      </c>
      <c r="DS48" s="517"/>
      <c r="DT48" s="512"/>
      <c r="DU48" s="584"/>
      <c r="DV48" s="584"/>
      <c r="DX48" s="713"/>
      <c r="DY48" s="713"/>
      <c r="DZ48" s="497"/>
      <c r="EC48" s="713"/>
      <c r="ED48" s="512"/>
      <c r="EE48" s="497"/>
      <c r="EF48" s="510"/>
      <c r="EG48" s="768" t="s">
        <v>1416</v>
      </c>
      <c r="EH48" s="510"/>
      <c r="EI48" s="510"/>
      <c r="EJ48" s="510"/>
      <c r="EK48" s="769" t="s">
        <v>1230</v>
      </c>
      <c r="EL48" s="510"/>
      <c r="EM48" s="769"/>
      <c r="EN48" s="510"/>
      <c r="EO48" s="769">
        <v>0.04</v>
      </c>
      <c r="EQ48" s="769"/>
      <c r="ES48" s="769"/>
      <c r="EU48" s="782"/>
      <c r="EV48" s="517"/>
      <c r="EW48" s="769"/>
      <c r="EX48" s="769">
        <v>7.0000000000000007E-2</v>
      </c>
      <c r="EY48" s="769"/>
      <c r="EZ48" s="769"/>
      <c r="FA48" s="769"/>
      <c r="FB48" s="769"/>
      <c r="FC48" s="769"/>
      <c r="FD48" s="769"/>
      <c r="FE48" s="769"/>
      <c r="FF48" s="769"/>
      <c r="FG48" s="769"/>
      <c r="FH48" s="769"/>
      <c r="FI48" s="769"/>
      <c r="FJ48" s="769"/>
      <c r="FK48" s="782" t="s">
        <v>1361</v>
      </c>
      <c r="FL48" s="512"/>
      <c r="FM48" s="584"/>
      <c r="FN48" s="713"/>
      <c r="FO48" s="713"/>
      <c r="FP48" s="713"/>
      <c r="FQ48" s="517"/>
      <c r="FR48" s="517"/>
      <c r="FT48" s="713"/>
      <c r="FU48" s="713"/>
      <c r="FV48" s="769"/>
      <c r="FW48" s="713"/>
      <c r="FX48" s="713"/>
      <c r="FY48" s="769"/>
      <c r="FZ48" s="769"/>
      <c r="GA48" s="769"/>
      <c r="GB48" s="769"/>
      <c r="GC48" s="769"/>
      <c r="GD48" s="783"/>
      <c r="GE48" s="769"/>
      <c r="GF48" s="769"/>
      <c r="GG48" s="769"/>
      <c r="GH48" s="713"/>
      <c r="GI48" s="713"/>
      <c r="GJ48" s="715"/>
      <c r="GK48" s="713"/>
      <c r="GL48" s="713"/>
      <c r="GM48" s="713"/>
      <c r="GN48" s="713"/>
      <c r="GO48" s="713"/>
      <c r="GP48" s="713"/>
      <c r="GQ48" s="713"/>
      <c r="GR48" s="789"/>
      <c r="GS48" s="769"/>
      <c r="GT48" s="769"/>
      <c r="GU48" s="769"/>
      <c r="GV48" s="782"/>
      <c r="GW48" s="769"/>
      <c r="GX48" s="713"/>
      <c r="GY48" s="713"/>
      <c r="GZ48" s="713"/>
      <c r="HA48" s="715"/>
      <c r="HB48" s="713"/>
      <c r="HC48" s="713"/>
      <c r="HD48" s="790"/>
      <c r="HE48" s="790"/>
      <c r="HF48" s="713"/>
      <c r="HG48" s="713"/>
      <c r="HH48" s="713"/>
      <c r="HI48" s="790"/>
      <c r="HJ48" s="713"/>
      <c r="HK48" s="713"/>
      <c r="HL48" s="790"/>
      <c r="HM48" s="790"/>
      <c r="HN48" s="789"/>
      <c r="HO48" s="789"/>
      <c r="HP48" s="791"/>
      <c r="HQ48" s="791"/>
      <c r="HR48" s="769"/>
      <c r="HS48" s="769"/>
      <c r="HT48" s="769"/>
      <c r="HU48" s="769"/>
      <c r="HV48" s="769"/>
      <c r="HW48" s="713"/>
      <c r="HX48" s="713"/>
      <c r="HY48" s="713"/>
      <c r="HZ48" s="769"/>
      <c r="IA48" s="713"/>
      <c r="IB48" s="713"/>
      <c r="IC48" s="715"/>
      <c r="ID48" s="713"/>
      <c r="IE48" s="792"/>
      <c r="IF48" s="713"/>
      <c r="IG48" s="713"/>
      <c r="IH48" s="713"/>
      <c r="II48" s="713"/>
      <c r="IJ48" s="713"/>
      <c r="IK48" s="713"/>
      <c r="IL48" s="713"/>
      <c r="IM48" s="713"/>
      <c r="IN48" s="713"/>
      <c r="IO48" s="713"/>
      <c r="IP48" s="517"/>
      <c r="IQ48" s="713"/>
      <c r="IR48" s="517"/>
      <c r="IS48" s="784"/>
      <c r="IT48" s="713"/>
      <c r="IU48" s="713"/>
      <c r="IV48" s="713"/>
      <c r="IW48" s="713"/>
      <c r="IX48" s="713"/>
      <c r="IY48" s="713"/>
      <c r="IZ48" s="713"/>
      <c r="JA48" s="713"/>
      <c r="JB48" s="713"/>
      <c r="JC48" s="713"/>
      <c r="JD48" s="713"/>
      <c r="JE48" s="713"/>
      <c r="JF48" s="713"/>
      <c r="JG48" s="713"/>
      <c r="JH48" s="517"/>
      <c r="JI48" s="784"/>
      <c r="JJ48" s="784"/>
      <c r="JK48" s="713"/>
      <c r="JL48" s="713" t="s">
        <v>1518</v>
      </c>
      <c r="JM48" s="713"/>
      <c r="JN48" s="713"/>
      <c r="JO48" s="713"/>
      <c r="JP48" s="713" t="s">
        <v>1555</v>
      </c>
      <c r="JQ48" s="713"/>
      <c r="JR48" s="713"/>
      <c r="JS48" s="713"/>
      <c r="JT48" s="713"/>
      <c r="JU48" s="713"/>
      <c r="JV48" s="713"/>
      <c r="JW48" s="713"/>
      <c r="JX48" s="713"/>
      <c r="JY48" s="713"/>
      <c r="JZ48" s="713"/>
      <c r="KA48" s="517"/>
      <c r="KB48" s="1017"/>
      <c r="KC48" s="1017"/>
      <c r="KD48" s="1017"/>
      <c r="KE48" s="1017"/>
      <c r="KF48" s="1017"/>
      <c r="KG48" s="1017"/>
      <c r="KH48" s="1017"/>
      <c r="KI48" s="517"/>
      <c r="KJ48" s="713"/>
      <c r="KK48" s="713"/>
      <c r="KL48" s="713"/>
      <c r="KM48" s="713"/>
      <c r="KN48" s="713"/>
      <c r="KO48" s="713"/>
      <c r="KP48" s="713"/>
      <c r="KQ48" s="517"/>
      <c r="KR48" s="713"/>
      <c r="KS48" s="517"/>
      <c r="KT48" s="713"/>
      <c r="KU48" s="713"/>
      <c r="KV48" s="713"/>
      <c r="KW48" s="517"/>
      <c r="KX48" s="713"/>
      <c r="KY48" s="713"/>
      <c r="KZ48" s="517"/>
      <c r="LA48" s="713"/>
      <c r="LB48" s="713"/>
      <c r="LC48" s="517"/>
      <c r="LD48" s="517"/>
      <c r="LE48" s="713"/>
      <c r="LF48" s="713"/>
      <c r="LG48" s="517"/>
    </row>
    <row r="49" spans="1:319" s="705" customFormat="1" ht="12">
      <c r="A49" s="510"/>
      <c r="B49" s="644" t="s">
        <v>669</v>
      </c>
      <c r="C49" s="699" t="s">
        <v>961</v>
      </c>
      <c r="D49" s="497"/>
      <c r="E49" s="510"/>
      <c r="F49" s="510"/>
      <c r="G49" s="699"/>
      <c r="H49" s="510"/>
      <c r="I49" s="510"/>
      <c r="J49" s="699"/>
      <c r="K49" s="584"/>
      <c r="L49" s="584"/>
      <c r="M49" s="584"/>
      <c r="N49" s="584"/>
      <c r="O49" s="584"/>
      <c r="P49" s="584"/>
      <c r="Q49" s="584"/>
      <c r="R49" s="584"/>
      <c r="S49" s="700"/>
      <c r="T49" s="584"/>
      <c r="U49" s="584"/>
      <c r="V49" s="584"/>
      <c r="W49" s="584"/>
      <c r="X49" s="584"/>
      <c r="Y49" s="584"/>
      <c r="Z49" s="584"/>
      <c r="AA49" s="584"/>
      <c r="AB49" s="700"/>
      <c r="AC49" s="584"/>
      <c r="AD49" s="584"/>
      <c r="AE49" s="584"/>
      <c r="AF49" s="584"/>
      <c r="AG49" s="584"/>
      <c r="AH49" s="584"/>
      <c r="AI49" s="584"/>
      <c r="AJ49" s="584"/>
      <c r="AK49" s="497"/>
      <c r="AL49" s="584"/>
      <c r="AM49" s="584"/>
      <c r="AN49" s="584"/>
      <c r="AO49" s="584"/>
      <c r="AP49" s="584"/>
      <c r="AQ49" s="584"/>
      <c r="AR49" s="584"/>
      <c r="AS49" s="584"/>
      <c r="AT49" s="497"/>
      <c r="AU49" s="584"/>
      <c r="AV49" s="584"/>
      <c r="AW49" s="609">
        <v>0.02</v>
      </c>
      <c r="AX49" s="584"/>
      <c r="AY49" s="609">
        <f>+AY48/AO48-1</f>
        <v>-1.9523222748815166</v>
      </c>
      <c r="AZ49" s="584"/>
      <c r="BA49" s="609">
        <v>-0.02</v>
      </c>
      <c r="BB49" s="625"/>
      <c r="BC49" s="625"/>
      <c r="BD49" s="584"/>
      <c r="BE49" s="584"/>
      <c r="BF49" s="497"/>
      <c r="BG49" s="584"/>
      <c r="BH49" s="584"/>
      <c r="BI49" s="584"/>
      <c r="BJ49" s="497"/>
      <c r="BK49" s="510"/>
      <c r="BL49" s="510"/>
      <c r="BM49" s="510"/>
      <c r="BN49" s="510"/>
      <c r="BO49" s="497"/>
      <c r="BP49" s="584"/>
      <c r="BQ49" s="584"/>
      <c r="BR49" s="584"/>
      <c r="BS49" s="584"/>
      <c r="BT49" s="747">
        <v>0.04</v>
      </c>
      <c r="BU49" s="747"/>
      <c r="BV49" s="584"/>
      <c r="BW49" s="584"/>
      <c r="BX49" s="584"/>
      <c r="BY49" s="793"/>
      <c r="BZ49" s="584"/>
      <c r="CA49" s="584"/>
      <c r="CB49" s="584"/>
      <c r="CC49" s="584"/>
      <c r="CD49" s="584"/>
      <c r="CE49" s="584"/>
      <c r="CF49" s="497"/>
      <c r="CG49" s="772">
        <v>0.05</v>
      </c>
      <c r="CH49" s="510"/>
      <c r="CI49" s="510"/>
      <c r="CJ49" s="492" t="e">
        <f>CJ48/BR48-1</f>
        <v>#DIV/0!</v>
      </c>
      <c r="CK49" s="492" t="e">
        <v>#DIV/0!</v>
      </c>
      <c r="CL49" s="492">
        <f>CL48/BT48-1</f>
        <v>0.23178651431389863</v>
      </c>
      <c r="CM49" s="510"/>
      <c r="CN49" s="510"/>
      <c r="CO49" s="492" t="e">
        <f>CO48/BV48-1</f>
        <v>#DIV/0!</v>
      </c>
      <c r="CP49" s="492" t="e">
        <f>CP48/BX48-1</f>
        <v>#DIV/0!</v>
      </c>
      <c r="CQ49" s="510"/>
      <c r="CR49" s="492" t="e">
        <f>(CR48-BY48)/BY48</f>
        <v>#DIV/0!</v>
      </c>
      <c r="CS49" s="510"/>
      <c r="CT49" s="510"/>
      <c r="CU49" s="618" t="e">
        <f>(CU48-CC48)/CC48</f>
        <v>#DIV/0!</v>
      </c>
      <c r="CV49" s="510"/>
      <c r="CW49" s="703" t="e">
        <f>CW48/CE48-1</f>
        <v>#DIV/0!</v>
      </c>
      <c r="CX49" s="492"/>
      <c r="CY49" s="492"/>
      <c r="CZ49" s="492"/>
      <c r="DA49" s="492"/>
      <c r="DB49" s="492"/>
      <c r="DC49" s="492"/>
      <c r="DD49" s="492"/>
      <c r="DE49" s="492" t="e">
        <f>+DE48/CO48-1</f>
        <v>#DIV/0!</v>
      </c>
      <c r="DF49" s="492" t="e">
        <f>+DF48/CO48-1</f>
        <v>#DIV/0!</v>
      </c>
      <c r="DG49" s="492">
        <f>+DG48/CP48-1</f>
        <v>-1</v>
      </c>
      <c r="DH49" s="492">
        <f>+DH48/CP48-1</f>
        <v>-1</v>
      </c>
      <c r="DI49" s="492">
        <f>+DI48/CU48-1</f>
        <v>-3.2545959070412764</v>
      </c>
      <c r="DJ49" s="492">
        <f>(DJ48-CU48)/CU48</f>
        <v>-1</v>
      </c>
      <c r="DK49" s="492" t="e">
        <f>+DK48/CW48-1</f>
        <v>#DIV/0!</v>
      </c>
      <c r="DL49" s="626"/>
      <c r="DM49" s="626"/>
      <c r="DN49" s="609"/>
      <c r="DO49" s="609"/>
      <c r="DP49" s="503"/>
      <c r="DQ49" s="503"/>
      <c r="DR49" s="503">
        <f>+DR48/CU48-1</f>
        <v>-1</v>
      </c>
      <c r="DS49" s="501" t="e">
        <f>DS48/CW48-1</f>
        <v>#DIV/0!</v>
      </c>
      <c r="DT49" s="626"/>
      <c r="DU49" s="609"/>
      <c r="DV49" s="609"/>
      <c r="DX49" s="503"/>
      <c r="DY49" s="503"/>
      <c r="DZ49" s="497"/>
      <c r="EC49" s="503" t="e">
        <f>EC48/CC48-1</f>
        <v>#DIV/0!</v>
      </c>
      <c r="ED49" s="626"/>
      <c r="EE49" s="497"/>
      <c r="EF49" s="510"/>
      <c r="EG49" s="714"/>
      <c r="EH49" s="510"/>
      <c r="EI49" s="510"/>
      <c r="EJ49" s="510"/>
      <c r="EK49" s="510"/>
      <c r="EL49" s="510"/>
      <c r="EM49" s="510"/>
      <c r="EN49" s="510"/>
      <c r="EO49" s="510"/>
      <c r="EQ49" s="510"/>
      <c r="ES49" s="510"/>
      <c r="EU49" s="699"/>
      <c r="EV49" s="501"/>
      <c r="EW49" s="510"/>
      <c r="EX49" s="510"/>
      <c r="EY49" s="510"/>
      <c r="EZ49" s="510"/>
      <c r="FA49" s="510"/>
      <c r="FB49" s="510"/>
      <c r="FC49" s="510"/>
      <c r="FD49" s="482"/>
      <c r="FE49" s="510"/>
      <c r="FF49" s="482"/>
      <c r="FG49" s="482"/>
      <c r="FH49" s="510"/>
      <c r="FI49" s="510"/>
      <c r="FJ49" s="510"/>
      <c r="FK49" s="699"/>
      <c r="FL49" s="626"/>
      <c r="FM49" s="609"/>
      <c r="FN49" s="503"/>
      <c r="FO49" s="503"/>
      <c r="FP49" s="503"/>
      <c r="FQ49" s="501"/>
      <c r="FR49" s="501"/>
      <c r="FS49" s="769" t="s">
        <v>1381</v>
      </c>
      <c r="FT49" s="503"/>
      <c r="FU49" s="503"/>
      <c r="FV49" s="510"/>
      <c r="FW49" s="503"/>
      <c r="FX49" s="503"/>
      <c r="FY49" s="736" t="s">
        <v>1383</v>
      </c>
      <c r="FZ49" s="510"/>
      <c r="GA49" s="510"/>
      <c r="GB49" s="510"/>
      <c r="GC49" s="510"/>
      <c r="GD49" s="783" t="s">
        <v>1416</v>
      </c>
      <c r="GE49" s="510"/>
      <c r="GF49" s="736"/>
      <c r="GG49" s="736"/>
      <c r="GH49" s="503"/>
      <c r="GI49" s="503"/>
      <c r="GJ49" s="504"/>
      <c r="GK49" s="503"/>
      <c r="GL49" s="503"/>
      <c r="GM49" s="503"/>
      <c r="GN49" s="503"/>
      <c r="GO49" s="503"/>
      <c r="GP49" s="503"/>
      <c r="GQ49" s="503"/>
      <c r="GR49" s="584" t="s">
        <v>1313</v>
      </c>
      <c r="GS49" s="773" t="s">
        <v>1315</v>
      </c>
      <c r="GT49" s="510"/>
      <c r="GU49" s="510"/>
      <c r="GV49" s="737" t="s">
        <v>1325</v>
      </c>
      <c r="GW49" s="773"/>
      <c r="GX49" s="503"/>
      <c r="GY49" s="503"/>
      <c r="GZ49" s="503"/>
      <c r="HA49" s="504"/>
      <c r="HB49" s="503"/>
      <c r="HC49" s="503"/>
      <c r="HD49" s="624"/>
      <c r="HE49" s="777"/>
      <c r="HF49" s="503"/>
      <c r="HG49" s="503"/>
      <c r="HH49" s="503"/>
      <c r="HI49" s="777" t="s">
        <v>1336</v>
      </c>
      <c r="HJ49" s="503"/>
      <c r="HK49" s="503"/>
      <c r="HL49" s="777"/>
      <c r="HM49" s="777"/>
      <c r="HN49" s="584"/>
      <c r="HO49" s="584"/>
      <c r="HP49" s="777" t="s">
        <v>1336</v>
      </c>
      <c r="HQ49" s="777"/>
      <c r="HR49" s="510"/>
      <c r="HS49" s="510"/>
      <c r="HT49" s="510"/>
      <c r="HU49" s="510"/>
      <c r="HV49" s="777" t="s">
        <v>1336</v>
      </c>
      <c r="HW49" s="503"/>
      <c r="HX49" s="503"/>
      <c r="HY49" s="503"/>
      <c r="HZ49" s="736"/>
      <c r="IA49" s="503"/>
      <c r="IB49" s="503"/>
      <c r="IC49" s="504"/>
      <c r="ID49" s="503"/>
      <c r="IE49" s="506">
        <v>-0.1</v>
      </c>
      <c r="IF49" s="503"/>
      <c r="IG49" s="794" t="s">
        <v>1382</v>
      </c>
      <c r="IH49" s="794">
        <v>-0.04</v>
      </c>
      <c r="II49" s="794"/>
      <c r="IJ49" s="795">
        <v>-0.06</v>
      </c>
      <c r="IK49" s="624"/>
      <c r="IL49" s="503"/>
      <c r="IM49" s="503"/>
      <c r="IN49" s="503"/>
      <c r="IO49" s="503"/>
      <c r="IP49" s="501"/>
      <c r="IQ49" s="503"/>
      <c r="IR49" s="501" t="s">
        <v>1336</v>
      </c>
      <c r="IS49" s="506"/>
      <c r="IT49" s="503"/>
      <c r="IU49" s="503"/>
      <c r="IV49" s="503"/>
      <c r="IW49" s="503"/>
      <c r="IX49" s="706" t="s">
        <v>1409</v>
      </c>
      <c r="IY49" s="503"/>
      <c r="IZ49" s="503"/>
      <c r="JA49" s="503"/>
      <c r="JB49" s="503"/>
      <c r="JC49" s="503"/>
      <c r="JD49" s="706">
        <v>0</v>
      </c>
      <c r="JE49" s="503"/>
      <c r="JF49" s="503"/>
      <c r="JG49" s="503"/>
      <c r="JH49" s="501"/>
      <c r="JI49" s="506"/>
      <c r="JJ49" s="1667">
        <v>0</v>
      </c>
      <c r="JK49" s="1668">
        <v>0</v>
      </c>
      <c r="JL49" s="1668">
        <v>0</v>
      </c>
      <c r="JM49" s="1668"/>
      <c r="JN49" s="1668"/>
      <c r="JO49" s="1668"/>
      <c r="JP49" s="1668"/>
      <c r="JQ49" s="1668"/>
      <c r="JR49" s="1668"/>
      <c r="JS49" s="1668"/>
      <c r="JT49" s="1668">
        <v>0</v>
      </c>
      <c r="JU49" s="1668">
        <v>0</v>
      </c>
      <c r="JV49" s="1641">
        <f>+JL49/2+JK49/2</f>
        <v>0</v>
      </c>
      <c r="JW49" s="1641">
        <f>+JU49/2+JN49/2</f>
        <v>0</v>
      </c>
      <c r="JX49" s="1641">
        <f>+JP49/2+JW49/2</f>
        <v>0</v>
      </c>
      <c r="JY49" s="1641"/>
      <c r="JZ49" s="503"/>
      <c r="KA49" s="501"/>
      <c r="KB49" s="662"/>
      <c r="KC49" s="662"/>
      <c r="KD49" s="662"/>
      <c r="KE49" s="662"/>
      <c r="KF49" s="662"/>
      <c r="KG49" s="1735" t="s">
        <v>1314</v>
      </c>
      <c r="KH49" s="1735" t="s">
        <v>1314</v>
      </c>
      <c r="KI49" s="501"/>
      <c r="KJ49" s="503"/>
      <c r="KK49" s="503"/>
      <c r="KL49" s="503"/>
      <c r="KM49" s="503"/>
      <c r="KN49" s="503"/>
      <c r="KO49" s="503"/>
      <c r="KP49" s="503"/>
      <c r="KQ49" s="501"/>
      <c r="KR49" s="503"/>
      <c r="KS49" s="501"/>
      <c r="KT49" s="503"/>
      <c r="KU49" s="503"/>
      <c r="KV49" s="503"/>
      <c r="KW49" s="501"/>
      <c r="KX49" s="503"/>
      <c r="KY49" s="503"/>
      <c r="KZ49" s="501"/>
      <c r="LA49" s="503"/>
      <c r="LB49" s="503"/>
      <c r="LC49" s="501"/>
      <c r="LD49" s="501"/>
      <c r="LE49" s="503"/>
      <c r="LF49" s="503"/>
      <c r="LG49" s="501"/>
    </row>
    <row r="50" spans="1:319" s="532" customFormat="1">
      <c r="A50" s="520"/>
      <c r="B50" s="796" t="s">
        <v>634</v>
      </c>
      <c r="C50" s="522" t="s">
        <v>429</v>
      </c>
      <c r="D50" s="523"/>
      <c r="E50" s="520"/>
      <c r="F50" s="520"/>
      <c r="G50" s="522"/>
      <c r="H50" s="520"/>
      <c r="I50" s="520"/>
      <c r="J50" s="522"/>
      <c r="K50" s="524"/>
      <c r="L50" s="524"/>
      <c r="M50" s="524"/>
      <c r="N50" s="524"/>
      <c r="O50" s="524"/>
      <c r="P50" s="524"/>
      <c r="Q50" s="524"/>
      <c r="R50" s="524"/>
      <c r="S50" s="525"/>
      <c r="T50" s="524">
        <v>5400</v>
      </c>
      <c r="U50" s="524">
        <f>+Y50-T50</f>
        <v>4800</v>
      </c>
      <c r="V50" s="524">
        <f>+X50-Y50</f>
        <v>4862</v>
      </c>
      <c r="W50" s="524">
        <f>+Z50-V50</f>
        <v>4199</v>
      </c>
      <c r="X50" s="524">
        <v>15062</v>
      </c>
      <c r="Y50" s="524">
        <v>10200</v>
      </c>
      <c r="Z50" s="524">
        <f>+AA50-Y50</f>
        <v>9061</v>
      </c>
      <c r="AA50" s="524">
        <v>19261</v>
      </c>
      <c r="AB50" s="525"/>
      <c r="AC50" s="524">
        <v>4895</v>
      </c>
      <c r="AD50" s="524">
        <f>+AH50-AC50</f>
        <v>4265</v>
      </c>
      <c r="AE50" s="524">
        <f>+AG50-AH50</f>
        <v>5627</v>
      </c>
      <c r="AF50" s="524">
        <f>+AI50-AE50</f>
        <v>3546</v>
      </c>
      <c r="AG50" s="524">
        <v>14787</v>
      </c>
      <c r="AH50" s="524">
        <v>9160</v>
      </c>
      <c r="AI50" s="524">
        <f>+AJ50-AH50</f>
        <v>9173</v>
      </c>
      <c r="AJ50" s="524">
        <v>18333</v>
      </c>
      <c r="AK50" s="523"/>
      <c r="AL50" s="524">
        <v>3610</v>
      </c>
      <c r="AM50" s="524">
        <f>+AQ50-AL50</f>
        <v>4232</v>
      </c>
      <c r="AN50" s="524">
        <f>+AP50-AQ50</f>
        <v>4897</v>
      </c>
      <c r="AO50" s="524">
        <f>+AR50-AN50</f>
        <v>4496</v>
      </c>
      <c r="AP50" s="524">
        <v>12739</v>
      </c>
      <c r="AQ50" s="524">
        <v>7842</v>
      </c>
      <c r="AR50" s="524">
        <f>+AS50-AQ50</f>
        <v>9393</v>
      </c>
      <c r="AS50" s="524">
        <v>17235</v>
      </c>
      <c r="AT50" s="523"/>
      <c r="AU50" s="524">
        <v>4119</v>
      </c>
      <c r="AV50" s="524">
        <f>+BB50-AU50</f>
        <v>4215</v>
      </c>
      <c r="AW50" s="524">
        <f>+BA50-BB50</f>
        <v>5102</v>
      </c>
      <c r="AX50" s="524">
        <v>4766</v>
      </c>
      <c r="AY50" s="524">
        <f>+BC50-AW50</f>
        <v>4310</v>
      </c>
      <c r="AZ50" s="524">
        <v>13100</v>
      </c>
      <c r="BA50" s="524">
        <v>13436</v>
      </c>
      <c r="BB50" s="526">
        <v>8334</v>
      </c>
      <c r="BC50" s="526">
        <f>+BE50-BB50</f>
        <v>9412</v>
      </c>
      <c r="BD50" s="524">
        <v>18000</v>
      </c>
      <c r="BE50" s="524">
        <v>17746</v>
      </c>
      <c r="BF50" s="523"/>
      <c r="BG50" s="524">
        <f>+BH50-AW50</f>
        <v>-13436</v>
      </c>
      <c r="BH50" s="524">
        <f>+BI50-BB50</f>
        <v>-8334</v>
      </c>
      <c r="BI50" s="524"/>
      <c r="BJ50" s="523"/>
      <c r="BK50" s="520">
        <v>8700</v>
      </c>
      <c r="BL50" s="520">
        <v>9400</v>
      </c>
      <c r="BM50" s="520">
        <v>18100</v>
      </c>
      <c r="BN50" s="520"/>
      <c r="BO50" s="523"/>
      <c r="BP50" s="524">
        <v>4156</v>
      </c>
      <c r="BQ50" s="524">
        <v>4500</v>
      </c>
      <c r="BR50" s="524">
        <f>+BY50-BP50</f>
        <v>4429</v>
      </c>
      <c r="BS50" s="524">
        <v>4500</v>
      </c>
      <c r="BT50" s="524">
        <f>+BX50-BY50</f>
        <v>5114</v>
      </c>
      <c r="BU50" s="524">
        <v>4901</v>
      </c>
      <c r="BV50" s="524">
        <f>CC50-BT50</f>
        <v>4756</v>
      </c>
      <c r="BW50" s="524">
        <v>13085</v>
      </c>
      <c r="BX50" s="524">
        <v>13699</v>
      </c>
      <c r="BY50" s="524">
        <v>8585</v>
      </c>
      <c r="BZ50" s="524">
        <v>9000</v>
      </c>
      <c r="CA50" s="524">
        <v>8656</v>
      </c>
      <c r="CB50" s="524">
        <v>10015</v>
      </c>
      <c r="CC50" s="524">
        <f>CE50-BY50</f>
        <v>9870</v>
      </c>
      <c r="CD50" s="524">
        <v>18600</v>
      </c>
      <c r="CE50" s="524">
        <v>18455</v>
      </c>
      <c r="CF50" s="523"/>
      <c r="CG50" s="527">
        <v>4076</v>
      </c>
      <c r="CH50" s="520">
        <v>4200</v>
      </c>
      <c r="CI50" s="520">
        <f>BP50*(CI51+1)</f>
        <v>4156</v>
      </c>
      <c r="CJ50" s="520">
        <f>CR50-CG50</f>
        <v>4527</v>
      </c>
      <c r="CK50" s="520">
        <v>4500</v>
      </c>
      <c r="CL50" s="528">
        <f>CP50-CR50</f>
        <v>5105</v>
      </c>
      <c r="CM50" s="520">
        <v>5216.28</v>
      </c>
      <c r="CN50" s="520">
        <v>5492</v>
      </c>
      <c r="CO50" s="520">
        <f>CW50-CP50</f>
        <v>4599</v>
      </c>
      <c r="CP50" s="520">
        <v>13708</v>
      </c>
      <c r="CQ50" s="520">
        <v>13819.279999999999</v>
      </c>
      <c r="CR50" s="542">
        <v>8603</v>
      </c>
      <c r="CS50" s="542">
        <v>8576</v>
      </c>
      <c r="CT50" s="520">
        <v>10597</v>
      </c>
      <c r="CU50" s="520">
        <f>CW50-CR50</f>
        <v>9704</v>
      </c>
      <c r="CV50" s="520">
        <v>19200</v>
      </c>
      <c r="CW50" s="522">
        <v>18307</v>
      </c>
      <c r="CX50" s="520"/>
      <c r="CY50" s="520">
        <v>4429</v>
      </c>
      <c r="CZ50" s="520">
        <f>+DB50-CY50</f>
        <v>4849</v>
      </c>
      <c r="DA50" s="520" t="e">
        <f>+CY50+#REF!</f>
        <v>#REF!</v>
      </c>
      <c r="DB50" s="520">
        <v>9278</v>
      </c>
      <c r="DC50" s="520">
        <f>+DG50-DB50</f>
        <v>5641</v>
      </c>
      <c r="DD50" s="520">
        <f>CL50*1.08</f>
        <v>5513.4000000000005</v>
      </c>
      <c r="DE50" s="520">
        <f t="shared" si="42"/>
        <v>4863</v>
      </c>
      <c r="DF50" s="520">
        <f>DJ50-DC50</f>
        <v>5081</v>
      </c>
      <c r="DG50" s="520">
        <v>14919</v>
      </c>
      <c r="DH50" s="520">
        <f>+DD50+DB50</f>
        <v>14791.400000000001</v>
      </c>
      <c r="DI50" s="520">
        <f t="shared" si="3"/>
        <v>10504</v>
      </c>
      <c r="DJ50" s="520">
        <f>DL50-DB50</f>
        <v>10722</v>
      </c>
      <c r="DK50" s="520">
        <v>19782</v>
      </c>
      <c r="DL50" s="529">
        <v>20000</v>
      </c>
      <c r="DM50" s="529"/>
      <c r="DN50" s="524"/>
      <c r="DO50" s="524"/>
      <c r="DP50" s="530"/>
      <c r="DQ50" s="530">
        <f>+DR50-DC50</f>
        <v>4881</v>
      </c>
      <c r="DR50" s="530">
        <f>+DS50-DB50</f>
        <v>10522</v>
      </c>
      <c r="DS50" s="531">
        <v>19800</v>
      </c>
      <c r="DT50" s="529"/>
      <c r="DU50" s="524"/>
      <c r="DV50" s="524">
        <f>DW50-CY50</f>
        <v>4571</v>
      </c>
      <c r="DW50" s="528">
        <v>9000</v>
      </c>
      <c r="DX50" s="530">
        <f>DY50-DB50</f>
        <v>10122</v>
      </c>
      <c r="DY50" s="530">
        <v>19400</v>
      </c>
      <c r="DZ50" s="523"/>
      <c r="EB50" s="528">
        <f>ED50-CP50</f>
        <v>5292</v>
      </c>
      <c r="EC50" s="530">
        <f>ED50-CR50</f>
        <v>10397</v>
      </c>
      <c r="ED50" s="529">
        <v>19000</v>
      </c>
      <c r="EE50" s="523"/>
      <c r="EF50" s="520"/>
      <c r="EG50" s="527">
        <v>4904</v>
      </c>
      <c r="EH50" s="520">
        <f>+CY50*1.04</f>
        <v>4606.16</v>
      </c>
      <c r="EI50" s="520">
        <f t="shared" ref="EI50" si="59">+EK50-EG50</f>
        <v>5163</v>
      </c>
      <c r="EJ50" s="520">
        <v>5200</v>
      </c>
      <c r="EK50" s="520">
        <v>10067</v>
      </c>
      <c r="EL50" s="520">
        <f>+EG50+EJ50</f>
        <v>10104</v>
      </c>
      <c r="EM50" s="520">
        <f>+EO50-EK50</f>
        <v>6133</v>
      </c>
      <c r="EN50" s="520">
        <f>+DC50*1.07</f>
        <v>6035.8700000000008</v>
      </c>
      <c r="EO50" s="520">
        <v>16200</v>
      </c>
      <c r="EP50" s="520">
        <f>+EN50+EK50</f>
        <v>16102.87</v>
      </c>
      <c r="EQ50" s="520">
        <f>+EU50-EO50</f>
        <v>5298</v>
      </c>
      <c r="ER50" s="520"/>
      <c r="ES50" s="520">
        <f>+EU50-EK50</f>
        <v>11431</v>
      </c>
      <c r="ET50" s="520"/>
      <c r="EU50" s="522">
        <v>21498</v>
      </c>
      <c r="EV50" s="533"/>
      <c r="EW50" s="520">
        <v>5173.7199999999993</v>
      </c>
      <c r="EX50" s="520">
        <v>5041</v>
      </c>
      <c r="EY50" s="520">
        <v>5630.02</v>
      </c>
      <c r="EZ50" s="520">
        <f>+FB50-EX50</f>
        <v>5353</v>
      </c>
      <c r="FA50" s="520">
        <v>10671.02</v>
      </c>
      <c r="FB50" s="520">
        <v>10394</v>
      </c>
      <c r="FC50" s="520">
        <f>+FE50-FB50</f>
        <v>5768</v>
      </c>
      <c r="FD50" s="769">
        <v>6940</v>
      </c>
      <c r="FE50" s="520">
        <v>16162</v>
      </c>
      <c r="FF50" s="797">
        <v>17334</v>
      </c>
      <c r="FG50" s="798">
        <f>FK50-FE50</f>
        <v>5167</v>
      </c>
      <c r="FH50" s="520">
        <f>+FL50-FE50</f>
        <v>5167</v>
      </c>
      <c r="FI50" s="520">
        <f>FK50-FB50</f>
        <v>10935</v>
      </c>
      <c r="FJ50" s="520">
        <f>+FL50-FB50</f>
        <v>10935</v>
      </c>
      <c r="FK50" s="522">
        <v>21329</v>
      </c>
      <c r="FL50" s="529">
        <f>Driver!AD138</f>
        <v>21329</v>
      </c>
      <c r="FM50" s="524">
        <f>+FN50-EX50</f>
        <v>5659</v>
      </c>
      <c r="FN50" s="530">
        <v>10700</v>
      </c>
      <c r="FO50" s="530">
        <f>+FQ50-FE50</f>
        <v>6538</v>
      </c>
      <c r="FP50" s="530">
        <f>+FQ50-FB50</f>
        <v>12306</v>
      </c>
      <c r="FQ50" s="531">
        <v>22700</v>
      </c>
      <c r="FR50" s="531"/>
      <c r="FS50" s="520">
        <v>5267</v>
      </c>
      <c r="FT50" s="530">
        <f>EX50*1.1</f>
        <v>5545.1</v>
      </c>
      <c r="FU50" s="530">
        <f>FW50-FS50</f>
        <v>6233</v>
      </c>
      <c r="FV50" s="520">
        <f>+FY50-FS50</f>
        <v>5559</v>
      </c>
      <c r="FW50" s="530">
        <v>11500</v>
      </c>
      <c r="FX50" s="530"/>
      <c r="FY50" s="520">
        <v>10826</v>
      </c>
      <c r="FZ50" s="520">
        <f>+GA50-FY50</f>
        <v>6386</v>
      </c>
      <c r="GA50" s="520">
        <v>17212</v>
      </c>
      <c r="GB50" s="520">
        <f>+GD50-GA50</f>
        <v>5455</v>
      </c>
      <c r="GC50" s="520">
        <f>+GD50-FY50</f>
        <v>11841</v>
      </c>
      <c r="GD50" s="522">
        <v>22667</v>
      </c>
      <c r="GE50" s="520">
        <v>22900</v>
      </c>
      <c r="GF50" s="520">
        <v>6800</v>
      </c>
      <c r="GG50" s="520">
        <f>GH50-FZ50</f>
        <v>5455</v>
      </c>
      <c r="GH50" s="530">
        <f>GI50-FY50</f>
        <v>11841</v>
      </c>
      <c r="GI50" s="530">
        <f>Segments!O29</f>
        <v>22667</v>
      </c>
      <c r="GJ50" s="534"/>
      <c r="GK50" s="530">
        <v>5500</v>
      </c>
      <c r="GL50" s="530">
        <v>5241</v>
      </c>
      <c r="GM50" s="530">
        <v>5800</v>
      </c>
      <c r="GN50" s="530">
        <f>GM50+GL50</f>
        <v>11041</v>
      </c>
      <c r="GO50" s="530">
        <f>+GP50-GL50</f>
        <v>5719</v>
      </c>
      <c r="GP50" s="530">
        <v>10960</v>
      </c>
      <c r="GQ50" s="530">
        <v>6600</v>
      </c>
      <c r="GR50" s="520">
        <f>+GS50-GP50</f>
        <v>6733</v>
      </c>
      <c r="GS50" s="520">
        <v>17693</v>
      </c>
      <c r="GT50" s="520">
        <f>+GU50-GR50</f>
        <v>6491</v>
      </c>
      <c r="GU50" s="520">
        <f>+GV50-GP50</f>
        <v>13224</v>
      </c>
      <c r="GV50" s="522">
        <v>24184</v>
      </c>
      <c r="GW50" s="520">
        <v>23500</v>
      </c>
      <c r="GX50" s="530">
        <f>GY50-GR50</f>
        <v>6491</v>
      </c>
      <c r="GY50" s="530">
        <f>GZ50-GP50</f>
        <v>13224</v>
      </c>
      <c r="GZ50" s="530">
        <f>Segments!P29</f>
        <v>24184</v>
      </c>
      <c r="HA50" s="534"/>
      <c r="HB50" s="530">
        <f>GL50*1.1</f>
        <v>5765.1</v>
      </c>
      <c r="HC50" s="530"/>
      <c r="HD50" s="530">
        <v>5977</v>
      </c>
      <c r="HE50" s="530">
        <v>4396</v>
      </c>
      <c r="HF50" s="530">
        <f>+HI50-HD50</f>
        <v>6299</v>
      </c>
      <c r="HG50" s="530">
        <f>+HL50-HE50</f>
        <v>4471.9245283018863</v>
      </c>
      <c r="HH50" s="530">
        <f>HM50-HE50</f>
        <v>4534</v>
      </c>
      <c r="HI50" s="530">
        <v>12276</v>
      </c>
      <c r="HJ50" s="530">
        <v>6500</v>
      </c>
      <c r="HK50" s="530">
        <f>HI50+HD50</f>
        <v>18253</v>
      </c>
      <c r="HL50" s="530">
        <f>KU50/1.06</f>
        <v>8867.9245283018863</v>
      </c>
      <c r="HM50" s="530">
        <v>8930</v>
      </c>
      <c r="HN50" s="520">
        <f>+HP50-HI50</f>
        <v>7068</v>
      </c>
      <c r="HO50" s="520">
        <f>+HQ50-HM50</f>
        <v>5143</v>
      </c>
      <c r="HP50" s="520">
        <v>19344</v>
      </c>
      <c r="HQ50" s="535">
        <v>14073</v>
      </c>
      <c r="HR50" s="520">
        <f>+HT50-HN50</f>
        <v>6265</v>
      </c>
      <c r="HS50" s="520">
        <f>HU50-HO50</f>
        <v>4527</v>
      </c>
      <c r="HT50" s="520">
        <f>+HV50-HI50</f>
        <v>13333</v>
      </c>
      <c r="HU50" s="520">
        <f>HZ50-HM50</f>
        <v>9670</v>
      </c>
      <c r="HV50" s="520">
        <v>25609</v>
      </c>
      <c r="HW50" s="530">
        <f>GR50*1.15</f>
        <v>7742.95</v>
      </c>
      <c r="HX50" s="530">
        <f>HY50-HN50</f>
        <v>6265</v>
      </c>
      <c r="HY50" s="530">
        <f>IB50-HI50</f>
        <v>13333</v>
      </c>
      <c r="HZ50" s="520">
        <v>18600</v>
      </c>
      <c r="IA50" s="530">
        <v>26300</v>
      </c>
      <c r="IB50" s="530">
        <f>Segments!Q29</f>
        <v>25609</v>
      </c>
      <c r="IC50" s="534"/>
      <c r="ID50" s="530">
        <v>4000</v>
      </c>
      <c r="IE50" s="536">
        <v>4421</v>
      </c>
      <c r="IF50" s="530">
        <f>IG50-IE50</f>
        <v>4794</v>
      </c>
      <c r="IG50" s="537">
        <v>9215</v>
      </c>
      <c r="IH50" s="530">
        <f>+IJ50-IG50</f>
        <v>5186</v>
      </c>
      <c r="II50" s="538">
        <v>5000</v>
      </c>
      <c r="IJ50" s="538">
        <v>14401</v>
      </c>
      <c r="IK50" s="530">
        <f>+IP50-IL50</f>
        <v>14401</v>
      </c>
      <c r="IL50" s="530">
        <f>IN50-IH50</f>
        <v>5099</v>
      </c>
      <c r="IM50" s="530">
        <f>+IO50-IH50</f>
        <v>5099</v>
      </c>
      <c r="IN50" s="530">
        <f>IP50-IG50</f>
        <v>10285</v>
      </c>
      <c r="IO50" s="530">
        <f>+IR50-IG50</f>
        <v>10285</v>
      </c>
      <c r="IP50" s="531">
        <f>Segments!S29</f>
        <v>19500</v>
      </c>
      <c r="IQ50" s="530">
        <v>19500</v>
      </c>
      <c r="IR50" s="539">
        <v>19500</v>
      </c>
      <c r="IS50" s="1283"/>
      <c r="IT50" s="540">
        <v>4500</v>
      </c>
      <c r="IU50" s="540">
        <v>4400</v>
      </c>
      <c r="IV50" s="540">
        <f>IX50-IU50</f>
        <v>5173</v>
      </c>
      <c r="IW50" s="540">
        <v>4800</v>
      </c>
      <c r="IX50" s="530">
        <v>9573</v>
      </c>
      <c r="IY50" s="530">
        <v>9200</v>
      </c>
      <c r="IZ50" s="530">
        <f>JA50-IX50</f>
        <v>5641</v>
      </c>
      <c r="JA50" s="530">
        <v>15214</v>
      </c>
      <c r="JB50" s="530">
        <f>+JC50-IZ50</f>
        <v>5114</v>
      </c>
      <c r="JC50" s="530">
        <f>+JD50-IX50</f>
        <v>10755</v>
      </c>
      <c r="JD50" s="530">
        <v>20328</v>
      </c>
      <c r="JE50" s="530">
        <v>15273</v>
      </c>
      <c r="JF50" s="530">
        <f>JG50-IZ50</f>
        <v>5114</v>
      </c>
      <c r="JG50" s="530">
        <f>JH50-IX50</f>
        <v>10755</v>
      </c>
      <c r="JH50" s="531">
        <f>Segments!T29</f>
        <v>20328</v>
      </c>
      <c r="JI50" s="1283"/>
      <c r="JJ50" s="1669">
        <f>ROUND(+IU50*(1+JJ51),-2)</f>
        <v>4600</v>
      </c>
      <c r="JK50" s="1138">
        <f>ROUND(+IV50*(1+JK51),-2)</f>
        <v>5500</v>
      </c>
      <c r="JL50" s="1138">
        <v>4492</v>
      </c>
      <c r="JM50" s="1138">
        <f>+JP50-JL50</f>
        <v>4712</v>
      </c>
      <c r="JN50" s="1138">
        <f>JS50-JP50</f>
        <v>5685</v>
      </c>
      <c r="JO50" s="1138"/>
      <c r="JP50" s="1138">
        <v>9204</v>
      </c>
      <c r="JQ50" s="1138"/>
      <c r="JR50" s="1138"/>
      <c r="JS50" s="1138">
        <v>14889</v>
      </c>
      <c r="JT50" s="1138">
        <f>ROUND(+IZ50*(1+JT51),-2)</f>
        <v>6100</v>
      </c>
      <c r="JU50" s="1138">
        <f>+JW50-JN50</f>
        <v>5211</v>
      </c>
      <c r="JV50" s="1138">
        <f>+JL50+JK50</f>
        <v>9992</v>
      </c>
      <c r="JW50" s="1138">
        <f>+JX50-JP50</f>
        <v>10896</v>
      </c>
      <c r="JX50" s="1138">
        <f>+Driver!AL138</f>
        <v>20100</v>
      </c>
      <c r="JY50" s="1138">
        <f>+JP50+JT50</f>
        <v>15304</v>
      </c>
      <c r="JZ50" s="899"/>
      <c r="KA50" s="1271"/>
      <c r="KB50" s="540">
        <f>+KC50-JL50</f>
        <v>5708</v>
      </c>
      <c r="KC50" s="540">
        <v>10200</v>
      </c>
      <c r="KD50" s="540">
        <f t="shared" ref="KD50" si="60">+KH50-KC50</f>
        <v>11700</v>
      </c>
      <c r="KE50" s="540">
        <f>+KG50-JP50</f>
        <v>12696</v>
      </c>
      <c r="KF50" s="540">
        <f>+KG50-JS50</f>
        <v>7011</v>
      </c>
      <c r="KG50" s="540">
        <v>21900</v>
      </c>
      <c r="KH50" s="540">
        <v>21900</v>
      </c>
      <c r="KI50" s="1271"/>
      <c r="KJ50" s="899"/>
      <c r="KK50" s="541">
        <f>KL50-IZ50</f>
        <v>4786</v>
      </c>
      <c r="KL50" s="530">
        <f>KM50-IX50</f>
        <v>10427</v>
      </c>
      <c r="KM50" s="540">
        <v>20000</v>
      </c>
      <c r="KN50" s="899"/>
      <c r="KO50" s="540">
        <v>9600</v>
      </c>
      <c r="KP50" s="530">
        <v>10400</v>
      </c>
      <c r="KQ50" s="531">
        <v>20000</v>
      </c>
      <c r="KR50" s="530">
        <v>10785</v>
      </c>
      <c r="KS50" s="531">
        <v>20000</v>
      </c>
      <c r="KT50" s="530">
        <f>+KU50-IE50</f>
        <v>4979</v>
      </c>
      <c r="KU50" s="530">
        <v>9400</v>
      </c>
      <c r="KV50" s="530">
        <f>+KW50-KU50</f>
        <v>10600</v>
      </c>
      <c r="KW50" s="531">
        <v>20000</v>
      </c>
      <c r="KX50" s="530">
        <f>+KY50-HN50</f>
        <v>7156</v>
      </c>
      <c r="KY50" s="530">
        <f>+KZ50-HI50</f>
        <v>14224</v>
      </c>
      <c r="KZ50" s="531">
        <v>26500</v>
      </c>
      <c r="LA50" s="530">
        <v>11500</v>
      </c>
      <c r="LB50" s="530">
        <f>+LC50-LA50</f>
        <v>13500</v>
      </c>
      <c r="LC50" s="531">
        <v>25000</v>
      </c>
      <c r="LD50" s="531"/>
      <c r="LE50" s="530">
        <f>+LF50-GR50</f>
        <v>7107</v>
      </c>
      <c r="LF50" s="530">
        <f>+LG50-GP50</f>
        <v>13840</v>
      </c>
      <c r="LG50" s="531">
        <v>24800</v>
      </c>
    </row>
    <row r="51" spans="1:319" s="806" customFormat="1" ht="12">
      <c r="A51" s="592"/>
      <c r="B51" s="478" t="s">
        <v>669</v>
      </c>
      <c r="C51" s="1676" t="s">
        <v>1443</v>
      </c>
      <c r="D51" s="799"/>
      <c r="E51" s="592"/>
      <c r="F51" s="592"/>
      <c r="G51" s="594"/>
      <c r="H51" s="592"/>
      <c r="I51" s="592"/>
      <c r="J51" s="594"/>
      <c r="K51" s="590"/>
      <c r="L51" s="590"/>
      <c r="M51" s="590"/>
      <c r="N51" s="590"/>
      <c r="O51" s="590"/>
      <c r="P51" s="590"/>
      <c r="Q51" s="590"/>
      <c r="R51" s="590"/>
      <c r="S51" s="800"/>
      <c r="T51" s="590"/>
      <c r="U51" s="590"/>
      <c r="V51" s="590"/>
      <c r="W51" s="590"/>
      <c r="X51" s="590"/>
      <c r="Y51" s="590"/>
      <c r="Z51" s="590"/>
      <c r="AA51" s="590"/>
      <c r="AB51" s="800"/>
      <c r="AC51" s="590"/>
      <c r="AD51" s="590"/>
      <c r="AE51" s="590"/>
      <c r="AF51" s="590"/>
      <c r="AG51" s="590"/>
      <c r="AH51" s="590"/>
      <c r="AI51" s="590"/>
      <c r="AJ51" s="590"/>
      <c r="AK51" s="799"/>
      <c r="AL51" s="590"/>
      <c r="AM51" s="759"/>
      <c r="AN51" s="759"/>
      <c r="AO51" s="759"/>
      <c r="AP51" s="759"/>
      <c r="AQ51" s="759"/>
      <c r="AR51" s="759"/>
      <c r="AS51" s="759"/>
      <c r="AT51" s="463"/>
      <c r="AU51" s="486">
        <f>+AU50/AL50-1</f>
        <v>0.14099722991689756</v>
      </c>
      <c r="AV51" s="486">
        <f>+AV50/AM50-1</f>
        <v>-4.0170132325141328E-3</v>
      </c>
      <c r="AW51" s="486">
        <f>+AW50/AN50-1</f>
        <v>4.1862364713089573E-2</v>
      </c>
      <c r="AX51" s="486">
        <f>+AX50/AN50-1</f>
        <v>-2.6751072084949978E-2</v>
      </c>
      <c r="AY51" s="486">
        <f>+AY50/AO50-1</f>
        <v>-4.1370106761565828E-2</v>
      </c>
      <c r="AZ51" s="486">
        <f>+AZ50/AP50-1</f>
        <v>2.8338174110997816E-2</v>
      </c>
      <c r="BA51" s="609">
        <f>+BA50/AP50-1</f>
        <v>5.4713870790485952E-2</v>
      </c>
      <c r="BB51" s="625">
        <f>+BB50/AQ50-1</f>
        <v>6.2739097169089542E-2</v>
      </c>
      <c r="BC51" s="507">
        <f>+BC50/AR50-1</f>
        <v>2.0227829234535921E-3</v>
      </c>
      <c r="BD51" s="488"/>
      <c r="BE51" s="486">
        <f>+BE50/AS50-1</f>
        <v>2.9648970118943963E-2</v>
      </c>
      <c r="BF51" s="799"/>
      <c r="BG51" s="759"/>
      <c r="BH51" s="590"/>
      <c r="BI51" s="590"/>
      <c r="BJ51" s="799"/>
      <c r="BK51" s="592"/>
      <c r="BL51" s="592"/>
      <c r="BM51" s="592"/>
      <c r="BN51" s="592"/>
      <c r="BO51" s="799"/>
      <c r="BP51" s="486">
        <f>+BP50/AU50-1</f>
        <v>8.9827628065064502E-3</v>
      </c>
      <c r="BQ51" s="801"/>
      <c r="BR51" s="486">
        <f>(BR50-AV50)/AV50</f>
        <v>5.0771055753262156E-2</v>
      </c>
      <c r="BS51" s="801"/>
      <c r="BT51" s="486">
        <f>(BT50-AW50)/AW50</f>
        <v>2.3520188161505291E-3</v>
      </c>
      <c r="BU51" s="486">
        <f>BU50/AY50-1</f>
        <v>0.13712296983758709</v>
      </c>
      <c r="BV51" s="802">
        <f>BV50/AY50-1</f>
        <v>0.1034802784222737</v>
      </c>
      <c r="BW51" s="801"/>
      <c r="BX51" s="487">
        <f>+BX50/BA50-1</f>
        <v>1.9574278058946071E-2</v>
      </c>
      <c r="BY51" s="487">
        <f>+BY50/BB50-1</f>
        <v>3.0117590592752652E-2</v>
      </c>
      <c r="BZ51" s="801"/>
      <c r="CA51" s="801"/>
      <c r="CB51" s="802">
        <f>CB50/BC50-1</f>
        <v>6.4067148321292011E-2</v>
      </c>
      <c r="CC51" s="802">
        <f>CC50/BC50-1</f>
        <v>4.8661283467913208E-2</v>
      </c>
      <c r="CD51" s="802">
        <f>CD50/BE50-1</f>
        <v>4.8123520793418306E-2</v>
      </c>
      <c r="CE51" s="802">
        <f>CE50/BE50-1</f>
        <v>3.9952665389383579E-2</v>
      </c>
      <c r="CF51" s="799"/>
      <c r="CG51" s="803">
        <f>(CG50-BP50)/BP50</f>
        <v>-1.9249278152069296E-2</v>
      </c>
      <c r="CH51" s="592">
        <v>0</v>
      </c>
      <c r="CI51" s="592">
        <v>0</v>
      </c>
      <c r="CJ51" s="490">
        <f>CJ50/BR50-1</f>
        <v>2.2126890946037481E-2</v>
      </c>
      <c r="CK51" s="490">
        <v>1.6030706705802755E-2</v>
      </c>
      <c r="CL51" s="490">
        <f>CL50/BT50-1</f>
        <v>-1.7598748533437236E-3</v>
      </c>
      <c r="CM51" s="490">
        <f>CM50/BT50-1</f>
        <v>2.0000000000000018E-2</v>
      </c>
      <c r="CN51" s="490">
        <v>0.15475189234650966</v>
      </c>
      <c r="CO51" s="490">
        <f>CO50/BV50-1</f>
        <v>-3.3010933557611422E-2</v>
      </c>
      <c r="CP51" s="490">
        <f>CP50/BX50-1</f>
        <v>6.5698226147903327E-4</v>
      </c>
      <c r="CQ51" s="592"/>
      <c r="CR51" s="804">
        <f>(CR50-BY50)/BY50</f>
        <v>2.0966802562609201E-3</v>
      </c>
      <c r="CS51" s="592"/>
      <c r="CT51" s="482">
        <v>7.3657548125633229E-2</v>
      </c>
      <c r="CU51" s="482">
        <f>(CU50-CC50)/CC50</f>
        <v>-1.6818642350557245E-2</v>
      </c>
      <c r="CV51" s="805">
        <v>4.036846383094006E-2</v>
      </c>
      <c r="CW51" s="491">
        <f>CW50/CE50-1</f>
        <v>-8.0195069086967941E-3</v>
      </c>
      <c r="CX51" s="492"/>
      <c r="CY51" s="492">
        <f>(CY50-CG50)/CG50</f>
        <v>8.66045142296369E-2</v>
      </c>
      <c r="CZ51" s="492">
        <f>+CZ50/CJ50-1</f>
        <v>7.1128782858405071E-2</v>
      </c>
      <c r="DA51" s="492" t="e">
        <f>+DA50/CR50-1</f>
        <v>#REF!</v>
      </c>
      <c r="DB51" s="492">
        <f>+DB50/CR50-1</f>
        <v>7.8461001976054767E-2</v>
      </c>
      <c r="DC51" s="492">
        <f>+DC50/CL50-1</f>
        <v>0.10499510284035263</v>
      </c>
      <c r="DD51" s="704">
        <f>(DD50-CL50)/CL50</f>
        <v>8.0000000000000113E-2</v>
      </c>
      <c r="DE51" s="704">
        <f>+DE50/CO50-1</f>
        <v>5.7403783431180688E-2</v>
      </c>
      <c r="DF51" s="492">
        <f>+DF50/CO50-1</f>
        <v>0.10480539247662546</v>
      </c>
      <c r="DG51" s="492">
        <f>+DG50/CP50-1</f>
        <v>8.8342573679603076E-2</v>
      </c>
      <c r="DH51" s="492">
        <f>+DH50/CP50-1</f>
        <v>7.9034140647797013E-2</v>
      </c>
      <c r="DI51" s="492">
        <f>+DI50/CU50-1</f>
        <v>8.24402308326464E-2</v>
      </c>
      <c r="DJ51" s="492">
        <f>(DJ50-CU50)/CU50</f>
        <v>0.10490519373454246</v>
      </c>
      <c r="DK51" s="492">
        <f>+DK50/CW50-1</f>
        <v>8.0570273665810932E-2</v>
      </c>
      <c r="DL51" s="493">
        <v>9.2478286994045922E-2</v>
      </c>
      <c r="DM51" s="494"/>
      <c r="DN51" s="487"/>
      <c r="DO51" s="487"/>
      <c r="DP51" s="495"/>
      <c r="DQ51" s="495">
        <f>+DQ50/CO50-1</f>
        <v>6.1317677756034028E-2</v>
      </c>
      <c r="DR51" s="495">
        <f>+DR50/CU50-1</f>
        <v>8.4295136026380835E-2</v>
      </c>
      <c r="DS51" s="496">
        <f>DS50/CW50-1</f>
        <v>8.1553504124105558E-2</v>
      </c>
      <c r="DT51" s="494"/>
      <c r="DU51" s="487"/>
      <c r="DV51" s="487"/>
      <c r="DW51" s="490">
        <f>DW50/CR50-1</f>
        <v>4.6146693014064821E-2</v>
      </c>
      <c r="DX51" s="495">
        <f>DX50/CU50-1</f>
        <v>4.3075020610057635E-2</v>
      </c>
      <c r="DY51" s="495">
        <f>DY50/CW50-1</f>
        <v>5.9703938384224609E-2</v>
      </c>
      <c r="DZ51" s="463"/>
      <c r="EB51" s="490">
        <f>EB50/BV50-1</f>
        <v>0.11269974768713209</v>
      </c>
      <c r="EC51" s="495">
        <f>EC50/CC50-1</f>
        <v>5.3394123606889554E-2</v>
      </c>
      <c r="ED51" s="499">
        <f>(ED50-CE50)/CE50</f>
        <v>2.9531292332701166E-2</v>
      </c>
      <c r="EE51" s="799"/>
      <c r="EF51" s="592"/>
      <c r="EG51" s="500">
        <f>+EG50/CY50-1</f>
        <v>0.10724768570783483</v>
      </c>
      <c r="EH51" s="482">
        <f>+EH50/CY50-1</f>
        <v>4.0000000000000036E-2</v>
      </c>
      <c r="EI51" s="482">
        <f>+EI50/CZ50-1</f>
        <v>6.4755619715405333E-2</v>
      </c>
      <c r="EJ51" s="482">
        <f>+EJ50/CZ50-1</f>
        <v>7.2386058981233292E-2</v>
      </c>
      <c r="EK51" s="482">
        <f>+EK50/DB50-1</f>
        <v>8.5039879284328546E-2</v>
      </c>
      <c r="EL51" s="482">
        <f>+EL50/DB50-1</f>
        <v>8.9027807717180441E-2</v>
      </c>
      <c r="EM51" s="482">
        <f>+EM50/DC50-1</f>
        <v>8.721857826626489E-2</v>
      </c>
      <c r="EN51" s="482">
        <f>+EN50/DC50-1</f>
        <v>7.0000000000000062E-2</v>
      </c>
      <c r="EO51" s="482">
        <f>+EO50/DG50-1</f>
        <v>8.5863663784435884E-2</v>
      </c>
      <c r="EP51" s="482">
        <f>+EP50/DG50-1</f>
        <v>7.9353173805214894E-2</v>
      </c>
      <c r="EQ51" s="482">
        <f>+EQ50/DE50-1</f>
        <v>8.9450956199876641E-2</v>
      </c>
      <c r="ER51" s="482">
        <f>+ER50/DE50-1</f>
        <v>-1</v>
      </c>
      <c r="ES51" s="482">
        <f>+ES50/DI50-1</f>
        <v>8.8252094440213202E-2</v>
      </c>
      <c r="ET51" s="482">
        <f>+ET50/DI50-1</f>
        <v>-1</v>
      </c>
      <c r="EU51" s="483">
        <f>+EU50/DK50-1</f>
        <v>8.6745526235972203E-2</v>
      </c>
      <c r="EV51" s="501"/>
      <c r="EW51" s="482">
        <v>5.4999999999999938E-2</v>
      </c>
      <c r="EX51" s="482">
        <f>+EX50/EG50-1</f>
        <v>2.7936378466557832E-2</v>
      </c>
      <c r="EY51" s="482">
        <v>9.0455161727677869E-2</v>
      </c>
      <c r="EZ51" s="482">
        <f>+EZ50/EI50-1</f>
        <v>3.6800309897346395E-2</v>
      </c>
      <c r="FA51" s="482">
        <v>6.0000000000000053E-2</v>
      </c>
      <c r="FB51" s="618">
        <f>+FB50/EK50-1</f>
        <v>3.2482368133505579E-2</v>
      </c>
      <c r="FC51" s="618">
        <f>+FC50/EM50-1</f>
        <v>-5.9514104027392767E-2</v>
      </c>
      <c r="FD51" s="510">
        <v>0.13158323821946838</v>
      </c>
      <c r="FE51" s="618">
        <f>+FE50/EO50-1</f>
        <v>-2.345679012345725E-3</v>
      </c>
      <c r="FF51" s="510">
        <v>7.0000000000000062E-2</v>
      </c>
      <c r="FG51" s="766">
        <f>+FG50/EQ50-1</f>
        <v>-2.4726311815779556E-2</v>
      </c>
      <c r="FH51" s="618">
        <f>+FH50/EQ50-1</f>
        <v>-2.4726311815779556E-2</v>
      </c>
      <c r="FI51" s="618">
        <f>+FI50/ES50-1</f>
        <v>-4.339077945936487E-2</v>
      </c>
      <c r="FJ51" s="482">
        <f>+FJ50/ES50-1</f>
        <v>-4.339077945936487E-2</v>
      </c>
      <c r="FK51" s="483">
        <f>+FK50/EU50-1</f>
        <v>-7.8611963903618687E-3</v>
      </c>
      <c r="FL51" s="493">
        <f>+FL50/EU50-1</f>
        <v>-7.8611963903618687E-3</v>
      </c>
      <c r="FM51" s="487">
        <f>+FM50/EI50-1</f>
        <v>9.606817741623086E-2</v>
      </c>
      <c r="FN51" s="495">
        <f>+FN50/EK50-1</f>
        <v>6.2878712625409783E-2</v>
      </c>
      <c r="FO51" s="495">
        <f>(FO50-EQ50)/EQ50</f>
        <v>0.23405058512646282</v>
      </c>
      <c r="FP51" s="495">
        <f>+FP50/ES50-1</f>
        <v>7.6546233925290919E-2</v>
      </c>
      <c r="FQ51" s="496">
        <f>+FQ50/EU50-1</f>
        <v>5.5912177877011748E-2</v>
      </c>
      <c r="FR51" s="496"/>
      <c r="FS51" s="482">
        <f>+FS50/EX50-1</f>
        <v>4.4832374528863239E-2</v>
      </c>
      <c r="FT51" s="503">
        <f>(FT50-EX50)/EX50</f>
        <v>0.10000000000000007</v>
      </c>
      <c r="FU51" s="503">
        <f>(FU50-EZ50)/EZ50</f>
        <v>0.16439379787035308</v>
      </c>
      <c r="FV51" s="482">
        <f>+FV50/EZ50-1</f>
        <v>3.8483093592378115E-2</v>
      </c>
      <c r="FW51" s="503">
        <f>(FW50-FB50)/FB50</f>
        <v>0.10640754281316143</v>
      </c>
      <c r="FX51" s="503"/>
      <c r="FY51" s="482">
        <f>+FY50/FB50-1</f>
        <v>4.1562439869155199E-2</v>
      </c>
      <c r="FZ51" s="618">
        <f>+FZ50/FC50-1</f>
        <v>0.10714285714285721</v>
      </c>
      <c r="GA51" s="618">
        <f>+GA50/FE50-1</f>
        <v>6.4967207028832963E-2</v>
      </c>
      <c r="GB51" s="482">
        <f>+GB50/FG50-1</f>
        <v>5.5738339461970154E-2</v>
      </c>
      <c r="GC51" s="618">
        <f>+GC50/FI50-1</f>
        <v>8.2853223593964298E-2</v>
      </c>
      <c r="GD51" s="483">
        <f>+GD50/FK50-1</f>
        <v>6.2731492334380468E-2</v>
      </c>
      <c r="GE51" s="618">
        <v>7.3655586290965358E-2</v>
      </c>
      <c r="GF51" s="482">
        <f>(GF50-FC50)/FC50</f>
        <v>0.17891816920943135</v>
      </c>
      <c r="GG51" s="482">
        <f>(GG50-FG50)/FG50</f>
        <v>5.5738339461970196E-2</v>
      </c>
      <c r="GH51" s="503">
        <f>(GH50-FI50)/FI50</f>
        <v>8.285322359396434E-2</v>
      </c>
      <c r="GI51" s="503">
        <f>(GI50-FK50)/FK50</f>
        <v>6.2731492334380426E-2</v>
      </c>
      <c r="GJ51" s="504"/>
      <c r="GK51" s="503">
        <f>(GK50-FS50)/FS50</f>
        <v>4.4237706474273782E-2</v>
      </c>
      <c r="GL51" s="624">
        <f>+GL50/FS50-1</f>
        <v>-4.9363964306056163E-3</v>
      </c>
      <c r="GM51" s="503">
        <f>(GM50-FV50)/FV50</f>
        <v>4.3353121064939736E-2</v>
      </c>
      <c r="GN51" s="503">
        <f>(GN50-FY50)/FY50</f>
        <v>1.9859597265841494E-2</v>
      </c>
      <c r="GO51" s="503">
        <f>+GO50/FV50-1</f>
        <v>2.8782155063860504E-2</v>
      </c>
      <c r="GP51" s="624">
        <f>+GP50/FY50-1</f>
        <v>1.237760945871047E-2</v>
      </c>
      <c r="GQ51" s="503">
        <f>(GQ50-FZ50)/FZ50</f>
        <v>3.3510804885687438E-2</v>
      </c>
      <c r="GR51" s="618">
        <f>+GR50/FZ50-1</f>
        <v>5.4337613529596096E-2</v>
      </c>
      <c r="GS51" s="618">
        <f>+GS50/GA50-1</f>
        <v>2.7945619335347338E-2</v>
      </c>
      <c r="GT51" s="661">
        <f>+GT50/GB50-1</f>
        <v>0.18991750687442721</v>
      </c>
      <c r="GU51" s="618">
        <f>+GU50/GC50-1</f>
        <v>0.11679756777299222</v>
      </c>
      <c r="GV51" s="620">
        <f>+GV50/GD50-1</f>
        <v>6.692548638990603E-2</v>
      </c>
      <c r="GW51" s="618">
        <v>3.674945956677108E-2</v>
      </c>
      <c r="GX51" s="503">
        <f>(GX50-GB50)/GB50</f>
        <v>0.18991750687442713</v>
      </c>
      <c r="GY51" s="503">
        <f>(GY50-GC50)/GC50</f>
        <v>0.11679756777299215</v>
      </c>
      <c r="GZ51" s="503">
        <f>(GZ50-GD50)/GD50</f>
        <v>6.692548638990603E-2</v>
      </c>
      <c r="HA51" s="505"/>
      <c r="HB51" s="503">
        <f>(HB50-GL50)/GL50</f>
        <v>0.10000000000000007</v>
      </c>
      <c r="HC51" s="503"/>
      <c r="HD51" s="503">
        <f>+HD50/GL50-1</f>
        <v>0.14043121541690518</v>
      </c>
      <c r="HE51" s="503"/>
      <c r="HF51" s="503">
        <f>+HF50/GO50-1</f>
        <v>0.10141633152649066</v>
      </c>
      <c r="HG51" s="503"/>
      <c r="HH51" s="503"/>
      <c r="HI51" s="503">
        <f>+HI50/GP50-1</f>
        <v>0.12007299270073002</v>
      </c>
      <c r="HJ51" s="503">
        <f>(HI50-GO50)/GO50</f>
        <v>1.1465291134813778</v>
      </c>
      <c r="HK51" s="503">
        <f>(HK50-GP50)/GP50</f>
        <v>0.66541970802919703</v>
      </c>
      <c r="HL51" s="503"/>
      <c r="HM51" s="503"/>
      <c r="HN51" s="618">
        <f>+HN50/GR50-1</f>
        <v>4.9754938363285373E-2</v>
      </c>
      <c r="HO51" s="618">
        <f>+HO50/GS50-1</f>
        <v>-0.70932007008421416</v>
      </c>
      <c r="HP51" s="618">
        <f>+HP50/GS50-1</f>
        <v>9.3313739897134429E-2</v>
      </c>
      <c r="HQ51" s="618">
        <f>+HQ50/GS50-1</f>
        <v>-0.20460068953823551</v>
      </c>
      <c r="HR51" s="618">
        <f>+HR50/GT50-1</f>
        <v>-3.4817439531659167E-2</v>
      </c>
      <c r="HS51" s="618"/>
      <c r="HT51" s="618">
        <f>+HT50/GU50-1</f>
        <v>8.2425892316999594E-3</v>
      </c>
      <c r="HU51" s="618"/>
      <c r="HV51" s="618">
        <f>+HV50/GV50-1</f>
        <v>5.8923255044657674E-2</v>
      </c>
      <c r="HW51" s="503">
        <f>(HW50-GR50)/GR50</f>
        <v>0.14999999999999997</v>
      </c>
      <c r="HX51" s="503">
        <f>(HX50-GT50)/GT50</f>
        <v>-3.4817439531659222E-2</v>
      </c>
      <c r="HY51" s="503">
        <f>(HY50-GU50)/GU50</f>
        <v>8.2425892316999403E-3</v>
      </c>
      <c r="HZ51" s="618"/>
      <c r="IA51" s="503">
        <v>8.7495865034733708E-2</v>
      </c>
      <c r="IB51" s="503">
        <f>(IB50-GV50)/GV50</f>
        <v>5.8923255044657626E-2</v>
      </c>
      <c r="IC51" s="505"/>
      <c r="ID51" s="503"/>
      <c r="IE51" s="506">
        <f>+IE50/HE50-1</f>
        <v>5.6869881710646109E-3</v>
      </c>
      <c r="IF51" s="503">
        <f>IF50/HH50-1</f>
        <v>5.7344508160564578E-2</v>
      </c>
      <c r="IG51" s="503">
        <f>IG50/HM50-1</f>
        <v>3.1914893617021267E-2</v>
      </c>
      <c r="IH51" s="503">
        <f>+IH50/HO50-1</f>
        <v>8.3608788644760068E-3</v>
      </c>
      <c r="II51" s="503"/>
      <c r="IJ51" s="503">
        <f>+IJ50/HQ50-1</f>
        <v>2.3307041853193988E-2</v>
      </c>
      <c r="IK51" s="503"/>
      <c r="IL51" s="503">
        <f>(IL50-HS50)/HS50</f>
        <v>0.12635299315219792</v>
      </c>
      <c r="IM51" s="503">
        <f>+IM50/HS50-1</f>
        <v>0.12635299315219783</v>
      </c>
      <c r="IN51" s="503">
        <f>IN50/HU50-1</f>
        <v>6.3598759048604014E-2</v>
      </c>
      <c r="IO51" s="503">
        <f>+IO50/HU50-1</f>
        <v>6.3598759048604014E-2</v>
      </c>
      <c r="IP51" s="501">
        <f>(IP50-HZ50)/HZ50</f>
        <v>4.8387096774193547E-2</v>
      </c>
      <c r="IQ51" s="503">
        <v>4.8387096774193547E-2</v>
      </c>
      <c r="IR51" s="501">
        <f>+IR50/HZ50-1</f>
        <v>4.8387096774193505E-2</v>
      </c>
      <c r="IS51" s="506"/>
      <c r="IT51" s="503">
        <f>(IT50-IE50)/IE50</f>
        <v>1.7869260348337482E-2</v>
      </c>
      <c r="IU51" s="503">
        <f>+IU50/IE50-1</f>
        <v>-4.7500565482921919E-3</v>
      </c>
      <c r="IV51" s="624">
        <f>(IV50-IF50)/IF50</f>
        <v>7.9057154776804334E-2</v>
      </c>
      <c r="IW51" s="503">
        <v>1.2515644555694619E-3</v>
      </c>
      <c r="IX51" s="503">
        <f>(IX50-IG50)/IG50</f>
        <v>3.8849701573521432E-2</v>
      </c>
      <c r="IY51" s="503">
        <v>-1.6277807921866521E-3</v>
      </c>
      <c r="IZ51" s="503">
        <f>(IZ50-IH50)/IH50</f>
        <v>8.7736212880833012E-2</v>
      </c>
      <c r="JA51" s="503">
        <f>(JA50-IJ50)/IJ50</f>
        <v>5.6454412887993889E-2</v>
      </c>
      <c r="JB51" s="503">
        <f>(JB50-IM50)/IM50</f>
        <v>2.9417532849578347E-3</v>
      </c>
      <c r="JC51" s="503">
        <f>(JC50-IO50)/IO50</f>
        <v>4.5697617890131256E-2</v>
      </c>
      <c r="JD51" s="503">
        <f>(JD50-IR50)/IR50</f>
        <v>4.246153846153846E-2</v>
      </c>
      <c r="JE51" s="503"/>
      <c r="JF51" s="503">
        <f>(JF50-IM50)/IM50</f>
        <v>2.9417532849578347E-3</v>
      </c>
      <c r="JG51" s="503">
        <f>(JG50-IO50)/IO50</f>
        <v>4.5697617890131256E-2</v>
      </c>
      <c r="JH51" s="501">
        <f>(JH50-IR50)/IR50</f>
        <v>4.246153846153846E-2</v>
      </c>
      <c r="JI51" s="506"/>
      <c r="JJ51" s="995">
        <f>+JJ53*0.35+JJ55*0.55</f>
        <v>5.6000000000000008E-2</v>
      </c>
      <c r="JK51" s="495">
        <f>+JK53*0.35+JK55*0.55</f>
        <v>6.8500000000000005E-2</v>
      </c>
      <c r="JL51" s="1670">
        <f>+JL50/IU50-1</f>
        <v>2.0909090909090988E-2</v>
      </c>
      <c r="JM51" s="1670">
        <f t="shared" ref="JM51" si="61">+JM50/IV50-1</f>
        <v>-8.9116566789097185E-2</v>
      </c>
      <c r="JN51" s="1670">
        <f>+JN50/IZ50-1</f>
        <v>7.8000354547065331E-3</v>
      </c>
      <c r="JO51" s="1670">
        <f>+JO50/JB50-1</f>
        <v>-1</v>
      </c>
      <c r="JP51" s="1670">
        <f>+JP50/IX50-1</f>
        <v>-3.8545910372923875E-2</v>
      </c>
      <c r="JQ51" s="1670">
        <f>+JQ50/JC50-1</f>
        <v>-1</v>
      </c>
      <c r="JR51" s="1670">
        <f>+JR50/JD50-1</f>
        <v>-1</v>
      </c>
      <c r="JS51" s="1670">
        <f>+JS50/JA50-1</f>
        <v>-2.1361903509925062E-2</v>
      </c>
      <c r="JT51" s="495">
        <f t="shared" ref="JT51" si="62">+JT53*0.35+JT55*0.55</f>
        <v>7.7499999999999999E-2</v>
      </c>
      <c r="JU51" s="495">
        <f>+JU50/JB50-1</f>
        <v>1.8967540086038293E-2</v>
      </c>
      <c r="JV51" s="1670">
        <f>+JV50/IX50-1</f>
        <v>4.3768933458685932E-2</v>
      </c>
      <c r="JW51" s="1670">
        <f>+JW50/JC50-1</f>
        <v>1.3110181311018154E-2</v>
      </c>
      <c r="JX51" s="1670">
        <f>+JX50/JD50-1</f>
        <v>-1.1216056670602104E-2</v>
      </c>
      <c r="JY51" s="1670">
        <f>+JY50/JA50-1</f>
        <v>5.9156040489023454E-3</v>
      </c>
      <c r="JZ51" s="503"/>
      <c r="KA51" s="501"/>
      <c r="KB51" s="1670"/>
      <c r="KC51" s="1670">
        <f>+KC50/IX50-1</f>
        <v>6.549670949545594E-2</v>
      </c>
      <c r="KD51" s="1670">
        <f>+KD50/JC50-1</f>
        <v>8.786610878661083E-2</v>
      </c>
      <c r="KE51" s="1670">
        <f>+KE50/JC50-1</f>
        <v>0.18047419804741982</v>
      </c>
      <c r="KF51" s="1670">
        <f>+KF50/JB50-1</f>
        <v>0.37094251075479079</v>
      </c>
      <c r="KG51" s="1670">
        <f>+KG50/JD50-1</f>
        <v>7.7331759149940948E-2</v>
      </c>
      <c r="KH51" s="1670">
        <f>+KH50/JD50-1</f>
        <v>7.7331759149940948E-2</v>
      </c>
      <c r="KI51" s="501"/>
      <c r="KJ51" s="503"/>
      <c r="KK51" s="503">
        <f>(KK50-IM50)/IM50</f>
        <v>-6.1384585212786821E-2</v>
      </c>
      <c r="KL51" s="503">
        <f>KL50/IO50-1</f>
        <v>1.3806514341273779E-2</v>
      </c>
      <c r="KM51" s="495">
        <f>KM50/IR50-1</f>
        <v>2.564102564102555E-2</v>
      </c>
      <c r="KN51" s="503"/>
      <c r="KO51" s="495">
        <v>4.1779706999457433E-2</v>
      </c>
      <c r="KP51" s="495">
        <v>1.1181332036946934E-2</v>
      </c>
      <c r="KQ51" s="496">
        <v>2.564102564102555E-2</v>
      </c>
      <c r="KR51" s="495">
        <v>0.11530506721820055</v>
      </c>
      <c r="KS51" s="496">
        <v>7.5268817204301008E-2</v>
      </c>
      <c r="KT51" s="495">
        <f>+KT50/HG50-1</f>
        <v>0.11339088316203405</v>
      </c>
      <c r="KU51" s="495">
        <f>+KU50/HL50-1</f>
        <v>6.0000000000000053E-2</v>
      </c>
      <c r="KV51" s="495" t="e">
        <f>+KV50/#REF!-1</f>
        <v>#REF!</v>
      </c>
      <c r="KW51" s="501">
        <f>+KW50/HZ50-1</f>
        <v>7.5268817204301008E-2</v>
      </c>
      <c r="KX51" s="495">
        <f>+KX50/GT50-1</f>
        <v>0.10244954552457242</v>
      </c>
      <c r="KY51" s="495">
        <f>+KY50/GU50-1</f>
        <v>7.5620084694494771E-2</v>
      </c>
      <c r="KZ51" s="501">
        <f>+KZ50/GV50-1</f>
        <v>9.5765795567317236E-2</v>
      </c>
      <c r="LA51" s="495">
        <f>+LA50/GP50-1</f>
        <v>4.9270072992700698E-2</v>
      </c>
      <c r="LB51" s="495">
        <f>+LB50/GU50-1</f>
        <v>2.0871143375680523E-2</v>
      </c>
      <c r="LC51" s="501">
        <f>+LC50/GV50-1</f>
        <v>3.3741316572940772E-2</v>
      </c>
      <c r="LD51" s="501">
        <f>+LD50/LC50-1</f>
        <v>-1</v>
      </c>
      <c r="LE51" s="624">
        <f>+LE50/GB50-1</f>
        <v>0.30284142988084328</v>
      </c>
      <c r="LF51" s="624">
        <f>+LF50/GC50-1</f>
        <v>0.16882020099653738</v>
      </c>
      <c r="LG51" s="501">
        <f>+LG50/GD50-1</f>
        <v>9.4101557330039221E-2</v>
      </c>
    </row>
    <row r="52" spans="1:319" s="498" customFormat="1" ht="12">
      <c r="A52" s="477"/>
      <c r="B52" s="478" t="s">
        <v>1024</v>
      </c>
      <c r="C52" s="481" t="s">
        <v>959</v>
      </c>
      <c r="D52" s="480"/>
      <c r="E52" s="477"/>
      <c r="F52" s="477"/>
      <c r="G52" s="481"/>
      <c r="H52" s="477"/>
      <c r="I52" s="477"/>
      <c r="J52" s="481"/>
      <c r="K52" s="484"/>
      <c r="L52" s="484"/>
      <c r="M52" s="484"/>
      <c r="N52" s="484"/>
      <c r="O52" s="484"/>
      <c r="P52" s="484"/>
      <c r="Q52" s="484"/>
      <c r="R52" s="484"/>
      <c r="S52" s="485"/>
      <c r="T52" s="484"/>
      <c r="U52" s="484"/>
      <c r="V52" s="484"/>
      <c r="W52" s="484"/>
      <c r="X52" s="484"/>
      <c r="Y52" s="484">
        <v>1857</v>
      </c>
      <c r="Z52" s="484">
        <f t="shared" ref="Z52:Z59" si="63">+AA52-Y52</f>
        <v>1440</v>
      </c>
      <c r="AA52" s="484">
        <v>3297</v>
      </c>
      <c r="AB52" s="485"/>
      <c r="AC52" s="484"/>
      <c r="AD52" s="484"/>
      <c r="AE52" s="484"/>
      <c r="AF52" s="484"/>
      <c r="AG52" s="484"/>
      <c r="AH52" s="484">
        <v>1642</v>
      </c>
      <c r="AI52" s="484">
        <f t="shared" ref="AI52:AI61" si="64">+AJ52-AH52</f>
        <v>1418</v>
      </c>
      <c r="AJ52" s="484">
        <v>3060</v>
      </c>
      <c r="AK52" s="480"/>
      <c r="AL52" s="484"/>
      <c r="AM52" s="584"/>
      <c r="AN52" s="584"/>
      <c r="AO52" s="584"/>
      <c r="AP52" s="584"/>
      <c r="AQ52" s="584">
        <v>1601</v>
      </c>
      <c r="AR52" s="584">
        <f t="shared" ref="AR52:AR61" si="65">+AS52-AQ52</f>
        <v>1356</v>
      </c>
      <c r="AS52" s="584">
        <v>2957</v>
      </c>
      <c r="AT52" s="497"/>
      <c r="AU52" s="585"/>
      <c r="AV52" s="584"/>
      <c r="AW52" s="584"/>
      <c r="AX52" s="584"/>
      <c r="AY52" s="584"/>
      <c r="AZ52" s="584"/>
      <c r="BA52" s="584"/>
      <c r="BB52" s="625"/>
      <c r="BC52" s="683"/>
      <c r="BD52" s="508">
        <v>3100</v>
      </c>
      <c r="BE52" s="584">
        <f>BE50-BE53-BE54-BE55</f>
        <v>1774.5999999999985</v>
      </c>
      <c r="BF52" s="480"/>
      <c r="BG52" s="484"/>
      <c r="BH52" s="484">
        <f>+BI52-BB52</f>
        <v>0</v>
      </c>
      <c r="BI52" s="484"/>
      <c r="BJ52" s="480"/>
      <c r="BK52" s="477">
        <v>1700</v>
      </c>
      <c r="BL52" s="477">
        <v>1500</v>
      </c>
      <c r="BM52" s="477">
        <v>3200</v>
      </c>
      <c r="BN52" s="477"/>
      <c r="BO52" s="480"/>
      <c r="BP52" s="585"/>
      <c r="BQ52" s="508"/>
      <c r="BR52" s="484"/>
      <c r="BS52" s="508"/>
      <c r="BT52" s="484"/>
      <c r="BU52" s="484"/>
      <c r="BV52" s="484"/>
      <c r="BW52" s="508"/>
      <c r="BX52" s="484"/>
      <c r="BY52" s="484"/>
      <c r="BZ52" s="508"/>
      <c r="CA52" s="508"/>
      <c r="CB52" s="484"/>
      <c r="CC52" s="484"/>
      <c r="CD52" s="484"/>
      <c r="CE52" s="807"/>
      <c r="CF52" s="480"/>
      <c r="CG52" s="509"/>
      <c r="CH52" s="477"/>
      <c r="CI52" s="477"/>
      <c r="CJ52" s="477"/>
      <c r="CK52" s="477"/>
      <c r="CL52" s="477"/>
      <c r="CM52" s="477"/>
      <c r="CN52" s="477"/>
      <c r="CO52" s="477"/>
      <c r="CP52" s="734"/>
      <c r="CQ52" s="477"/>
      <c r="CR52" s="477"/>
      <c r="CS52" s="477"/>
      <c r="CT52" s="477"/>
      <c r="CU52" s="477"/>
      <c r="CV52" s="477"/>
      <c r="CW52" s="808"/>
      <c r="CX52" s="510"/>
      <c r="CY52" s="510"/>
      <c r="CZ52" s="510"/>
      <c r="DA52" s="510"/>
      <c r="DB52" s="510"/>
      <c r="DC52" s="510"/>
      <c r="DD52" s="510"/>
      <c r="DE52" s="510">
        <f t="shared" si="42"/>
        <v>0</v>
      </c>
      <c r="DF52" s="510"/>
      <c r="DG52" s="510"/>
      <c r="DH52" s="510"/>
      <c r="DI52" s="510">
        <f t="shared" si="3"/>
        <v>0</v>
      </c>
      <c r="DJ52" s="510"/>
      <c r="DK52" s="510"/>
      <c r="DL52" s="809"/>
      <c r="DM52" s="767"/>
      <c r="DP52" s="810"/>
      <c r="DQ52" s="810"/>
      <c r="DR52" s="810"/>
      <c r="DS52" s="811"/>
      <c r="DT52" s="767"/>
      <c r="DX52" s="810"/>
      <c r="DY52" s="810"/>
      <c r="DZ52" s="497"/>
      <c r="EC52" s="810"/>
      <c r="ED52" s="809"/>
      <c r="EE52" s="480"/>
      <c r="EF52" s="477"/>
      <c r="EG52" s="509"/>
      <c r="EH52" s="477"/>
      <c r="EI52" s="477"/>
      <c r="EJ52" s="477"/>
      <c r="EK52" s="477"/>
      <c r="EL52" s="477"/>
      <c r="EM52" s="477"/>
      <c r="EN52" s="477"/>
      <c r="EO52" s="477"/>
      <c r="EQ52" s="477"/>
      <c r="ES52" s="477"/>
      <c r="EU52" s="481"/>
      <c r="EV52" s="356"/>
      <c r="EW52" s="477"/>
      <c r="EX52" s="477"/>
      <c r="EY52" s="477"/>
      <c r="EZ52" s="477"/>
      <c r="FA52" s="477"/>
      <c r="FB52" s="510"/>
      <c r="FC52" s="510"/>
      <c r="FD52" s="180"/>
      <c r="FE52" s="510"/>
      <c r="FF52" s="180"/>
      <c r="FG52" s="180"/>
      <c r="FH52" s="510"/>
      <c r="FI52" s="510"/>
      <c r="FJ52" s="477"/>
      <c r="FK52" s="481"/>
      <c r="FL52" s="809"/>
      <c r="FN52" s="812"/>
      <c r="FO52" s="812"/>
      <c r="FP52" s="812">
        <f>+FQ52-EK52</f>
        <v>0</v>
      </c>
      <c r="FQ52" s="811"/>
      <c r="FR52" s="811"/>
      <c r="FS52" s="477"/>
      <c r="FT52" s="810"/>
      <c r="FU52" s="810"/>
      <c r="FV52" s="477"/>
      <c r="FW52" s="810"/>
      <c r="FX52" s="810"/>
      <c r="FY52" s="477"/>
      <c r="FZ52" s="510"/>
      <c r="GA52" s="510"/>
      <c r="GB52" s="477"/>
      <c r="GC52" s="510"/>
      <c r="GD52" s="699"/>
      <c r="GE52" s="510"/>
      <c r="GF52" s="482"/>
      <c r="GG52" s="482"/>
      <c r="GH52" s="810"/>
      <c r="GI52" s="810"/>
      <c r="GJ52" s="813"/>
      <c r="GK52" s="810"/>
      <c r="GL52" s="810"/>
      <c r="GM52" s="810"/>
      <c r="GN52" s="810"/>
      <c r="GO52" s="810"/>
      <c r="GP52" s="810"/>
      <c r="GQ52" s="810"/>
      <c r="GR52" s="510"/>
      <c r="GS52" s="510"/>
      <c r="GT52" s="477"/>
      <c r="GU52" s="510"/>
      <c r="GV52" s="808"/>
      <c r="GW52" s="510"/>
      <c r="GX52" s="810"/>
      <c r="GY52" s="810"/>
      <c r="GZ52" s="810"/>
      <c r="HA52" s="813"/>
      <c r="HB52" s="810"/>
      <c r="HC52" s="810"/>
      <c r="HD52" s="810"/>
      <c r="HE52" s="810"/>
      <c r="HF52" s="810"/>
      <c r="HG52" s="810"/>
      <c r="HH52" s="810"/>
      <c r="HI52" s="810"/>
      <c r="HJ52" s="810"/>
      <c r="HK52" s="810"/>
      <c r="HL52" s="810"/>
      <c r="HM52" s="810"/>
      <c r="HN52" s="510"/>
      <c r="HO52" s="510"/>
      <c r="HP52" s="510"/>
      <c r="HQ52" s="510"/>
      <c r="HR52" s="510"/>
      <c r="HS52" s="510"/>
      <c r="HT52" s="510"/>
      <c r="HU52" s="510"/>
      <c r="HV52" s="734"/>
      <c r="HW52" s="810"/>
      <c r="HX52" s="810"/>
      <c r="HY52" s="810"/>
      <c r="HZ52" s="510"/>
      <c r="IA52" s="810"/>
      <c r="IB52" s="810"/>
      <c r="IC52" s="813"/>
      <c r="ID52" s="810"/>
      <c r="IE52" s="814"/>
      <c r="IF52" s="810"/>
      <c r="IG52" s="810"/>
      <c r="IH52" s="810"/>
      <c r="II52" s="810"/>
      <c r="IJ52" s="810"/>
      <c r="IK52" s="810"/>
      <c r="IL52" s="810"/>
      <c r="IM52" s="810"/>
      <c r="IN52" s="810"/>
      <c r="IO52" s="810"/>
      <c r="IP52" s="811"/>
      <c r="IQ52" s="810"/>
      <c r="IR52" s="811"/>
      <c r="IS52" s="1264"/>
      <c r="IT52" s="810"/>
      <c r="IU52" s="810"/>
      <c r="IV52" s="810"/>
      <c r="IW52" s="810"/>
      <c r="IX52" s="810"/>
      <c r="IY52" s="810"/>
      <c r="IZ52" s="810"/>
      <c r="JA52" s="810"/>
      <c r="JB52" s="810"/>
      <c r="JC52" s="810"/>
      <c r="JD52" s="810"/>
      <c r="JE52" s="810"/>
      <c r="JF52" s="810"/>
      <c r="JG52" s="810"/>
      <c r="JH52" s="811"/>
      <c r="JI52" s="1264"/>
      <c r="JJ52" s="1259"/>
      <c r="JK52" s="812"/>
      <c r="JL52" s="513" t="s">
        <v>1521</v>
      </c>
      <c r="JM52" s="812"/>
      <c r="JN52" s="812"/>
      <c r="JO52" s="812"/>
      <c r="JP52" s="812"/>
      <c r="JQ52" s="812"/>
      <c r="JR52" s="812"/>
      <c r="JS52" s="812"/>
      <c r="JT52" s="812"/>
      <c r="JU52" s="812"/>
      <c r="JV52" s="812"/>
      <c r="JW52" s="812"/>
      <c r="JX52" s="812"/>
      <c r="JY52" s="812"/>
      <c r="JZ52" s="23"/>
      <c r="KA52" s="355"/>
      <c r="KB52" s="2247"/>
      <c r="KC52" s="2247"/>
      <c r="KD52" s="2247"/>
      <c r="KE52" s="2247"/>
      <c r="KF52" s="2247"/>
      <c r="KG52" s="2247"/>
      <c r="KH52" s="2247"/>
      <c r="KI52" s="355"/>
      <c r="KJ52" s="23"/>
      <c r="KK52" s="810"/>
      <c r="KL52" s="812"/>
      <c r="KM52" s="812"/>
      <c r="KN52" s="23"/>
      <c r="KO52" s="812"/>
      <c r="KP52" s="812"/>
      <c r="KQ52" s="815"/>
      <c r="KR52" s="812"/>
      <c r="KS52" s="815"/>
      <c r="KT52" s="812"/>
      <c r="KU52" s="812"/>
      <c r="KV52" s="812"/>
      <c r="KW52" s="811"/>
      <c r="KX52" s="812"/>
      <c r="KY52" s="812"/>
      <c r="KZ52" s="811"/>
      <c r="LA52" s="812"/>
      <c r="LB52" s="812"/>
      <c r="LC52" s="811"/>
      <c r="LD52" s="811"/>
      <c r="LE52" s="812"/>
      <c r="LF52" s="812"/>
      <c r="LG52" s="811"/>
    </row>
    <row r="53" spans="1:319" s="498" customFormat="1" ht="12">
      <c r="A53" s="477"/>
      <c r="B53" s="478" t="s">
        <v>1025</v>
      </c>
      <c r="C53" s="481" t="s">
        <v>1442</v>
      </c>
      <c r="D53" s="480"/>
      <c r="E53" s="477"/>
      <c r="F53" s="477"/>
      <c r="G53" s="481"/>
      <c r="H53" s="477"/>
      <c r="I53" s="477"/>
      <c r="J53" s="481"/>
      <c r="K53" s="484"/>
      <c r="L53" s="484"/>
      <c r="M53" s="484"/>
      <c r="N53" s="484"/>
      <c r="O53" s="484"/>
      <c r="P53" s="484"/>
      <c r="Q53" s="484"/>
      <c r="R53" s="484"/>
      <c r="S53" s="485"/>
      <c r="T53" s="484"/>
      <c r="U53" s="484"/>
      <c r="V53" s="484"/>
      <c r="W53" s="484"/>
      <c r="X53" s="484"/>
      <c r="Y53" s="484">
        <v>1553</v>
      </c>
      <c r="Z53" s="484">
        <f t="shared" si="63"/>
        <v>1996</v>
      </c>
      <c r="AA53" s="484">
        <v>3549</v>
      </c>
      <c r="AB53" s="485"/>
      <c r="AC53" s="484"/>
      <c r="AD53" s="484"/>
      <c r="AE53" s="484"/>
      <c r="AF53" s="484"/>
      <c r="AG53" s="484"/>
      <c r="AH53" s="484">
        <v>1579</v>
      </c>
      <c r="AI53" s="484">
        <f t="shared" si="64"/>
        <v>1925</v>
      </c>
      <c r="AJ53" s="484">
        <v>3504</v>
      </c>
      <c r="AK53" s="480"/>
      <c r="AL53" s="484"/>
      <c r="AM53" s="584"/>
      <c r="AN53" s="584"/>
      <c r="AO53" s="584"/>
      <c r="AP53" s="584"/>
      <c r="AQ53" s="584">
        <v>1686</v>
      </c>
      <c r="AR53" s="584">
        <f t="shared" si="65"/>
        <v>2057</v>
      </c>
      <c r="AS53" s="584">
        <v>3743</v>
      </c>
      <c r="AT53" s="497"/>
      <c r="AU53" s="585"/>
      <c r="AV53" s="584"/>
      <c r="AW53" s="584"/>
      <c r="AX53" s="584"/>
      <c r="AY53" s="584"/>
      <c r="AZ53" s="584"/>
      <c r="BA53" s="584"/>
      <c r="BB53" s="625"/>
      <c r="BC53" s="683"/>
      <c r="BD53" s="508">
        <v>4000</v>
      </c>
      <c r="BE53" s="584">
        <f>BE50*0.2</f>
        <v>3549.2000000000003</v>
      </c>
      <c r="BF53" s="480"/>
      <c r="BG53" s="484"/>
      <c r="BH53" s="484">
        <f>+BI53-BB53</f>
        <v>0</v>
      </c>
      <c r="BI53" s="484"/>
      <c r="BJ53" s="480"/>
      <c r="BK53" s="477">
        <v>1800</v>
      </c>
      <c r="BL53" s="477">
        <v>2200</v>
      </c>
      <c r="BM53" s="477">
        <v>4000</v>
      </c>
      <c r="BN53" s="477"/>
      <c r="BO53" s="480"/>
      <c r="BP53" s="585"/>
      <c r="BQ53" s="508"/>
      <c r="BR53" s="484"/>
      <c r="BS53" s="508"/>
      <c r="BT53" s="484"/>
      <c r="BU53" s="484"/>
      <c r="BV53" s="484"/>
      <c r="BW53" s="508"/>
      <c r="BX53" s="484"/>
      <c r="BY53" s="484"/>
      <c r="BZ53" s="508"/>
      <c r="CA53" s="508"/>
      <c r="CB53" s="484"/>
      <c r="CC53" s="484"/>
      <c r="CD53" s="484"/>
      <c r="CE53" s="585"/>
      <c r="CF53" s="480"/>
      <c r="CG53" s="509"/>
      <c r="CH53" s="477"/>
      <c r="CI53" s="477"/>
      <c r="CJ53" s="477"/>
      <c r="CK53" s="477"/>
      <c r="CL53" s="477"/>
      <c r="CM53" s="477"/>
      <c r="CN53" s="477"/>
      <c r="CO53" s="477"/>
      <c r="CP53" s="734"/>
      <c r="CQ53" s="477"/>
      <c r="CR53" s="477"/>
      <c r="CS53" s="477"/>
      <c r="CT53" s="477"/>
      <c r="CU53" s="477"/>
      <c r="CV53" s="477"/>
      <c r="CW53" s="808">
        <f>CW50*0.23</f>
        <v>4210.6100000000006</v>
      </c>
      <c r="CX53" s="510"/>
      <c r="CY53" s="510"/>
      <c r="CZ53" s="510"/>
      <c r="DA53" s="510"/>
      <c r="DB53" s="510"/>
      <c r="DC53" s="510"/>
      <c r="DD53" s="510"/>
      <c r="DE53" s="510">
        <f t="shared" si="42"/>
        <v>4500</v>
      </c>
      <c r="DF53" s="510"/>
      <c r="DG53" s="510"/>
      <c r="DH53" s="510"/>
      <c r="DI53" s="510">
        <f t="shared" si="3"/>
        <v>4500</v>
      </c>
      <c r="DJ53" s="510"/>
      <c r="DK53" s="510">
        <v>4500</v>
      </c>
      <c r="DL53" s="511"/>
      <c r="DM53" s="512"/>
      <c r="DN53" s="484"/>
      <c r="DO53" s="484"/>
      <c r="DP53" s="513"/>
      <c r="DQ53" s="513"/>
      <c r="DR53" s="513"/>
      <c r="DS53" s="514"/>
      <c r="DT53" s="512"/>
      <c r="DU53" s="484"/>
      <c r="DV53" s="484"/>
      <c r="DX53" s="513"/>
      <c r="DY53" s="513"/>
      <c r="DZ53" s="497"/>
      <c r="EC53" s="513"/>
      <c r="ED53" s="511"/>
      <c r="EE53" s="480"/>
      <c r="EF53" s="477"/>
      <c r="EG53" s="509" t="s">
        <v>1226</v>
      </c>
      <c r="EH53" s="477"/>
      <c r="EI53" s="477"/>
      <c r="EJ53" s="477"/>
      <c r="EK53" s="477"/>
      <c r="EL53" s="477"/>
      <c r="EM53" s="477"/>
      <c r="EN53" s="477"/>
      <c r="EO53" s="477"/>
      <c r="EQ53" s="477"/>
      <c r="ES53" s="477"/>
      <c r="EU53" s="481"/>
      <c r="EV53" s="517"/>
      <c r="EW53" s="477"/>
      <c r="EX53" s="477">
        <v>0.12</v>
      </c>
      <c r="EY53" s="477"/>
      <c r="EZ53" s="477"/>
      <c r="FA53" s="477"/>
      <c r="FB53" s="510"/>
      <c r="FC53" s="510"/>
      <c r="FD53" s="618"/>
      <c r="FE53" s="510"/>
      <c r="FF53" s="618"/>
      <c r="FG53" s="618"/>
      <c r="FH53" s="510"/>
      <c r="FI53" s="510"/>
      <c r="FJ53" s="477"/>
      <c r="FK53" s="816" t="s">
        <v>1310</v>
      </c>
      <c r="FL53" s="511"/>
      <c r="FM53" s="484"/>
      <c r="FN53" s="513"/>
      <c r="FO53" s="513"/>
      <c r="FP53" s="513">
        <f>+FQ53-EK53</f>
        <v>0</v>
      </c>
      <c r="FQ53" s="514"/>
      <c r="FR53" s="514"/>
      <c r="FS53" s="817" t="s">
        <v>1419</v>
      </c>
      <c r="FT53" s="513"/>
      <c r="FU53" s="513"/>
      <c r="FV53" s="477"/>
      <c r="FW53" s="513"/>
      <c r="FX53" s="513"/>
      <c r="FY53" s="817" t="s">
        <v>1420</v>
      </c>
      <c r="FZ53" s="510"/>
      <c r="GA53" s="510"/>
      <c r="GB53" s="477"/>
      <c r="GC53" s="510"/>
      <c r="GD53" s="737" t="s">
        <v>1298</v>
      </c>
      <c r="GE53" s="510"/>
      <c r="GF53" s="817"/>
      <c r="GG53" s="817"/>
      <c r="GH53" s="513"/>
      <c r="GI53" s="513"/>
      <c r="GJ53" s="518"/>
      <c r="GK53" s="513"/>
      <c r="GL53" s="513" t="s">
        <v>1304</v>
      </c>
      <c r="GM53" s="513"/>
      <c r="GN53" s="513"/>
      <c r="GO53" s="513"/>
      <c r="GP53" s="818" t="s">
        <v>1310</v>
      </c>
      <c r="GQ53" s="818"/>
      <c r="GR53" s="510"/>
      <c r="GS53" s="484" t="s">
        <v>1317</v>
      </c>
      <c r="GT53" s="817" t="s">
        <v>1326</v>
      </c>
      <c r="GU53" s="510"/>
      <c r="GV53" s="819" t="s">
        <v>1310</v>
      </c>
      <c r="GW53" s="484"/>
      <c r="GX53" s="818"/>
      <c r="GY53" s="513"/>
      <c r="GZ53" s="513"/>
      <c r="HA53" s="518"/>
      <c r="HB53" s="513"/>
      <c r="HC53" s="513"/>
      <c r="HD53" s="513"/>
      <c r="HE53" s="721"/>
      <c r="HF53" s="513"/>
      <c r="HG53" s="513"/>
      <c r="HH53" s="513"/>
      <c r="HI53" s="721" t="s">
        <v>1335</v>
      </c>
      <c r="HJ53" s="513"/>
      <c r="HK53" s="513"/>
      <c r="HL53" s="721"/>
      <c r="HM53" s="721"/>
      <c r="HN53" s="510"/>
      <c r="HO53" s="510"/>
      <c r="HP53" s="820" t="s">
        <v>1345</v>
      </c>
      <c r="HQ53" s="820"/>
      <c r="HR53" s="736"/>
      <c r="HS53" s="736"/>
      <c r="HT53" s="510"/>
      <c r="HU53" s="510"/>
      <c r="HV53" s="821" t="s">
        <v>1362</v>
      </c>
      <c r="HW53" s="513"/>
      <c r="HX53" s="818"/>
      <c r="HY53" s="513"/>
      <c r="HZ53" s="736"/>
      <c r="IA53" s="513"/>
      <c r="IB53" s="513"/>
      <c r="IC53" s="518"/>
      <c r="ID53" s="513"/>
      <c r="IE53" s="519" t="s">
        <v>1372</v>
      </c>
      <c r="IF53" s="713"/>
      <c r="IG53" s="719" t="s">
        <v>1336</v>
      </c>
      <c r="IH53" s="719"/>
      <c r="II53" s="719"/>
      <c r="IJ53" s="721" t="s">
        <v>1300</v>
      </c>
      <c r="IK53" s="721"/>
      <c r="IL53" s="719"/>
      <c r="IM53" s="719"/>
      <c r="IN53" s="513"/>
      <c r="IO53" s="513"/>
      <c r="IP53" s="514"/>
      <c r="IQ53" s="513"/>
      <c r="IR53" s="822" t="s">
        <v>1336</v>
      </c>
      <c r="IS53" s="718"/>
      <c r="IT53" s="513"/>
      <c r="IU53" s="818" t="s">
        <v>1230</v>
      </c>
      <c r="IV53" s="513"/>
      <c r="IW53" s="513"/>
      <c r="IX53" s="818" t="s">
        <v>1316</v>
      </c>
      <c r="IY53" s="513"/>
      <c r="IZ53" s="513"/>
      <c r="JA53" s="513"/>
      <c r="JB53" s="513"/>
      <c r="JC53" s="513"/>
      <c r="JD53" s="719" t="s">
        <v>1230</v>
      </c>
      <c r="JE53" s="513"/>
      <c r="JF53" s="513"/>
      <c r="JG53" s="513"/>
      <c r="JH53" s="514"/>
      <c r="JI53" s="718"/>
      <c r="JJ53" s="1667">
        <v>0.05</v>
      </c>
      <c r="JK53" s="1668">
        <v>7.0000000000000007E-2</v>
      </c>
      <c r="JL53" s="2241">
        <v>-0.08</v>
      </c>
      <c r="JM53" s="2241"/>
      <c r="JN53" s="2241"/>
      <c r="JO53" s="2241"/>
      <c r="JP53" s="2241">
        <v>-0.1</v>
      </c>
      <c r="JQ53" s="2241"/>
      <c r="JR53" s="2241"/>
      <c r="JS53" s="2241"/>
      <c r="JT53" s="1668">
        <v>0.08</v>
      </c>
      <c r="JU53" s="1668">
        <v>0.08</v>
      </c>
      <c r="JV53" s="1641">
        <f>+JL53/2+JK53/2</f>
        <v>-4.9999999999999975E-3</v>
      </c>
      <c r="JW53" s="1641">
        <f>+JU53/2+JN53/2</f>
        <v>0.04</v>
      </c>
      <c r="JX53" s="1641">
        <f>+JP53/2+JW53/2</f>
        <v>-3.0000000000000002E-2</v>
      </c>
      <c r="JY53" s="1641"/>
      <c r="JZ53" s="719"/>
      <c r="KA53" s="1275"/>
      <c r="KB53" s="2248"/>
      <c r="KC53" s="2248"/>
      <c r="KD53" s="2248"/>
      <c r="KE53" s="2248"/>
      <c r="KF53" s="2248"/>
      <c r="KG53" s="2249" t="s">
        <v>1435</v>
      </c>
      <c r="KH53" s="2249" t="s">
        <v>1435</v>
      </c>
      <c r="KI53" s="1275"/>
      <c r="KJ53" s="719"/>
      <c r="KK53" s="513"/>
      <c r="KL53" s="513"/>
      <c r="KM53" s="818" t="s">
        <v>1300</v>
      </c>
      <c r="KN53" s="719"/>
      <c r="KO53" s="818"/>
      <c r="KP53" s="513"/>
      <c r="KQ53" s="514" t="s">
        <v>1300</v>
      </c>
      <c r="KR53" s="513"/>
      <c r="KS53" s="514"/>
      <c r="KT53" s="513"/>
      <c r="KU53" s="513"/>
      <c r="KV53" s="513"/>
      <c r="KW53" s="514"/>
      <c r="KX53" s="513"/>
      <c r="KY53" s="513"/>
      <c r="KZ53" s="514"/>
      <c r="LA53" s="513"/>
      <c r="LB53" s="513"/>
      <c r="LC53" s="514"/>
      <c r="LD53" s="514"/>
      <c r="LE53" s="513"/>
      <c r="LF53" s="513"/>
      <c r="LG53" s="514"/>
    </row>
    <row r="54" spans="1:319" s="498" customFormat="1" ht="12">
      <c r="A54" s="477"/>
      <c r="B54" s="478" t="s">
        <v>1026</v>
      </c>
      <c r="C54" s="481" t="s">
        <v>958</v>
      </c>
      <c r="D54" s="823"/>
      <c r="E54" s="824"/>
      <c r="F54" s="824"/>
      <c r="G54" s="479"/>
      <c r="H54" s="824"/>
      <c r="I54" s="824"/>
      <c r="J54" s="479"/>
      <c r="K54" s="484"/>
      <c r="L54" s="484"/>
      <c r="M54" s="484"/>
      <c r="N54" s="484"/>
      <c r="O54" s="484"/>
      <c r="P54" s="484"/>
      <c r="Q54" s="484"/>
      <c r="R54" s="484"/>
      <c r="S54" s="485"/>
      <c r="T54" s="484"/>
      <c r="U54" s="484"/>
      <c r="V54" s="484"/>
      <c r="W54" s="484"/>
      <c r="X54" s="484"/>
      <c r="Y54" s="484">
        <v>1803</v>
      </c>
      <c r="Z54" s="484">
        <f t="shared" si="63"/>
        <v>970</v>
      </c>
      <c r="AA54" s="484">
        <v>2773</v>
      </c>
      <c r="AB54" s="485"/>
      <c r="AC54" s="484"/>
      <c r="AD54" s="484"/>
      <c r="AE54" s="484"/>
      <c r="AF54" s="484"/>
      <c r="AG54" s="484"/>
      <c r="AH54" s="484">
        <v>1177</v>
      </c>
      <c r="AI54" s="484">
        <f t="shared" si="64"/>
        <v>1292</v>
      </c>
      <c r="AJ54" s="484">
        <v>2469</v>
      </c>
      <c r="AK54" s="823"/>
      <c r="AL54" s="484"/>
      <c r="AM54" s="484"/>
      <c r="AN54" s="484"/>
      <c r="AO54" s="484"/>
      <c r="AP54" s="484"/>
      <c r="AQ54" s="484">
        <v>1135</v>
      </c>
      <c r="AR54" s="484">
        <f t="shared" si="65"/>
        <v>1316</v>
      </c>
      <c r="AS54" s="484">
        <v>2451</v>
      </c>
      <c r="AT54" s="823"/>
      <c r="AU54" s="585"/>
      <c r="AV54" s="584"/>
      <c r="AW54" s="584"/>
      <c r="AX54" s="584"/>
      <c r="AY54" s="584"/>
      <c r="AZ54" s="584"/>
      <c r="BA54" s="584"/>
      <c r="BB54" s="625"/>
      <c r="BC54" s="683"/>
      <c r="BD54" s="508">
        <v>2600</v>
      </c>
      <c r="BE54" s="584">
        <f>BE50*0.2</f>
        <v>3549.2000000000003</v>
      </c>
      <c r="BF54" s="823"/>
      <c r="BG54" s="484"/>
      <c r="BH54" s="484">
        <f>+BI54-BB54</f>
        <v>0</v>
      </c>
      <c r="BI54" s="484"/>
      <c r="BJ54" s="823"/>
      <c r="BK54" s="477">
        <v>1200</v>
      </c>
      <c r="BL54" s="477">
        <v>1400</v>
      </c>
      <c r="BM54" s="477">
        <v>2600</v>
      </c>
      <c r="BN54" s="477"/>
      <c r="BO54" s="823"/>
      <c r="BP54" s="585"/>
      <c r="BQ54" s="508"/>
      <c r="BR54" s="484"/>
      <c r="BS54" s="508"/>
      <c r="BT54" s="484"/>
      <c r="BU54" s="484"/>
      <c r="BV54" s="484"/>
      <c r="BW54" s="508"/>
      <c r="BX54" s="484"/>
      <c r="BY54" s="484"/>
      <c r="BZ54" s="508"/>
      <c r="CA54" s="508"/>
      <c r="CB54" s="484"/>
      <c r="CC54" s="484"/>
      <c r="CD54" s="484"/>
      <c r="CE54" s="585"/>
      <c r="CF54" s="823"/>
      <c r="CG54" s="825"/>
      <c r="CH54" s="824"/>
      <c r="CI54" s="824"/>
      <c r="CJ54" s="824"/>
      <c r="CK54" s="824"/>
      <c r="CL54" s="824"/>
      <c r="CM54" s="824"/>
      <c r="CN54" s="824"/>
      <c r="CO54" s="824"/>
      <c r="CP54" s="826"/>
      <c r="CQ54" s="824"/>
      <c r="CR54" s="824"/>
      <c r="CS54" s="824"/>
      <c r="CT54" s="824"/>
      <c r="CU54" s="824"/>
      <c r="CV54" s="824"/>
      <c r="CW54" s="827"/>
      <c r="CX54" s="749"/>
      <c r="CY54" s="749"/>
      <c r="CZ54" s="749"/>
      <c r="DA54" s="749"/>
      <c r="DB54" s="749"/>
      <c r="DC54" s="749"/>
      <c r="DD54" s="749"/>
      <c r="DE54" s="749">
        <f t="shared" si="42"/>
        <v>0</v>
      </c>
      <c r="DF54" s="749"/>
      <c r="DG54" s="749"/>
      <c r="DH54" s="749"/>
      <c r="DI54" s="749">
        <f t="shared" si="3"/>
        <v>0</v>
      </c>
      <c r="DJ54" s="749"/>
      <c r="DK54" s="749"/>
      <c r="DL54" s="511"/>
      <c r="DM54" s="512"/>
      <c r="DN54" s="484"/>
      <c r="DO54" s="484"/>
      <c r="DP54" s="513"/>
      <c r="DQ54" s="513"/>
      <c r="DR54" s="513"/>
      <c r="DS54" s="514"/>
      <c r="DT54" s="512"/>
      <c r="DU54" s="484"/>
      <c r="DV54" s="484"/>
      <c r="DX54" s="513"/>
      <c r="DY54" s="513"/>
      <c r="DZ54" s="828"/>
      <c r="EC54" s="513"/>
      <c r="ED54" s="511"/>
      <c r="EE54" s="823"/>
      <c r="EF54" s="477"/>
      <c r="EG54" s="509"/>
      <c r="EH54" s="477"/>
      <c r="EI54" s="477"/>
      <c r="EJ54" s="477"/>
      <c r="EK54" s="477"/>
      <c r="EL54" s="477"/>
      <c r="EM54" s="477"/>
      <c r="EN54" s="477"/>
      <c r="EO54" s="477"/>
      <c r="EQ54" s="477"/>
      <c r="ES54" s="477"/>
      <c r="EU54" s="481"/>
      <c r="EV54" s="517"/>
      <c r="EW54" s="477"/>
      <c r="EX54" s="477"/>
      <c r="EY54" s="477"/>
      <c r="EZ54" s="477"/>
      <c r="FA54" s="477"/>
      <c r="FB54" s="510"/>
      <c r="FC54" s="510"/>
      <c r="FD54" s="510"/>
      <c r="FE54" s="510"/>
      <c r="FF54" s="510"/>
      <c r="FG54" s="510"/>
      <c r="FH54" s="510"/>
      <c r="FI54" s="510"/>
      <c r="FJ54" s="477"/>
      <c r="FK54" s="481"/>
      <c r="FL54" s="511"/>
      <c r="FM54" s="484"/>
      <c r="FN54" s="513"/>
      <c r="FO54" s="513"/>
      <c r="FP54" s="513">
        <f>+FQ54-EK54</f>
        <v>0</v>
      </c>
      <c r="FQ54" s="514"/>
      <c r="FR54" s="514"/>
      <c r="FS54" s="477"/>
      <c r="FT54" s="513"/>
      <c r="FU54" s="513"/>
      <c r="FV54" s="477"/>
      <c r="FW54" s="513"/>
      <c r="FX54" s="513"/>
      <c r="FY54" s="477"/>
      <c r="FZ54" s="510"/>
      <c r="GA54" s="477"/>
      <c r="GB54" s="477"/>
      <c r="GC54" s="510"/>
      <c r="GD54" s="699"/>
      <c r="GE54" s="477"/>
      <c r="GF54" s="477"/>
      <c r="GG54" s="477"/>
      <c r="GH54" s="513"/>
      <c r="GI54" s="513"/>
      <c r="GJ54" s="518"/>
      <c r="GK54" s="513"/>
      <c r="GL54" s="513"/>
      <c r="GM54" s="513"/>
      <c r="GN54" s="513"/>
      <c r="GO54" s="513"/>
      <c r="GP54" s="513"/>
      <c r="GQ54" s="513"/>
      <c r="GR54" s="510"/>
      <c r="GS54" s="477"/>
      <c r="GT54" s="477"/>
      <c r="GU54" s="510"/>
      <c r="GV54" s="808"/>
      <c r="GW54" s="477"/>
      <c r="GX54" s="513"/>
      <c r="GY54" s="513"/>
      <c r="GZ54" s="513"/>
      <c r="HA54" s="518"/>
      <c r="HB54" s="513"/>
      <c r="HC54" s="513"/>
      <c r="HD54" s="513"/>
      <c r="HE54" s="790"/>
      <c r="HF54" s="513"/>
      <c r="HG54" s="513"/>
      <c r="HH54" s="513"/>
      <c r="HI54" s="790"/>
      <c r="HJ54" s="513"/>
      <c r="HK54" s="513"/>
      <c r="HL54" s="790"/>
      <c r="HM54" s="790"/>
      <c r="HN54" s="510"/>
      <c r="HO54" s="510"/>
      <c r="HP54" s="477"/>
      <c r="HQ54" s="477"/>
      <c r="HR54" s="510"/>
      <c r="HS54" s="510"/>
      <c r="HT54" s="510"/>
      <c r="HU54" s="510"/>
      <c r="HV54" s="734"/>
      <c r="HW54" s="513"/>
      <c r="HX54" s="513"/>
      <c r="HY54" s="513"/>
      <c r="HZ54" s="510"/>
      <c r="IA54" s="513"/>
      <c r="IB54" s="513"/>
      <c r="IC54" s="518"/>
      <c r="ID54" s="513"/>
      <c r="IE54" s="519"/>
      <c r="IF54" s="713"/>
      <c r="IG54" s="713"/>
      <c r="IH54" s="713"/>
      <c r="II54" s="713"/>
      <c r="IJ54" s="713"/>
      <c r="IK54" s="713"/>
      <c r="IL54" s="713"/>
      <c r="IM54" s="713"/>
      <c r="IN54" s="513"/>
      <c r="IO54" s="513"/>
      <c r="IP54" s="514"/>
      <c r="IQ54" s="513"/>
      <c r="IR54" s="514"/>
      <c r="IS54" s="784"/>
      <c r="IT54" s="513"/>
      <c r="IU54" s="513"/>
      <c r="IV54" s="513"/>
      <c r="IW54" s="513"/>
      <c r="IX54" s="513"/>
      <c r="IY54" s="513"/>
      <c r="IZ54" s="513"/>
      <c r="JA54" s="513"/>
      <c r="JB54" s="513"/>
      <c r="JC54" s="513"/>
      <c r="JD54" s="713"/>
      <c r="JE54" s="513"/>
      <c r="JF54" s="513"/>
      <c r="JG54" s="513"/>
      <c r="JH54" s="514"/>
      <c r="JI54" s="784"/>
      <c r="JJ54" s="519"/>
      <c r="JK54" s="513"/>
      <c r="JL54" s="2274">
        <f>0.35*(1+JL53)+0.55*(1+JL55)+0.1</f>
        <v>1.0297500000000002</v>
      </c>
      <c r="JM54" s="513"/>
      <c r="JN54" s="513"/>
      <c r="JO54" s="513"/>
      <c r="JP54" s="513"/>
      <c r="JQ54" s="513"/>
      <c r="JR54" s="513"/>
      <c r="JS54" s="513"/>
      <c r="JT54" s="513"/>
      <c r="JU54" s="513"/>
      <c r="JV54" s="513"/>
      <c r="JW54" s="513"/>
      <c r="JX54" s="513"/>
      <c r="JY54" s="513"/>
      <c r="JZ54" s="713"/>
      <c r="KA54" s="517"/>
      <c r="KB54" s="2250"/>
      <c r="KC54" s="2250"/>
      <c r="KD54" s="2250"/>
      <c r="KE54" s="2250"/>
      <c r="KF54" s="2250"/>
      <c r="KG54" s="2250"/>
      <c r="KH54" s="2250"/>
      <c r="KI54" s="517"/>
      <c r="KJ54" s="713"/>
      <c r="KK54" s="513"/>
      <c r="KL54" s="513"/>
      <c r="KM54" s="513"/>
      <c r="KN54" s="713"/>
      <c r="KO54" s="513"/>
      <c r="KP54" s="513"/>
      <c r="KQ54" s="514"/>
      <c r="KR54" s="513"/>
      <c r="KS54" s="514"/>
      <c r="KT54" s="513"/>
      <c r="KU54" s="513"/>
      <c r="KV54" s="513"/>
      <c r="KW54" s="514"/>
      <c r="KX54" s="513"/>
      <c r="KY54" s="513"/>
      <c r="KZ54" s="514"/>
      <c r="LA54" s="513"/>
      <c r="LB54" s="513"/>
      <c r="LC54" s="514"/>
      <c r="LD54" s="514"/>
      <c r="LE54" s="513"/>
      <c r="LF54" s="513"/>
      <c r="LG54" s="514"/>
    </row>
    <row r="55" spans="1:319" s="498" customFormat="1" ht="12">
      <c r="A55" s="477"/>
      <c r="B55" s="478" t="s">
        <v>1070</v>
      </c>
      <c r="C55" s="481" t="s">
        <v>1441</v>
      </c>
      <c r="D55" s="823"/>
      <c r="E55" s="824"/>
      <c r="F55" s="824"/>
      <c r="G55" s="479"/>
      <c r="H55" s="824"/>
      <c r="I55" s="824"/>
      <c r="J55" s="479"/>
      <c r="K55" s="484"/>
      <c r="L55" s="484"/>
      <c r="M55" s="484"/>
      <c r="N55" s="484"/>
      <c r="O55" s="484"/>
      <c r="P55" s="484"/>
      <c r="Q55" s="484"/>
      <c r="R55" s="484"/>
      <c r="S55" s="485"/>
      <c r="T55" s="484"/>
      <c r="U55" s="484"/>
      <c r="V55" s="484"/>
      <c r="W55" s="484"/>
      <c r="X55" s="484"/>
      <c r="Y55" s="484">
        <v>4791</v>
      </c>
      <c r="Z55" s="484">
        <f t="shared" si="63"/>
        <v>4542</v>
      </c>
      <c r="AA55" s="484">
        <v>9333</v>
      </c>
      <c r="AB55" s="485"/>
      <c r="AC55" s="484"/>
      <c r="AD55" s="484"/>
      <c r="AE55" s="484"/>
      <c r="AF55" s="484"/>
      <c r="AG55" s="484"/>
      <c r="AH55" s="484">
        <v>4587</v>
      </c>
      <c r="AI55" s="484">
        <f t="shared" si="64"/>
        <v>4405</v>
      </c>
      <c r="AJ55" s="484">
        <v>8992</v>
      </c>
      <c r="AK55" s="823"/>
      <c r="AL55" s="484"/>
      <c r="AM55" s="484"/>
      <c r="AN55" s="484"/>
      <c r="AO55" s="484"/>
      <c r="AP55" s="484"/>
      <c r="AQ55" s="484">
        <v>3398</v>
      </c>
      <c r="AR55" s="484">
        <f t="shared" si="65"/>
        <v>4655</v>
      </c>
      <c r="AS55" s="484">
        <v>8053</v>
      </c>
      <c r="AT55" s="823"/>
      <c r="AU55" s="585"/>
      <c r="AV55" s="584"/>
      <c r="AW55" s="584"/>
      <c r="AX55" s="584"/>
      <c r="AY55" s="584"/>
      <c r="AZ55" s="584"/>
      <c r="BA55" s="584"/>
      <c r="BB55" s="625"/>
      <c r="BC55" s="683"/>
      <c r="BD55" s="508">
        <v>8300</v>
      </c>
      <c r="BE55" s="584">
        <f>BE50*0.5</f>
        <v>8873</v>
      </c>
      <c r="BF55" s="823"/>
      <c r="BG55" s="484"/>
      <c r="BH55" s="484">
        <f>+BI55-BB55</f>
        <v>0</v>
      </c>
      <c r="BI55" s="484"/>
      <c r="BJ55" s="823"/>
      <c r="BK55" s="477">
        <v>4000</v>
      </c>
      <c r="BL55" s="477">
        <v>4300</v>
      </c>
      <c r="BM55" s="477">
        <v>8300</v>
      </c>
      <c r="BN55" s="477"/>
      <c r="BO55" s="823"/>
      <c r="BP55" s="585"/>
      <c r="BQ55" s="508"/>
      <c r="BR55" s="484"/>
      <c r="BS55" s="508"/>
      <c r="BT55" s="484"/>
      <c r="BU55" s="484"/>
      <c r="BV55" s="484"/>
      <c r="BW55" s="508"/>
      <c r="BX55" s="484"/>
      <c r="BY55" s="484"/>
      <c r="BZ55" s="508"/>
      <c r="CA55" s="508"/>
      <c r="CB55" s="484"/>
      <c r="CC55" s="484"/>
      <c r="CD55" s="484"/>
      <c r="CE55" s="585"/>
      <c r="CF55" s="823"/>
      <c r="CG55" s="825"/>
      <c r="CH55" s="824"/>
      <c r="CI55" s="824"/>
      <c r="CJ55" s="824"/>
      <c r="CK55" s="824"/>
      <c r="CL55" s="824"/>
      <c r="CM55" s="824"/>
      <c r="CN55" s="824"/>
      <c r="CO55" s="824"/>
      <c r="CP55" s="826"/>
      <c r="CQ55" s="824"/>
      <c r="CR55" s="824"/>
      <c r="CS55" s="824"/>
      <c r="CT55" s="824"/>
      <c r="CU55" s="824"/>
      <c r="CV55" s="824"/>
      <c r="CW55" s="827">
        <f>CW50*0.5</f>
        <v>9153.5</v>
      </c>
      <c r="CX55" s="749"/>
      <c r="CY55" s="749"/>
      <c r="CZ55" s="749"/>
      <c r="DA55" s="749"/>
      <c r="DB55" s="749"/>
      <c r="DC55" s="749"/>
      <c r="DD55" s="749"/>
      <c r="DE55" s="749">
        <f t="shared" si="42"/>
        <v>10200</v>
      </c>
      <c r="DF55" s="749"/>
      <c r="DG55" s="749"/>
      <c r="DH55" s="749"/>
      <c r="DI55" s="749">
        <f t="shared" si="3"/>
        <v>10200</v>
      </c>
      <c r="DJ55" s="749"/>
      <c r="DK55" s="749">
        <v>10200</v>
      </c>
      <c r="DL55" s="511"/>
      <c r="DM55" s="512"/>
      <c r="DN55" s="484"/>
      <c r="DO55" s="484"/>
      <c r="DP55" s="513"/>
      <c r="DQ55" s="513"/>
      <c r="DR55" s="513"/>
      <c r="DS55" s="514"/>
      <c r="DT55" s="512"/>
      <c r="DU55" s="484"/>
      <c r="DV55" s="484"/>
      <c r="DX55" s="513"/>
      <c r="DY55" s="513"/>
      <c r="DZ55" s="828"/>
      <c r="EC55" s="513"/>
      <c r="ED55" s="511"/>
      <c r="EE55" s="823"/>
      <c r="EF55" s="477"/>
      <c r="EG55" s="509" t="s">
        <v>1226</v>
      </c>
      <c r="EH55" s="477"/>
      <c r="EI55" s="477"/>
      <c r="EJ55" s="477"/>
      <c r="EK55" s="477"/>
      <c r="EL55" s="477"/>
      <c r="EM55" s="477"/>
      <c r="EN55" s="477"/>
      <c r="EO55" s="477"/>
      <c r="EQ55" s="477"/>
      <c r="ES55" s="477"/>
      <c r="EU55" s="481"/>
      <c r="EV55" s="517"/>
      <c r="EW55" s="477"/>
      <c r="EX55" s="477">
        <v>0.01</v>
      </c>
      <c r="EY55" s="477"/>
      <c r="EZ55" s="477"/>
      <c r="FA55" s="477"/>
      <c r="FB55" s="510"/>
      <c r="FC55" s="510"/>
      <c r="FD55" s="510"/>
      <c r="FE55" s="510"/>
      <c r="FF55" s="510"/>
      <c r="FG55" s="510"/>
      <c r="FH55" s="510"/>
      <c r="FI55" s="510"/>
      <c r="FJ55" s="477"/>
      <c r="FK55" s="816" t="s">
        <v>1325</v>
      </c>
      <c r="FL55" s="511"/>
      <c r="FM55" s="484"/>
      <c r="FN55" s="513"/>
      <c r="FO55" s="513"/>
      <c r="FP55" s="513">
        <f>+FQ55-EK55</f>
        <v>0</v>
      </c>
      <c r="FQ55" s="514"/>
      <c r="FR55" s="514"/>
      <c r="FS55" s="817" t="s">
        <v>1421</v>
      </c>
      <c r="FT55" s="513"/>
      <c r="FU55" s="513"/>
      <c r="FV55" s="477"/>
      <c r="FW55" s="513"/>
      <c r="FX55" s="513"/>
      <c r="FY55" s="817" t="s">
        <v>1336</v>
      </c>
      <c r="FZ55" s="510"/>
      <c r="GA55" s="477"/>
      <c r="GB55" s="477"/>
      <c r="GC55" s="510"/>
      <c r="GD55" s="737" t="s">
        <v>1299</v>
      </c>
      <c r="GE55" s="477"/>
      <c r="GF55" s="817"/>
      <c r="GG55" s="817"/>
      <c r="GH55" s="513"/>
      <c r="GI55" s="513"/>
      <c r="GJ55" s="518"/>
      <c r="GK55" s="513"/>
      <c r="GL55" s="513" t="s">
        <v>1304</v>
      </c>
      <c r="GM55" s="513"/>
      <c r="GN55" s="513"/>
      <c r="GO55" s="513"/>
      <c r="GP55" s="818" t="s">
        <v>1230</v>
      </c>
      <c r="GQ55" s="818"/>
      <c r="GR55" s="510"/>
      <c r="GS55" s="484" t="s">
        <v>1316</v>
      </c>
      <c r="GT55" s="817" t="s">
        <v>1327</v>
      </c>
      <c r="GU55" s="510"/>
      <c r="GV55" s="819" t="s">
        <v>1326</v>
      </c>
      <c r="GW55" s="484"/>
      <c r="GX55" s="818"/>
      <c r="GY55" s="513"/>
      <c r="GZ55" s="513"/>
      <c r="HA55" s="518"/>
      <c r="HB55" s="513"/>
      <c r="HC55" s="513"/>
      <c r="HD55" s="513"/>
      <c r="HE55" s="721"/>
      <c r="HF55" s="513"/>
      <c r="HG55" s="513"/>
      <c r="HH55" s="513"/>
      <c r="HI55" s="721" t="s">
        <v>1326</v>
      </c>
      <c r="HJ55" s="513"/>
      <c r="HK55" s="513"/>
      <c r="HL55" s="721"/>
      <c r="HM55" s="721"/>
      <c r="HN55" s="510"/>
      <c r="HO55" s="510"/>
      <c r="HP55" s="820" t="s">
        <v>1346</v>
      </c>
      <c r="HQ55" s="820"/>
      <c r="HR55" s="736"/>
      <c r="HS55" s="736"/>
      <c r="HT55" s="510"/>
      <c r="HU55" s="510"/>
      <c r="HV55" s="821" t="s">
        <v>1361</v>
      </c>
      <c r="HW55" s="513"/>
      <c r="HX55" s="818"/>
      <c r="HY55" s="513"/>
      <c r="HZ55" s="736"/>
      <c r="IA55" s="513"/>
      <c r="IB55" s="513"/>
      <c r="IC55" s="518"/>
      <c r="ID55" s="513"/>
      <c r="IE55" s="829" t="s">
        <v>1373</v>
      </c>
      <c r="IF55" s="719" t="s">
        <v>1380</v>
      </c>
      <c r="IG55" s="719" t="s">
        <v>1310</v>
      </c>
      <c r="IH55" s="719" t="s">
        <v>1384</v>
      </c>
      <c r="II55" s="719"/>
      <c r="IJ55" s="721" t="s">
        <v>1383</v>
      </c>
      <c r="IK55" s="721"/>
      <c r="IL55" s="719"/>
      <c r="IM55" s="719" t="s">
        <v>1362</v>
      </c>
      <c r="IN55" s="818"/>
      <c r="IO55" s="818"/>
      <c r="IP55" s="514"/>
      <c r="IQ55" s="818"/>
      <c r="IR55" s="822" t="s">
        <v>1310</v>
      </c>
      <c r="IS55" s="718"/>
      <c r="IT55" s="818"/>
      <c r="IU55" s="818" t="s">
        <v>1325</v>
      </c>
      <c r="IV55" s="818"/>
      <c r="IW55" s="818"/>
      <c r="IX55" s="818" t="s">
        <v>1316</v>
      </c>
      <c r="IY55" s="818"/>
      <c r="IZ55" s="818"/>
      <c r="JA55" s="818"/>
      <c r="JB55" s="818"/>
      <c r="JC55" s="818"/>
      <c r="JD55" s="719" t="s">
        <v>1420</v>
      </c>
      <c r="JE55" s="818"/>
      <c r="JF55" s="818"/>
      <c r="JG55" s="818"/>
      <c r="JH55" s="514"/>
      <c r="JI55" s="718"/>
      <c r="JJ55" s="1667">
        <v>7.0000000000000007E-2</v>
      </c>
      <c r="JK55" s="1668">
        <v>0.08</v>
      </c>
      <c r="JL55" s="2241">
        <v>0.105</v>
      </c>
      <c r="JM55" s="2241"/>
      <c r="JN55" s="2241"/>
      <c r="JO55" s="2241"/>
      <c r="JP55" s="2241">
        <v>0</v>
      </c>
      <c r="JQ55" s="2241"/>
      <c r="JR55" s="2241"/>
      <c r="JS55" s="2241"/>
      <c r="JT55" s="1668">
        <v>0.09</v>
      </c>
      <c r="JU55" s="1668">
        <v>0.09</v>
      </c>
      <c r="JV55" s="1641">
        <f>+JL55/2+JK55/2</f>
        <v>9.2499999999999999E-2</v>
      </c>
      <c r="JW55" s="1641">
        <f>+JU55/2+JN55/2</f>
        <v>4.4999999999999998E-2</v>
      </c>
      <c r="JX55" s="1641">
        <f>+JP55/2+JW55/2</f>
        <v>2.2499999999999999E-2</v>
      </c>
      <c r="JY55" s="1641"/>
      <c r="JZ55" s="719"/>
      <c r="KA55" s="1275"/>
      <c r="KB55" s="2248"/>
      <c r="KC55" s="2248"/>
      <c r="KD55" s="2248"/>
      <c r="KE55" s="2248"/>
      <c r="KF55" s="2248"/>
      <c r="KG55" s="2249" t="s">
        <v>1435</v>
      </c>
      <c r="KH55" s="2249" t="s">
        <v>1435</v>
      </c>
      <c r="KI55" s="1275"/>
      <c r="KJ55" s="719"/>
      <c r="KK55" s="513"/>
      <c r="KL55" s="513"/>
      <c r="KM55" s="818" t="s">
        <v>1395</v>
      </c>
      <c r="KN55" s="719"/>
      <c r="KO55" s="818"/>
      <c r="KP55" s="513"/>
      <c r="KQ55" s="514" t="s">
        <v>1395</v>
      </c>
      <c r="KR55" s="513"/>
      <c r="KS55" s="514"/>
      <c r="KT55" s="513"/>
      <c r="KU55" s="513"/>
      <c r="KV55" s="513"/>
      <c r="KW55" s="514"/>
      <c r="KX55" s="513"/>
      <c r="KY55" s="513"/>
      <c r="KZ55" s="514"/>
      <c r="LA55" s="513"/>
      <c r="LB55" s="513"/>
      <c r="LC55" s="514"/>
      <c r="LD55" s="514"/>
      <c r="LE55" s="513"/>
      <c r="LF55" s="513"/>
      <c r="LG55" s="514" t="s">
        <v>1318</v>
      </c>
    </row>
    <row r="56" spans="1:319" s="498" customFormat="1">
      <c r="A56" s="477"/>
      <c r="B56" s="478" t="s">
        <v>196</v>
      </c>
      <c r="C56" s="481" t="s">
        <v>647</v>
      </c>
      <c r="D56" s="480"/>
      <c r="E56" s="477"/>
      <c r="F56" s="477"/>
      <c r="G56" s="481"/>
      <c r="H56" s="477"/>
      <c r="I56" s="477"/>
      <c r="J56" s="481"/>
      <c r="K56" s="484"/>
      <c r="L56" s="484"/>
      <c r="M56" s="484"/>
      <c r="N56" s="484"/>
      <c r="O56" s="484"/>
      <c r="P56" s="484"/>
      <c r="Q56" s="484"/>
      <c r="R56" s="484"/>
      <c r="S56" s="485"/>
      <c r="T56" s="484"/>
      <c r="U56" s="484"/>
      <c r="V56" s="484"/>
      <c r="W56" s="484"/>
      <c r="X56" s="484"/>
      <c r="Y56" s="484">
        <v>242</v>
      </c>
      <c r="Z56" s="484">
        <f t="shared" si="63"/>
        <v>67</v>
      </c>
      <c r="AA56" s="484">
        <v>309</v>
      </c>
      <c r="AB56" s="485"/>
      <c r="AC56" s="484"/>
      <c r="AD56" s="484"/>
      <c r="AE56" s="484"/>
      <c r="AF56" s="484"/>
      <c r="AG56" s="484"/>
      <c r="AH56" s="484">
        <v>175</v>
      </c>
      <c r="AI56" s="484">
        <f t="shared" si="64"/>
        <v>133</v>
      </c>
      <c r="AJ56" s="484">
        <v>308</v>
      </c>
      <c r="AK56" s="480"/>
      <c r="AL56" s="484"/>
      <c r="AM56" s="484"/>
      <c r="AN56" s="484"/>
      <c r="AO56" s="484"/>
      <c r="AP56" s="484"/>
      <c r="AQ56" s="484">
        <v>22</v>
      </c>
      <c r="AR56" s="484">
        <f t="shared" si="65"/>
        <v>9</v>
      </c>
      <c r="AS56" s="484">
        <v>31</v>
      </c>
      <c r="AT56" s="480"/>
      <c r="AU56" s="585"/>
      <c r="AV56" s="584"/>
      <c r="AW56" s="584"/>
      <c r="AX56" s="584"/>
      <c r="AY56" s="584"/>
      <c r="AZ56" s="584"/>
      <c r="BA56" s="584"/>
      <c r="BB56" s="625"/>
      <c r="BC56" s="683"/>
      <c r="BD56" s="508">
        <v>0</v>
      </c>
      <c r="BE56" s="584"/>
      <c r="BF56" s="480"/>
      <c r="BG56" s="484"/>
      <c r="BH56" s="484"/>
      <c r="BI56" s="484"/>
      <c r="BJ56" s="480"/>
      <c r="BK56" s="477"/>
      <c r="BL56" s="477"/>
      <c r="BM56" s="477"/>
      <c r="BN56" s="477"/>
      <c r="BO56" s="480"/>
      <c r="BP56" s="585"/>
      <c r="BQ56" s="508"/>
      <c r="BR56" s="484"/>
      <c r="BS56" s="508"/>
      <c r="BT56" s="484"/>
      <c r="BU56" s="484"/>
      <c r="BV56" s="484"/>
      <c r="BW56" s="508"/>
      <c r="BX56" s="484"/>
      <c r="BY56" s="484"/>
      <c r="BZ56" s="508"/>
      <c r="CA56" s="508"/>
      <c r="CB56" s="484"/>
      <c r="CC56" s="484"/>
      <c r="CD56" s="484"/>
      <c r="CE56" s="585"/>
      <c r="CF56" s="480"/>
      <c r="CG56" s="509"/>
      <c r="CH56" s="477"/>
      <c r="CI56" s="477"/>
      <c r="CJ56" s="477"/>
      <c r="CK56" s="477"/>
      <c r="CL56" s="477"/>
      <c r="CM56" s="477"/>
      <c r="CN56" s="477"/>
      <c r="CO56" s="477"/>
      <c r="CP56" s="734"/>
      <c r="CQ56" s="477"/>
      <c r="CR56" s="477"/>
      <c r="CS56" s="477"/>
      <c r="CT56" s="477"/>
      <c r="CU56" s="477"/>
      <c r="CV56" s="477"/>
      <c r="CW56" s="808"/>
      <c r="CX56" s="510"/>
      <c r="CY56" s="510"/>
      <c r="CZ56" s="510"/>
      <c r="DA56" s="510"/>
      <c r="DB56" s="510"/>
      <c r="DC56" s="510"/>
      <c r="DD56" s="510"/>
      <c r="DE56" s="510">
        <f t="shared" si="42"/>
        <v>0</v>
      </c>
      <c r="DF56" s="510"/>
      <c r="DG56" s="510"/>
      <c r="DH56" s="510"/>
      <c r="DI56" s="510">
        <f t="shared" si="3"/>
        <v>0</v>
      </c>
      <c r="DJ56" s="510"/>
      <c r="DK56" s="510"/>
      <c r="DL56" s="511"/>
      <c r="DM56" s="512"/>
      <c r="DN56" s="484"/>
      <c r="DO56" s="484"/>
      <c r="DP56" s="513"/>
      <c r="DQ56" s="513"/>
      <c r="DR56" s="513"/>
      <c r="DS56" s="514"/>
      <c r="DT56" s="512"/>
      <c r="DU56" s="484"/>
      <c r="DV56" s="484"/>
      <c r="DX56" s="513"/>
      <c r="DY56" s="513"/>
      <c r="DZ56" s="497"/>
      <c r="EC56" s="513"/>
      <c r="ED56" s="511"/>
      <c r="EE56" s="480"/>
      <c r="EF56" s="477"/>
      <c r="EG56" s="509"/>
      <c r="EH56" s="477"/>
      <c r="EI56" s="477"/>
      <c r="EJ56" s="477"/>
      <c r="EK56" s="477"/>
      <c r="EL56" s="477"/>
      <c r="EM56" s="477"/>
      <c r="EN56" s="477"/>
      <c r="EO56" s="477"/>
      <c r="EQ56" s="477"/>
      <c r="ES56" s="477"/>
      <c r="EU56" s="481"/>
      <c r="EV56" s="517"/>
      <c r="EW56" s="477"/>
      <c r="EX56" s="477"/>
      <c r="EY56" s="477"/>
      <c r="EZ56" s="477"/>
      <c r="FA56" s="477"/>
      <c r="FB56" s="510"/>
      <c r="FC56" s="510"/>
      <c r="FD56" s="510"/>
      <c r="FE56" s="510"/>
      <c r="FF56" s="510"/>
      <c r="FG56" s="510"/>
      <c r="FH56" s="510"/>
      <c r="FI56" s="510"/>
      <c r="FJ56" s="477"/>
      <c r="FK56" s="481"/>
      <c r="FL56" s="511"/>
      <c r="FM56" s="484"/>
      <c r="FN56" s="513"/>
      <c r="FO56" s="513"/>
      <c r="FP56" s="513">
        <f>+FQ56-EK56</f>
        <v>0</v>
      </c>
      <c r="FQ56" s="514"/>
      <c r="FR56" s="514"/>
      <c r="FS56" s="477"/>
      <c r="FT56" s="513"/>
      <c r="FU56" s="513"/>
      <c r="FV56" s="477"/>
      <c r="FW56" s="513"/>
      <c r="FX56" s="513"/>
      <c r="FY56" s="477"/>
      <c r="FZ56" s="510"/>
      <c r="GA56" s="477"/>
      <c r="GB56" s="477"/>
      <c r="GC56" s="510"/>
      <c r="GD56" s="699"/>
      <c r="GE56" s="477"/>
      <c r="GF56" s="477"/>
      <c r="GG56" s="477"/>
      <c r="GH56" s="513"/>
      <c r="GI56" s="513"/>
      <c r="GJ56" s="518"/>
      <c r="GK56" s="513"/>
      <c r="GL56" s="513"/>
      <c r="GM56" s="513"/>
      <c r="GN56" s="513"/>
      <c r="GO56" s="513"/>
      <c r="GP56" s="513"/>
      <c r="GQ56" s="513"/>
      <c r="GR56" s="510"/>
      <c r="GS56" s="477"/>
      <c r="GT56" s="477"/>
      <c r="GU56" s="510"/>
      <c r="GV56" s="808"/>
      <c r="GW56" s="477"/>
      <c r="GX56" s="513"/>
      <c r="GY56" s="513"/>
      <c r="GZ56" s="513"/>
      <c r="HA56" s="518"/>
      <c r="HB56" s="513"/>
      <c r="HC56" s="513"/>
      <c r="HD56" s="513"/>
      <c r="HE56" s="790"/>
      <c r="HF56" s="513"/>
      <c r="HG56" s="513"/>
      <c r="HH56" s="513"/>
      <c r="HI56" s="790"/>
      <c r="HJ56" s="513"/>
      <c r="HK56" s="513"/>
      <c r="HL56" s="790"/>
      <c r="HM56" s="790"/>
      <c r="HN56" s="510"/>
      <c r="HO56" s="510"/>
      <c r="HP56" s="477"/>
      <c r="HQ56" s="477"/>
      <c r="HR56" s="510"/>
      <c r="HS56" s="510"/>
      <c r="HT56" s="510"/>
      <c r="HU56" s="510"/>
      <c r="HV56" s="734"/>
      <c r="HW56" s="513"/>
      <c r="HX56" s="513"/>
      <c r="HY56" s="513"/>
      <c r="HZ56" s="510"/>
      <c r="IA56" s="513"/>
      <c r="IB56" s="513"/>
      <c r="IC56" s="518"/>
      <c r="ID56" s="513"/>
      <c r="IE56" s="519"/>
      <c r="IF56" s="713"/>
      <c r="IG56" s="713"/>
      <c r="IH56" s="713"/>
      <c r="II56" s="713"/>
      <c r="IJ56" s="713"/>
      <c r="IK56" s="713"/>
      <c r="IL56" s="713"/>
      <c r="IM56" s="713"/>
      <c r="IN56" s="513"/>
      <c r="IO56" s="513"/>
      <c r="IP56" s="514"/>
      <c r="IQ56" s="513"/>
      <c r="IR56" s="514"/>
      <c r="IS56" s="784"/>
      <c r="IT56" s="513"/>
      <c r="IU56" s="513"/>
      <c r="IV56" s="513"/>
      <c r="IW56" s="513"/>
      <c r="IX56" s="513"/>
      <c r="IY56" s="513"/>
      <c r="IZ56" s="513"/>
      <c r="JA56" s="513"/>
      <c r="JB56" s="513"/>
      <c r="JC56" s="513"/>
      <c r="JD56" s="513"/>
      <c r="JE56" s="513"/>
      <c r="JF56" s="513"/>
      <c r="JG56" s="513"/>
      <c r="JH56" s="514"/>
      <c r="JI56" s="784"/>
      <c r="JJ56" s="519"/>
      <c r="JK56" s="513"/>
      <c r="JL56" s="513" t="s">
        <v>1520</v>
      </c>
      <c r="JM56" s="513"/>
      <c r="JN56" s="513"/>
      <c r="JO56" s="513"/>
      <c r="JP56" s="513"/>
      <c r="JQ56" s="513"/>
      <c r="JR56" s="513"/>
      <c r="JS56" s="513"/>
      <c r="JT56" s="513"/>
      <c r="JU56" s="513"/>
      <c r="JV56" s="513"/>
      <c r="JW56" s="513"/>
      <c r="JX56" s="513"/>
      <c r="JY56" s="513"/>
      <c r="JZ56" s="713"/>
      <c r="KA56" s="517"/>
      <c r="KB56" s="513"/>
      <c r="KC56" s="513"/>
      <c r="KD56" s="513"/>
      <c r="KE56" s="513"/>
      <c r="KF56" s="513"/>
      <c r="KG56" s="513"/>
      <c r="KH56" s="513"/>
      <c r="KI56" s="517"/>
      <c r="KJ56" s="713"/>
      <c r="KK56" s="513"/>
      <c r="KL56" s="513"/>
      <c r="KM56" s="513"/>
      <c r="KN56" s="713"/>
      <c r="KO56" s="513"/>
      <c r="KP56" s="513"/>
      <c r="KQ56" s="514"/>
      <c r="KR56" s="513"/>
      <c r="KS56" s="514"/>
      <c r="KT56" s="513"/>
      <c r="KU56" s="513"/>
      <c r="KV56" s="513"/>
      <c r="KW56" s="514"/>
      <c r="KX56" s="513"/>
      <c r="KY56" s="513"/>
      <c r="KZ56" s="514"/>
      <c r="LA56" s="513"/>
      <c r="LB56" s="513"/>
      <c r="LC56" s="514"/>
      <c r="LD56" s="514"/>
      <c r="LE56" s="513"/>
      <c r="LF56" s="513"/>
      <c r="LG56" s="514"/>
    </row>
    <row r="57" spans="1:319" s="532" customFormat="1">
      <c r="A57" s="520"/>
      <c r="B57" s="796" t="s">
        <v>632</v>
      </c>
      <c r="C57" s="522" t="s">
        <v>428</v>
      </c>
      <c r="D57" s="523"/>
      <c r="E57" s="520"/>
      <c r="F57" s="520"/>
      <c r="G57" s="522"/>
      <c r="H57" s="520"/>
      <c r="I57" s="520"/>
      <c r="J57" s="522"/>
      <c r="K57" s="524"/>
      <c r="L57" s="524"/>
      <c r="M57" s="524"/>
      <c r="N57" s="524"/>
      <c r="O57" s="524"/>
      <c r="P57" s="524"/>
      <c r="Q57" s="524"/>
      <c r="R57" s="524"/>
      <c r="S57" s="525"/>
      <c r="T57" s="524">
        <v>3300</v>
      </c>
      <c r="U57" s="524">
        <f>+Y57-T57</f>
        <v>3300</v>
      </c>
      <c r="V57" s="524">
        <f>+X57-Y57</f>
        <v>3400</v>
      </c>
      <c r="W57" s="524">
        <f>+Z57-V57</f>
        <v>2950</v>
      </c>
      <c r="X57" s="524">
        <v>10000</v>
      </c>
      <c r="Y57" s="524">
        <v>6600</v>
      </c>
      <c r="Z57" s="524">
        <f t="shared" si="63"/>
        <v>6350</v>
      </c>
      <c r="AA57" s="524">
        <v>12950</v>
      </c>
      <c r="AB57" s="525"/>
      <c r="AC57" s="524">
        <v>3227</v>
      </c>
      <c r="AD57" s="524">
        <f>+AH57-AC57</f>
        <v>3303</v>
      </c>
      <c r="AE57" s="524">
        <f>+AG57-AH57</f>
        <v>3349</v>
      </c>
      <c r="AF57" s="524">
        <f>+AI57-AE57</f>
        <v>4963</v>
      </c>
      <c r="AG57" s="524">
        <v>9879</v>
      </c>
      <c r="AH57" s="524">
        <v>6530</v>
      </c>
      <c r="AI57" s="524">
        <f t="shared" si="64"/>
        <v>8312</v>
      </c>
      <c r="AJ57" s="524">
        <v>14842</v>
      </c>
      <c r="AK57" s="523"/>
      <c r="AL57" s="524">
        <v>3745</v>
      </c>
      <c r="AM57" s="524">
        <f>+AQ57-AL57</f>
        <v>3849</v>
      </c>
      <c r="AN57" s="524">
        <f>+AP57-AQ57</f>
        <v>3842</v>
      </c>
      <c r="AO57" s="524">
        <f>+AR57-AN57</f>
        <v>3385</v>
      </c>
      <c r="AP57" s="524">
        <v>11436</v>
      </c>
      <c r="AQ57" s="524">
        <v>7594</v>
      </c>
      <c r="AR57" s="524">
        <f t="shared" si="65"/>
        <v>7227</v>
      </c>
      <c r="AS57" s="524">
        <v>14821</v>
      </c>
      <c r="AT57" s="523"/>
      <c r="AU57" s="524">
        <v>3774</v>
      </c>
      <c r="AV57" s="524">
        <f>+BB57-AU57</f>
        <v>3840</v>
      </c>
      <c r="AW57" s="524">
        <f>+BA57-BB57</f>
        <v>3877</v>
      </c>
      <c r="AX57" s="524">
        <v>3586</v>
      </c>
      <c r="AY57" s="524">
        <f>+BC57-AW57</f>
        <v>3427</v>
      </c>
      <c r="AZ57" s="524">
        <v>11200</v>
      </c>
      <c r="BA57" s="524">
        <v>11491</v>
      </c>
      <c r="BB57" s="526">
        <v>7614</v>
      </c>
      <c r="BC57" s="526">
        <f>+BE57-BB57</f>
        <v>7304</v>
      </c>
      <c r="BD57" s="524">
        <v>15000</v>
      </c>
      <c r="BE57" s="524">
        <v>14918</v>
      </c>
      <c r="BF57" s="523"/>
      <c r="BG57" s="524">
        <f>+BH57-AW57</f>
        <v>-11491</v>
      </c>
      <c r="BH57" s="524">
        <f>+BI57-BB57</f>
        <v>-7614</v>
      </c>
      <c r="BI57" s="524"/>
      <c r="BJ57" s="523"/>
      <c r="BK57" s="520">
        <v>7800</v>
      </c>
      <c r="BL57" s="520">
        <v>7500</v>
      </c>
      <c r="BM57" s="520">
        <v>15300</v>
      </c>
      <c r="BN57" s="520"/>
      <c r="BO57" s="523"/>
      <c r="BP57" s="524">
        <v>3934</v>
      </c>
      <c r="BQ57" s="524">
        <v>3600</v>
      </c>
      <c r="BR57" s="524">
        <f t="shared" ref="BR57:BR59" si="66">+BY57-BP57</f>
        <v>4001</v>
      </c>
      <c r="BS57" s="524">
        <v>4000</v>
      </c>
      <c r="BT57" s="524">
        <f t="shared" ref="BT57:BT59" si="67">+BX57-BY57</f>
        <v>3888</v>
      </c>
      <c r="BU57" s="524">
        <v>3177</v>
      </c>
      <c r="BV57" s="524">
        <f>CC57-BT57</f>
        <v>3436</v>
      </c>
      <c r="BW57" s="524">
        <v>11935</v>
      </c>
      <c r="BX57" s="524">
        <v>11823</v>
      </c>
      <c r="BY57" s="524">
        <v>7935</v>
      </c>
      <c r="BZ57" s="524">
        <v>7400</v>
      </c>
      <c r="CA57" s="524">
        <v>7734</v>
      </c>
      <c r="CB57" s="524">
        <v>7065</v>
      </c>
      <c r="CC57" s="524">
        <f>CE57-BY57</f>
        <v>7324</v>
      </c>
      <c r="CD57" s="524">
        <v>15000</v>
      </c>
      <c r="CE57" s="524">
        <v>15259</v>
      </c>
      <c r="CF57" s="523"/>
      <c r="CG57" s="527">
        <v>3927</v>
      </c>
      <c r="CH57" s="520">
        <v>4000</v>
      </c>
      <c r="CI57" s="520"/>
      <c r="CJ57" s="520">
        <f>CR57-CG57</f>
        <v>4030</v>
      </c>
      <c r="CK57" s="520">
        <v>4000</v>
      </c>
      <c r="CL57" s="528">
        <f>CP57-CR57</f>
        <v>3987</v>
      </c>
      <c r="CM57" s="520">
        <v>4000</v>
      </c>
      <c r="CN57" s="520">
        <v>3656</v>
      </c>
      <c r="CO57" s="520">
        <f>CW57-CP57</f>
        <v>3631</v>
      </c>
      <c r="CP57" s="520">
        <v>11944</v>
      </c>
      <c r="CQ57" s="520">
        <v>11957</v>
      </c>
      <c r="CR57" s="542">
        <v>7957</v>
      </c>
      <c r="CS57" s="542">
        <v>7927</v>
      </c>
      <c r="CT57" s="520">
        <v>7643</v>
      </c>
      <c r="CU57" s="520">
        <f t="shared" ref="CU57:CU61" si="68">CW57-CR57</f>
        <v>7618</v>
      </c>
      <c r="CV57" s="520">
        <v>15600</v>
      </c>
      <c r="CW57" s="522">
        <v>15575</v>
      </c>
      <c r="CX57" s="520"/>
      <c r="CY57" s="520">
        <v>4025</v>
      </c>
      <c r="CZ57" s="520">
        <f>+DB57-CY57</f>
        <v>4216</v>
      </c>
      <c r="DA57" s="520" t="e">
        <f>+CY57+#REF!</f>
        <v>#REF!</v>
      </c>
      <c r="DB57" s="520">
        <v>8241</v>
      </c>
      <c r="DC57" s="520">
        <f>+DG57-DB57</f>
        <v>4216</v>
      </c>
      <c r="DD57" s="520">
        <v>4300</v>
      </c>
      <c r="DE57" s="520">
        <f t="shared" si="42"/>
        <v>3749</v>
      </c>
      <c r="DF57" s="520">
        <f>DJ57-DC57</f>
        <v>3643</v>
      </c>
      <c r="DG57" s="520">
        <v>12457</v>
      </c>
      <c r="DH57" s="520">
        <f>+DD57+DB57</f>
        <v>12541</v>
      </c>
      <c r="DI57" s="520">
        <f t="shared" si="3"/>
        <v>7965</v>
      </c>
      <c r="DJ57" s="520">
        <f>DL57-DB57</f>
        <v>7859</v>
      </c>
      <c r="DK57" s="520">
        <v>16206</v>
      </c>
      <c r="DL57" s="529">
        <v>16100</v>
      </c>
      <c r="DM57" s="529"/>
      <c r="DN57" s="524"/>
      <c r="DO57" s="524"/>
      <c r="DP57" s="530"/>
      <c r="DQ57" s="530">
        <f t="shared" ref="DQ57:DQ59" si="69">+DR57-DC57</f>
        <v>3443</v>
      </c>
      <c r="DR57" s="530">
        <f>+DS57-DB57</f>
        <v>7659</v>
      </c>
      <c r="DS57" s="531">
        <v>15900</v>
      </c>
      <c r="DT57" s="529"/>
      <c r="DU57" s="524"/>
      <c r="DV57" s="524">
        <f>DW57-CY57</f>
        <v>3975</v>
      </c>
      <c r="DW57" s="528">
        <v>8000</v>
      </c>
      <c r="DX57" s="530">
        <f>DY57-DB57</f>
        <v>7359</v>
      </c>
      <c r="DY57" s="530">
        <v>15600</v>
      </c>
      <c r="DZ57" s="523"/>
      <c r="EB57" s="528">
        <f>ED57-CP57</f>
        <v>3656</v>
      </c>
      <c r="EC57" s="530">
        <f>ED57-CR57</f>
        <v>7643</v>
      </c>
      <c r="ED57" s="529">
        <v>15600</v>
      </c>
      <c r="EE57" s="523"/>
      <c r="EF57" s="520"/>
      <c r="EG57" s="527">
        <v>4231</v>
      </c>
      <c r="EH57" s="520">
        <v>4300</v>
      </c>
      <c r="EI57" s="520">
        <f t="shared" ref="EI57:EI59" si="70">+EK57-EG57</f>
        <v>4427</v>
      </c>
      <c r="EJ57" s="520">
        <v>4500</v>
      </c>
      <c r="EK57" s="520">
        <v>8658</v>
      </c>
      <c r="EL57" s="520">
        <f>+EG57+EJ57</f>
        <v>8731</v>
      </c>
      <c r="EM57" s="520">
        <f>+EO57-EK57</f>
        <v>4342</v>
      </c>
      <c r="EN57" s="520">
        <v>4600</v>
      </c>
      <c r="EO57" s="520">
        <v>13000</v>
      </c>
      <c r="EP57" s="520">
        <f>+EN57+EK57</f>
        <v>13258</v>
      </c>
      <c r="EQ57" s="520">
        <f t="shared" ref="EQ57:EQ59" si="71">+EU57-EO57</f>
        <v>3874</v>
      </c>
      <c r="ER57" s="520"/>
      <c r="ES57" s="520">
        <f t="shared" ref="ES57:ES59" si="72">+EU57-EK57</f>
        <v>8216</v>
      </c>
      <c r="ET57" s="520"/>
      <c r="EU57" s="522">
        <v>16874</v>
      </c>
      <c r="EV57" s="533"/>
      <c r="EW57" s="520">
        <v>4350</v>
      </c>
      <c r="EX57" s="520">
        <v>4426</v>
      </c>
      <c r="EY57" s="520">
        <v>4574</v>
      </c>
      <c r="EZ57" s="520">
        <f t="shared" ref="EZ57:EZ59" si="73">+FB57-EX57</f>
        <v>4619</v>
      </c>
      <c r="FA57" s="520">
        <v>9000</v>
      </c>
      <c r="FB57" s="520">
        <v>9045</v>
      </c>
      <c r="FC57" s="520">
        <f>+FE57-FB57</f>
        <v>4553</v>
      </c>
      <c r="FD57" s="477">
        <v>4355</v>
      </c>
      <c r="FE57" s="520">
        <v>13598</v>
      </c>
      <c r="FF57" s="757">
        <v>13400</v>
      </c>
      <c r="FG57" s="757">
        <f t="shared" ref="FG57:FG61" si="74">FK57-FE57</f>
        <v>4058</v>
      </c>
      <c r="FH57" s="520">
        <f>+FL57-FE57</f>
        <v>4058</v>
      </c>
      <c r="FI57" s="520">
        <f>FK57-FB57</f>
        <v>8611</v>
      </c>
      <c r="FJ57" s="520">
        <f>+FL57-FB57</f>
        <v>8611</v>
      </c>
      <c r="FK57" s="522">
        <v>17656</v>
      </c>
      <c r="FL57" s="529">
        <f>Driver!AD146</f>
        <v>17656</v>
      </c>
      <c r="FM57" s="524">
        <f>+FN57-EX57</f>
        <v>4474</v>
      </c>
      <c r="FN57" s="530">
        <v>8900</v>
      </c>
      <c r="FO57" s="530">
        <f>+FQ57-FE57</f>
        <v>3902</v>
      </c>
      <c r="FP57" s="530">
        <f>+FQ57-FB57</f>
        <v>8455</v>
      </c>
      <c r="FQ57" s="531">
        <v>17500</v>
      </c>
      <c r="FR57" s="531"/>
      <c r="FS57" s="520">
        <v>4582</v>
      </c>
      <c r="FT57" s="530">
        <v>4600</v>
      </c>
      <c r="FU57" s="530">
        <f>FW57-FS57</f>
        <v>4818</v>
      </c>
      <c r="FV57" s="520">
        <f>+FY57-FS57</f>
        <v>4733</v>
      </c>
      <c r="FW57" s="530">
        <v>9400</v>
      </c>
      <c r="FX57" s="530"/>
      <c r="FY57" s="520">
        <v>9315</v>
      </c>
      <c r="FZ57" s="520">
        <f>+GA57-FY57</f>
        <v>4785</v>
      </c>
      <c r="GA57" s="520">
        <v>14100</v>
      </c>
      <c r="GB57" s="520">
        <f>+GD57-GA57</f>
        <v>4363</v>
      </c>
      <c r="GC57" s="520">
        <f>+GD57-FY57</f>
        <v>9148</v>
      </c>
      <c r="GD57" s="522">
        <v>18463</v>
      </c>
      <c r="GE57" s="520">
        <v>18500</v>
      </c>
      <c r="GF57" s="520">
        <v>4600</v>
      </c>
      <c r="GG57" s="520">
        <f>GH57-FZ57</f>
        <v>4363</v>
      </c>
      <c r="GH57" s="530">
        <f>GI57-FY57</f>
        <v>9148</v>
      </c>
      <c r="GI57" s="530">
        <f>Segments!O34</f>
        <v>18463</v>
      </c>
      <c r="GJ57" s="534"/>
      <c r="GK57" s="530">
        <v>4700</v>
      </c>
      <c r="GL57" s="530">
        <v>5020</v>
      </c>
      <c r="GM57" s="530">
        <v>5000</v>
      </c>
      <c r="GN57" s="530">
        <f>GM57+GL57</f>
        <v>10020</v>
      </c>
      <c r="GO57" s="530">
        <f>+GP57-GL57</f>
        <v>5311</v>
      </c>
      <c r="GP57" s="530">
        <v>10331</v>
      </c>
      <c r="GQ57" s="530">
        <v>5000</v>
      </c>
      <c r="GR57" s="520">
        <f>+GS57-GP57</f>
        <v>5381</v>
      </c>
      <c r="GS57" s="520">
        <v>15712</v>
      </c>
      <c r="GT57" s="520">
        <f>+GU57-GR57</f>
        <v>4818</v>
      </c>
      <c r="GU57" s="520">
        <f>+GV57-GP57</f>
        <v>10199</v>
      </c>
      <c r="GV57" s="522">
        <v>20530</v>
      </c>
      <c r="GW57" s="520">
        <v>20000</v>
      </c>
      <c r="GX57" s="530">
        <f>GY57-GR57</f>
        <v>4818</v>
      </c>
      <c r="GY57" s="530">
        <f>GZ57-GP57</f>
        <v>10199</v>
      </c>
      <c r="GZ57" s="530">
        <f>Segments!P34</f>
        <v>20530</v>
      </c>
      <c r="HA57" s="534"/>
      <c r="HB57" s="530">
        <v>5500</v>
      </c>
      <c r="HC57" s="530"/>
      <c r="HD57" s="530">
        <v>5389</v>
      </c>
      <c r="HE57" s="530">
        <v>5389</v>
      </c>
      <c r="HF57" s="530">
        <f>+HI57-HD57</f>
        <v>5476</v>
      </c>
      <c r="HG57" s="530">
        <f>+HL57-HE57</f>
        <v>5511</v>
      </c>
      <c r="HH57" s="530">
        <f t="shared" ref="HH57:HH59" si="75">HM57-HE57</f>
        <v>5476</v>
      </c>
      <c r="HI57" s="530">
        <v>10865</v>
      </c>
      <c r="HJ57" s="530">
        <v>5800</v>
      </c>
      <c r="HK57" s="530">
        <f>HI57+HD57</f>
        <v>16254</v>
      </c>
      <c r="HL57" s="530">
        <f>KU57/1</f>
        <v>10900</v>
      </c>
      <c r="HM57" s="530">
        <v>10865</v>
      </c>
      <c r="HN57" s="520">
        <f>+HP57-HI57</f>
        <v>5434</v>
      </c>
      <c r="HO57" s="520">
        <f>+HQ57-HM57</f>
        <v>6234</v>
      </c>
      <c r="HP57" s="520">
        <v>16299</v>
      </c>
      <c r="HQ57" s="535">
        <v>17099</v>
      </c>
      <c r="HR57" s="520">
        <f>+HT57-HN57</f>
        <v>4813</v>
      </c>
      <c r="HS57" s="520">
        <f>HU57-HO57</f>
        <v>4001</v>
      </c>
      <c r="HT57" s="520">
        <f>+HV57-HI57</f>
        <v>10247</v>
      </c>
      <c r="HU57" s="520">
        <f>HZ57-HM57</f>
        <v>10235</v>
      </c>
      <c r="HV57" s="520">
        <v>21112</v>
      </c>
      <c r="HW57" s="530">
        <v>5500</v>
      </c>
      <c r="HX57" s="530">
        <f>HY57-HN57</f>
        <v>4813</v>
      </c>
      <c r="HY57" s="530">
        <f>IB57-HI57</f>
        <v>10247</v>
      </c>
      <c r="HZ57" s="520">
        <v>21100</v>
      </c>
      <c r="IA57" s="530">
        <v>21500</v>
      </c>
      <c r="IB57" s="530">
        <f>Segments!Q34</f>
        <v>21112</v>
      </c>
      <c r="IC57" s="534"/>
      <c r="ID57" s="530">
        <v>5500</v>
      </c>
      <c r="IE57" s="536">
        <v>5490</v>
      </c>
      <c r="IF57" s="530">
        <f>IG57-IE57</f>
        <v>5760</v>
      </c>
      <c r="IG57" s="537">
        <v>11250</v>
      </c>
      <c r="IH57" s="530">
        <f>+IJ57-IG57</f>
        <v>5705</v>
      </c>
      <c r="II57" s="538">
        <v>5800</v>
      </c>
      <c r="IJ57" s="538">
        <v>16955</v>
      </c>
      <c r="IK57" s="530">
        <f>+IP57-IL57</f>
        <v>16955</v>
      </c>
      <c r="IL57" s="530">
        <f>IN57-IH57</f>
        <v>5145</v>
      </c>
      <c r="IM57" s="530">
        <f>+IO57-IH57</f>
        <v>5145</v>
      </c>
      <c r="IN57" s="530">
        <f>IP57-IG57</f>
        <v>10850</v>
      </c>
      <c r="IO57" s="530">
        <f>+IR57-IG57</f>
        <v>10850</v>
      </c>
      <c r="IP57" s="531">
        <f>Segments!S34</f>
        <v>22100</v>
      </c>
      <c r="IQ57" s="530">
        <v>22300</v>
      </c>
      <c r="IR57" s="539">
        <v>22100</v>
      </c>
      <c r="IS57" s="1283"/>
      <c r="IT57" s="540">
        <v>5500</v>
      </c>
      <c r="IU57" s="540">
        <v>5800</v>
      </c>
      <c r="IV57" s="540">
        <f>IX57-IU57</f>
        <v>5832</v>
      </c>
      <c r="IW57" s="540">
        <v>5800</v>
      </c>
      <c r="IX57" s="530">
        <v>11632</v>
      </c>
      <c r="IY57" s="530">
        <v>11600</v>
      </c>
      <c r="IZ57" s="530">
        <f>JA57-IX57</f>
        <v>5954</v>
      </c>
      <c r="JA57" s="530">
        <v>17586</v>
      </c>
      <c r="JB57" s="530">
        <f>+JC57-IZ57</f>
        <v>5302</v>
      </c>
      <c r="JC57" s="530">
        <f>+JD57-IX57</f>
        <v>11256</v>
      </c>
      <c r="JD57" s="530">
        <v>22888</v>
      </c>
      <c r="JE57" s="530">
        <v>17432</v>
      </c>
      <c r="JF57" s="530">
        <f>JG57-IZ57</f>
        <v>5302</v>
      </c>
      <c r="JG57" s="530">
        <f>JH57-IX57</f>
        <v>11256</v>
      </c>
      <c r="JH57" s="531">
        <f>Segments!T34</f>
        <v>22888</v>
      </c>
      <c r="JI57" s="1283"/>
      <c r="JJ57" s="1669">
        <f>ROUND(+IU57*(1+JJ58),-2)</f>
        <v>6100</v>
      </c>
      <c r="JK57" s="1138">
        <f>ROUND(+IV57*(1+JK58),-2)</f>
        <v>6000</v>
      </c>
      <c r="JL57" s="1138">
        <v>5963</v>
      </c>
      <c r="JM57" s="1138">
        <f>+JP57-JL57</f>
        <v>6159</v>
      </c>
      <c r="JN57" s="1138">
        <f>JS57-JP57</f>
        <v>6232</v>
      </c>
      <c r="JO57" s="1138"/>
      <c r="JP57" s="1138">
        <v>12122</v>
      </c>
      <c r="JQ57" s="1138"/>
      <c r="JR57" s="1138"/>
      <c r="JS57" s="1138">
        <v>18354</v>
      </c>
      <c r="JT57" s="1138">
        <f>ROUND(+IZ57*(1+JT58),-2)</f>
        <v>6200</v>
      </c>
      <c r="JU57" s="1138">
        <f>+JW57-JN57</f>
        <v>5546</v>
      </c>
      <c r="JV57" s="1138">
        <f>+JL57+JK57</f>
        <v>11963</v>
      </c>
      <c r="JW57" s="1138">
        <f>+JX57-JP57</f>
        <v>11778</v>
      </c>
      <c r="JX57" s="1138">
        <f>+Driver!AL146</f>
        <v>23900</v>
      </c>
      <c r="JY57" s="1138">
        <f>+JP57+JT57</f>
        <v>18322</v>
      </c>
      <c r="JZ57" s="899"/>
      <c r="KA57" s="1271"/>
      <c r="KB57" s="540">
        <f>+KC57-JL57</f>
        <v>6137</v>
      </c>
      <c r="KC57" s="540">
        <v>12100</v>
      </c>
      <c r="KD57" s="540">
        <f t="shared" ref="KD57:KD59" si="76">+KH57-KC57</f>
        <v>11700</v>
      </c>
      <c r="KE57" s="540">
        <f>+KG57-JP57</f>
        <v>11678</v>
      </c>
      <c r="KF57" s="540">
        <f>+KG57-JS57</f>
        <v>5446</v>
      </c>
      <c r="KG57" s="540">
        <v>23800</v>
      </c>
      <c r="KH57" s="540">
        <v>23800</v>
      </c>
      <c r="KI57" s="1271"/>
      <c r="KJ57" s="899"/>
      <c r="KK57" s="541">
        <f>KL57-IZ57</f>
        <v>5214</v>
      </c>
      <c r="KL57" s="530">
        <f>KM57-IX57</f>
        <v>11168</v>
      </c>
      <c r="KM57" s="540">
        <v>22800</v>
      </c>
      <c r="KN57" s="899"/>
      <c r="KO57" s="540">
        <v>11400</v>
      </c>
      <c r="KP57" s="530">
        <v>10900</v>
      </c>
      <c r="KQ57" s="531">
        <v>22300</v>
      </c>
      <c r="KR57" s="530">
        <v>10550</v>
      </c>
      <c r="KS57" s="531">
        <v>21800</v>
      </c>
      <c r="KT57" s="530">
        <f>+KU57-IE57</f>
        <v>5410</v>
      </c>
      <c r="KU57" s="530">
        <v>10900</v>
      </c>
      <c r="KV57" s="530">
        <f>+KW57-KU57</f>
        <v>10400</v>
      </c>
      <c r="KW57" s="531">
        <v>21300</v>
      </c>
      <c r="KX57" s="530">
        <f>+KY57-HN57</f>
        <v>5301</v>
      </c>
      <c r="KY57" s="530">
        <f>+KZ57-HI57</f>
        <v>10735</v>
      </c>
      <c r="KZ57" s="531">
        <v>21600</v>
      </c>
      <c r="LA57" s="530">
        <v>10900</v>
      </c>
      <c r="LB57" s="530">
        <f>+LC57-LA57</f>
        <v>10600</v>
      </c>
      <c r="LC57" s="531">
        <v>21500</v>
      </c>
      <c r="LD57" s="531"/>
      <c r="LE57" s="530">
        <f>+LF57-GR57</f>
        <v>4488</v>
      </c>
      <c r="LF57" s="530">
        <f>+LG57-GP57</f>
        <v>9869</v>
      </c>
      <c r="LG57" s="531">
        <v>20200</v>
      </c>
    </row>
    <row r="58" spans="1:319" s="1019" customFormat="1" ht="12">
      <c r="A58" s="1007"/>
      <c r="B58" s="863"/>
      <c r="C58" s="1676" t="s">
        <v>1443</v>
      </c>
      <c r="D58" s="1009"/>
      <c r="E58" s="1007"/>
      <c r="F58" s="1007"/>
      <c r="G58" s="1008"/>
      <c r="H58" s="617"/>
      <c r="I58" s="617"/>
      <c r="J58" s="1677"/>
      <c r="K58" s="1010"/>
      <c r="L58" s="1010"/>
      <c r="M58" s="1010"/>
      <c r="N58" s="1010"/>
      <c r="O58" s="1010"/>
      <c r="P58" s="1010"/>
      <c r="Q58" s="1010"/>
      <c r="R58" s="1010"/>
      <c r="S58" s="1011"/>
      <c r="T58" s="1010"/>
      <c r="U58" s="1010"/>
      <c r="V58" s="1010"/>
      <c r="W58" s="1010"/>
      <c r="X58" s="1010"/>
      <c r="Y58" s="1010"/>
      <c r="Z58" s="1010"/>
      <c r="AA58" s="1010"/>
      <c r="AB58" s="1011"/>
      <c r="AC58" s="1678"/>
      <c r="AD58" s="1678"/>
      <c r="AE58" s="1678"/>
      <c r="AF58" s="1678"/>
      <c r="AG58" s="1678"/>
      <c r="AH58" s="1678"/>
      <c r="AI58" s="1678"/>
      <c r="AJ58" s="1678"/>
      <c r="AK58" s="1009"/>
      <c r="AL58" s="1678"/>
      <c r="AM58" s="1678"/>
      <c r="AN58" s="1678"/>
      <c r="AO58" s="1678"/>
      <c r="AP58" s="1678"/>
      <c r="AQ58" s="1678"/>
      <c r="AR58" s="1678"/>
      <c r="AS58" s="1678"/>
      <c r="AT58" s="1009"/>
      <c r="AU58" s="1678"/>
      <c r="AV58" s="1678"/>
      <c r="AW58" s="1678"/>
      <c r="AX58" s="1678"/>
      <c r="AY58" s="1678"/>
      <c r="AZ58" s="1678"/>
      <c r="BA58" s="1678"/>
      <c r="BB58" s="1679"/>
      <c r="BC58" s="1679"/>
      <c r="BD58" s="1680"/>
      <c r="BE58" s="1678"/>
      <c r="BF58" s="1009"/>
      <c r="BG58" s="1678"/>
      <c r="BH58" s="1678"/>
      <c r="BI58" s="1678"/>
      <c r="BJ58" s="1009"/>
      <c r="BK58" s="1007"/>
      <c r="BL58" s="1007"/>
      <c r="BM58" s="1007"/>
      <c r="BN58" s="1007"/>
      <c r="BO58" s="1009"/>
      <c r="BP58" s="1678"/>
      <c r="BQ58" s="1680"/>
      <c r="BR58" s="1678"/>
      <c r="BS58" s="1680"/>
      <c r="BT58" s="1678"/>
      <c r="BU58" s="1678"/>
      <c r="BV58" s="1678"/>
      <c r="BW58" s="1680"/>
      <c r="BX58" s="1678"/>
      <c r="BY58" s="1678"/>
      <c r="BZ58" s="1680"/>
      <c r="CA58" s="1680"/>
      <c r="CB58" s="1678"/>
      <c r="CC58" s="1678"/>
      <c r="CD58" s="1678"/>
      <c r="CE58" s="1678"/>
      <c r="CF58" s="1009"/>
      <c r="CG58" s="1681"/>
      <c r="CH58" s="1682"/>
      <c r="CI58" s="1007"/>
      <c r="CJ58" s="1682"/>
      <c r="CK58" s="1682"/>
      <c r="CL58" s="1682"/>
      <c r="CM58" s="1682"/>
      <c r="CN58" s="1682"/>
      <c r="CO58" s="1682"/>
      <c r="CP58" s="1682"/>
      <c r="CQ58" s="1682"/>
      <c r="CR58" s="1682"/>
      <c r="CS58" s="1682"/>
      <c r="CT58" s="1682"/>
      <c r="CU58" s="1682"/>
      <c r="CV58" s="1682"/>
      <c r="CW58" s="1683"/>
      <c r="CX58" s="704"/>
      <c r="CY58" s="704"/>
      <c r="CZ58" s="704"/>
      <c r="DA58" s="704"/>
      <c r="DB58" s="704"/>
      <c r="DC58" s="704"/>
      <c r="DD58" s="704"/>
      <c r="DE58" s="704"/>
      <c r="DF58" s="704"/>
      <c r="DG58" s="704"/>
      <c r="DH58" s="704"/>
      <c r="DI58" s="704"/>
      <c r="DJ58" s="704"/>
      <c r="DK58" s="704"/>
      <c r="DL58" s="1684"/>
      <c r="DM58" s="1685"/>
      <c r="DN58" s="1679"/>
      <c r="DO58" s="1679"/>
      <c r="DP58" s="1670"/>
      <c r="DQ58" s="1670"/>
      <c r="DR58" s="1670"/>
      <c r="DS58" s="1686"/>
      <c r="DT58" s="1685"/>
      <c r="DU58" s="1679"/>
      <c r="DV58" s="1679"/>
      <c r="DW58" s="1682"/>
      <c r="DX58" s="1670"/>
      <c r="DY58" s="1670"/>
      <c r="DZ58" s="1020"/>
      <c r="EB58" s="1682"/>
      <c r="EC58" s="1670"/>
      <c r="ED58" s="1687"/>
      <c r="EE58" s="1009"/>
      <c r="EF58" s="1007"/>
      <c r="EG58" s="616"/>
      <c r="EH58" s="617"/>
      <c r="EI58" s="617"/>
      <c r="EJ58" s="617"/>
      <c r="EK58" s="617"/>
      <c r="EL58" s="617"/>
      <c r="EM58" s="617"/>
      <c r="EN58" s="617"/>
      <c r="EO58" s="617"/>
      <c r="EP58" s="617"/>
      <c r="EQ58" s="617"/>
      <c r="ER58" s="617"/>
      <c r="ES58" s="617"/>
      <c r="ET58" s="617"/>
      <c r="EU58" s="1677"/>
      <c r="EV58" s="1274"/>
      <c r="EW58" s="617"/>
      <c r="EX58" s="617"/>
      <c r="EY58" s="617"/>
      <c r="EZ58" s="617"/>
      <c r="FA58" s="617"/>
      <c r="FB58" s="617"/>
      <c r="FC58" s="617"/>
      <c r="FD58" s="617"/>
      <c r="FE58" s="617"/>
      <c r="FF58" s="617"/>
      <c r="FG58" s="617"/>
      <c r="FH58" s="617"/>
      <c r="FI58" s="617"/>
      <c r="FJ58" s="617"/>
      <c r="FK58" s="1677"/>
      <c r="FL58" s="1684"/>
      <c r="FM58" s="1679"/>
      <c r="FN58" s="1670"/>
      <c r="FO58" s="1670"/>
      <c r="FP58" s="1670"/>
      <c r="FQ58" s="1686"/>
      <c r="FR58" s="1686"/>
      <c r="FS58" s="617"/>
      <c r="FT58" s="662"/>
      <c r="FU58" s="662"/>
      <c r="FV58" s="617"/>
      <c r="FW58" s="662"/>
      <c r="FX58" s="662"/>
      <c r="FY58" s="617"/>
      <c r="FZ58" s="617"/>
      <c r="GA58" s="617"/>
      <c r="GB58" s="617"/>
      <c r="GC58" s="617"/>
      <c r="GD58" s="1677"/>
      <c r="GE58" s="617"/>
      <c r="GF58" s="617"/>
      <c r="GG58" s="617"/>
      <c r="GH58" s="662"/>
      <c r="GI58" s="662"/>
      <c r="GJ58" s="1689"/>
      <c r="GK58" s="662"/>
      <c r="GL58" s="662"/>
      <c r="GM58" s="662"/>
      <c r="GN58" s="662"/>
      <c r="GO58" s="662"/>
      <c r="GP58" s="662"/>
      <c r="GQ58" s="662"/>
      <c r="GR58" s="617"/>
      <c r="GS58" s="617"/>
      <c r="GT58" s="617"/>
      <c r="GU58" s="617"/>
      <c r="GV58" s="1677"/>
      <c r="GW58" s="617"/>
      <c r="GX58" s="662"/>
      <c r="GY58" s="662"/>
      <c r="GZ58" s="662"/>
      <c r="HA58" s="1690"/>
      <c r="HB58" s="662"/>
      <c r="HC58" s="662"/>
      <c r="HD58" s="662"/>
      <c r="HE58" s="662"/>
      <c r="HF58" s="662"/>
      <c r="HG58" s="662"/>
      <c r="HH58" s="662"/>
      <c r="HI58" s="662"/>
      <c r="HJ58" s="662"/>
      <c r="HK58" s="662"/>
      <c r="HL58" s="662"/>
      <c r="HM58" s="662"/>
      <c r="HN58" s="617"/>
      <c r="HO58" s="617"/>
      <c r="HP58" s="617"/>
      <c r="HQ58" s="617"/>
      <c r="HR58" s="617"/>
      <c r="HS58" s="617"/>
      <c r="HT58" s="617"/>
      <c r="HU58" s="617"/>
      <c r="HV58" s="617"/>
      <c r="HW58" s="662"/>
      <c r="HX58" s="662"/>
      <c r="HY58" s="662"/>
      <c r="HZ58" s="617"/>
      <c r="IA58" s="662"/>
      <c r="IB58" s="662"/>
      <c r="IC58" s="1690"/>
      <c r="ID58" s="662"/>
      <c r="IE58" s="1288"/>
      <c r="IF58" s="662"/>
      <c r="IG58" s="662"/>
      <c r="IH58" s="662"/>
      <c r="II58" s="662"/>
      <c r="IJ58" s="662"/>
      <c r="IK58" s="662"/>
      <c r="IL58" s="662"/>
      <c r="IM58" s="662"/>
      <c r="IN58" s="662"/>
      <c r="IO58" s="662"/>
      <c r="IP58" s="1274"/>
      <c r="IQ58" s="662"/>
      <c r="IR58" s="1274"/>
      <c r="IS58" s="1288"/>
      <c r="IT58" s="662"/>
      <c r="IU58" s="662"/>
      <c r="IV58" s="662"/>
      <c r="IW58" s="662"/>
      <c r="IX58" s="662"/>
      <c r="IY58" s="662"/>
      <c r="IZ58" s="662">
        <f>(IZ57-IH57)/IH57</f>
        <v>4.3645924627519719E-2</v>
      </c>
      <c r="JA58" s="662">
        <f>(JA57-IJ57)/IJ57</f>
        <v>3.7216160424653498E-2</v>
      </c>
      <c r="JB58" s="662">
        <f>(JB57-IM57)/IM57</f>
        <v>3.0515063168124391E-2</v>
      </c>
      <c r="JC58" s="662">
        <f>(JC57-IO57)/IO57</f>
        <v>3.741935483870968E-2</v>
      </c>
      <c r="JD58" s="662">
        <f>(JD57-IR57)/IR57</f>
        <v>3.5656108597285067E-2</v>
      </c>
      <c r="JE58" s="662"/>
      <c r="JF58" s="662"/>
      <c r="JG58" s="662"/>
      <c r="JH58" s="1274"/>
      <c r="JI58" s="1288"/>
      <c r="JJ58" s="1667">
        <v>0.05</v>
      </c>
      <c r="JK58" s="1668">
        <v>0.03</v>
      </c>
      <c r="JL58" s="1670">
        <f>+JL57/IU57-1</f>
        <v>2.8103448275861975E-2</v>
      </c>
      <c r="JM58" s="1670">
        <f t="shared" ref="JM58" si="77">+JM57/IV57-1</f>
        <v>5.6069958847736689E-2</v>
      </c>
      <c r="JN58" s="1670">
        <f>+JN57/IZ57-1</f>
        <v>4.6691299966409083E-2</v>
      </c>
      <c r="JO58" s="1670">
        <f>+JO57/JB57-1</f>
        <v>-1</v>
      </c>
      <c r="JP58" s="1670">
        <f>+JP57/IX57-1</f>
        <v>4.2125171939477291E-2</v>
      </c>
      <c r="JQ58" s="1670">
        <f>+JQ57/JC57-1</f>
        <v>-1</v>
      </c>
      <c r="JR58" s="1670">
        <f>+JR57/JD57-1</f>
        <v>-1</v>
      </c>
      <c r="JS58" s="1670">
        <f>+JS57/JA57-1</f>
        <v>4.3671102012964758E-2</v>
      </c>
      <c r="JT58" s="1668">
        <v>0.04</v>
      </c>
      <c r="JU58" s="495">
        <f>+JU57/JB57-1</f>
        <v>4.6020369671821992E-2</v>
      </c>
      <c r="JV58" s="1670">
        <f>+JV57/IX57-1</f>
        <v>2.8455983493810288E-2</v>
      </c>
      <c r="JW58" s="1670">
        <f>+JW57/JC57-1</f>
        <v>4.6375266524520287E-2</v>
      </c>
      <c r="JX58" s="1670">
        <f>+JX57/JD57-1</f>
        <v>4.4215309332401365E-2</v>
      </c>
      <c r="JY58" s="1670">
        <f>+JY57/JA57-1</f>
        <v>4.1851472762424624E-2</v>
      </c>
      <c r="JZ58" s="662"/>
      <c r="KA58" s="1274"/>
      <c r="KB58" s="1670"/>
      <c r="KC58" s="1670">
        <f>+KC57/IX57-1</f>
        <v>4.0233837689133356E-2</v>
      </c>
      <c r="KD58" s="1670">
        <f>+KD57/JC57-1</f>
        <v>3.9445628997867743E-2</v>
      </c>
      <c r="KE58" s="1670">
        <f>+KE57/JC57-1</f>
        <v>3.7491115849324741E-2</v>
      </c>
      <c r="KF58" s="1670">
        <f>+KF57/JB57-1</f>
        <v>2.7159562429271977E-2</v>
      </c>
      <c r="KG58" s="1670">
        <f>+KG57/JD57-1</f>
        <v>3.984620761971347E-2</v>
      </c>
      <c r="KH58" s="1670">
        <f>+KH57/JD57-1</f>
        <v>3.984620761971347E-2</v>
      </c>
      <c r="KI58" s="1274"/>
      <c r="KJ58" s="662"/>
      <c r="KK58" s="662"/>
      <c r="KL58" s="662"/>
      <c r="KM58" s="1670"/>
      <c r="KN58" s="662"/>
      <c r="KO58" s="1670"/>
      <c r="KP58" s="1670"/>
      <c r="KQ58" s="1686"/>
      <c r="KR58" s="1670"/>
      <c r="KS58" s="1686"/>
      <c r="KT58" s="1670"/>
      <c r="KU58" s="1670"/>
      <c r="KV58" s="1670"/>
      <c r="KW58" s="1686"/>
      <c r="KX58" s="1670"/>
      <c r="KY58" s="1670"/>
      <c r="KZ58" s="1686"/>
      <c r="LA58" s="1670"/>
      <c r="LB58" s="1670"/>
      <c r="LC58" s="1686"/>
      <c r="LD58" s="1686"/>
      <c r="LE58" s="1670"/>
      <c r="LF58" s="1670"/>
      <c r="LG58" s="1686"/>
    </row>
    <row r="59" spans="1:319" s="532" customFormat="1">
      <c r="A59" s="520"/>
      <c r="B59" s="796" t="s">
        <v>646</v>
      </c>
      <c r="C59" s="522" t="s">
        <v>167</v>
      </c>
      <c r="D59" s="523"/>
      <c r="E59" s="520"/>
      <c r="F59" s="520"/>
      <c r="G59" s="522"/>
      <c r="H59" s="520"/>
      <c r="I59" s="520"/>
      <c r="J59" s="522"/>
      <c r="K59" s="524"/>
      <c r="L59" s="524"/>
      <c r="M59" s="524"/>
      <c r="N59" s="524"/>
      <c r="O59" s="524"/>
      <c r="P59" s="524"/>
      <c r="Q59" s="524"/>
      <c r="R59" s="524"/>
      <c r="S59" s="525"/>
      <c r="T59" s="524">
        <v>7100</v>
      </c>
      <c r="U59" s="524">
        <f>+Y59-T59</f>
        <v>8600</v>
      </c>
      <c r="V59" s="524">
        <f>+X59-Y59</f>
        <v>6511</v>
      </c>
      <c r="W59" s="524">
        <f>+Z59-V59</f>
        <v>4906</v>
      </c>
      <c r="X59" s="524">
        <v>22211</v>
      </c>
      <c r="Y59" s="524">
        <v>15700</v>
      </c>
      <c r="Z59" s="524">
        <f t="shared" si="63"/>
        <v>11417</v>
      </c>
      <c r="AA59" s="524">
        <v>27117</v>
      </c>
      <c r="AB59" s="525"/>
      <c r="AC59" s="524">
        <v>6162</v>
      </c>
      <c r="AD59" s="524">
        <f>+AH59-AC59</f>
        <v>7653</v>
      </c>
      <c r="AE59" s="524">
        <f>+AG59-AH59</f>
        <v>6550</v>
      </c>
      <c r="AF59" s="524">
        <f>+AI59-AE59</f>
        <v>5672</v>
      </c>
      <c r="AG59" s="524">
        <v>20365</v>
      </c>
      <c r="AH59" s="524">
        <v>13815</v>
      </c>
      <c r="AI59" s="524">
        <f t="shared" si="64"/>
        <v>12222</v>
      </c>
      <c r="AJ59" s="524">
        <v>26037</v>
      </c>
      <c r="AK59" s="523"/>
      <c r="AL59" s="524">
        <v>7069</v>
      </c>
      <c r="AM59" s="524">
        <f>+AQ59-AL59</f>
        <v>8210</v>
      </c>
      <c r="AN59" s="524">
        <f>+AP59-AQ59</f>
        <v>7221</v>
      </c>
      <c r="AO59" s="524">
        <f>+AR59-AN59</f>
        <v>6283</v>
      </c>
      <c r="AP59" s="524">
        <v>22500</v>
      </c>
      <c r="AQ59" s="524">
        <v>15279</v>
      </c>
      <c r="AR59" s="524">
        <f t="shared" si="65"/>
        <v>13504</v>
      </c>
      <c r="AS59" s="524">
        <v>28783</v>
      </c>
      <c r="AT59" s="523"/>
      <c r="AU59" s="524">
        <v>7551</v>
      </c>
      <c r="AV59" s="524">
        <f>+BB59-AU59</f>
        <v>8547</v>
      </c>
      <c r="AW59" s="524">
        <f>+BA59-BB59</f>
        <v>7402</v>
      </c>
      <c r="AX59" s="524">
        <v>6902</v>
      </c>
      <c r="AY59" s="524">
        <f>+BC59-AW59</f>
        <v>6226</v>
      </c>
      <c r="AZ59" s="524">
        <v>23000</v>
      </c>
      <c r="BA59" s="524">
        <v>23500</v>
      </c>
      <c r="BB59" s="526">
        <v>16098</v>
      </c>
      <c r="BC59" s="526">
        <f>+BE59-BB59</f>
        <v>13628</v>
      </c>
      <c r="BD59" s="524">
        <v>29000</v>
      </c>
      <c r="BE59" s="524">
        <v>29726</v>
      </c>
      <c r="BF59" s="523"/>
      <c r="BG59" s="524">
        <f>+BH59-AW59</f>
        <v>-23500</v>
      </c>
      <c r="BH59" s="524">
        <f>+BI59-BB59</f>
        <v>-16098</v>
      </c>
      <c r="BI59" s="524"/>
      <c r="BJ59" s="523"/>
      <c r="BK59" s="520">
        <v>15400</v>
      </c>
      <c r="BL59" s="520">
        <v>13000</v>
      </c>
      <c r="BM59" s="520">
        <v>28400</v>
      </c>
      <c r="BN59" s="520"/>
      <c r="BO59" s="523"/>
      <c r="BP59" s="524">
        <v>10432</v>
      </c>
      <c r="BQ59" s="524">
        <v>7000</v>
      </c>
      <c r="BR59" s="524">
        <f t="shared" si="66"/>
        <v>11137</v>
      </c>
      <c r="BS59" s="524">
        <v>7000</v>
      </c>
      <c r="BT59" s="524">
        <f t="shared" si="67"/>
        <v>10669</v>
      </c>
      <c r="BU59" s="524">
        <v>10762</v>
      </c>
      <c r="BV59" s="524">
        <f>CC59-BT59</f>
        <v>8696</v>
      </c>
      <c r="BW59" s="524">
        <v>28569</v>
      </c>
      <c r="BX59" s="524">
        <v>32238</v>
      </c>
      <c r="BY59" s="524">
        <v>21569</v>
      </c>
      <c r="BZ59" s="524">
        <v>14000</v>
      </c>
      <c r="CA59" s="524">
        <v>17432</v>
      </c>
      <c r="CB59" s="524">
        <v>21431</v>
      </c>
      <c r="CC59" s="524">
        <f>CE59-BY59</f>
        <v>19365</v>
      </c>
      <c r="CD59" s="524">
        <v>43000</v>
      </c>
      <c r="CE59" s="524">
        <v>40934</v>
      </c>
      <c r="CF59" s="523"/>
      <c r="CG59" s="527">
        <v>10889</v>
      </c>
      <c r="CH59" s="520">
        <v>11100</v>
      </c>
      <c r="CI59" s="520"/>
      <c r="CJ59" s="520">
        <f>CR59-CG59</f>
        <v>11627</v>
      </c>
      <c r="CK59" s="520">
        <v>12000</v>
      </c>
      <c r="CL59" s="528">
        <f>CP59-CR59</f>
        <v>11242</v>
      </c>
      <c r="CM59" s="520">
        <v>13000</v>
      </c>
      <c r="CN59" s="520">
        <v>9242</v>
      </c>
      <c r="CO59" s="520">
        <f>CW59-CP59</f>
        <v>8850</v>
      </c>
      <c r="CP59" s="520">
        <v>33758</v>
      </c>
      <c r="CQ59" s="520">
        <v>35516</v>
      </c>
      <c r="CR59" s="542">
        <v>22516</v>
      </c>
      <c r="CS59" s="542">
        <v>22889</v>
      </c>
      <c r="CT59" s="520">
        <v>20484</v>
      </c>
      <c r="CU59" s="520">
        <f t="shared" si="68"/>
        <v>20092</v>
      </c>
      <c r="CV59" s="520">
        <v>43000</v>
      </c>
      <c r="CW59" s="522">
        <v>42608</v>
      </c>
      <c r="CX59" s="520"/>
      <c r="CY59" s="520">
        <v>11518</v>
      </c>
      <c r="CZ59" s="520">
        <f>+DB59-CY59</f>
        <v>12217</v>
      </c>
      <c r="DA59" s="520" t="e">
        <f>+CY59+#REF!</f>
        <v>#REF!</v>
      </c>
      <c r="DB59" s="520">
        <v>23735</v>
      </c>
      <c r="DC59" s="520">
        <f>+DG59-DB59</f>
        <v>11669</v>
      </c>
      <c r="DD59" s="520">
        <v>12000</v>
      </c>
      <c r="DE59" s="520">
        <f t="shared" si="42"/>
        <v>9574</v>
      </c>
      <c r="DF59" s="520">
        <f>DJ59-DC59</f>
        <v>9596</v>
      </c>
      <c r="DG59" s="520">
        <v>35404</v>
      </c>
      <c r="DH59" s="520">
        <f>+DD59+DB59</f>
        <v>35735</v>
      </c>
      <c r="DI59" s="520">
        <f t="shared" si="3"/>
        <v>21243</v>
      </c>
      <c r="DJ59" s="520">
        <f>DL59-DB59</f>
        <v>21265</v>
      </c>
      <c r="DK59" s="520">
        <v>44978</v>
      </c>
      <c r="DL59" s="529">
        <v>45000</v>
      </c>
      <c r="DM59" s="529"/>
      <c r="DN59" s="524"/>
      <c r="DO59" s="524"/>
      <c r="DP59" s="530"/>
      <c r="DQ59" s="530">
        <f t="shared" si="69"/>
        <v>11496</v>
      </c>
      <c r="DR59" s="530">
        <f>+DS59-DB59</f>
        <v>23165</v>
      </c>
      <c r="DS59" s="531">
        <v>46900</v>
      </c>
      <c r="DT59" s="529"/>
      <c r="DU59" s="524"/>
      <c r="DV59" s="524">
        <f>DW59-CY59</f>
        <v>13382</v>
      </c>
      <c r="DW59" s="528">
        <v>24900</v>
      </c>
      <c r="DX59" s="530">
        <f>DY59-DB59</f>
        <v>23665</v>
      </c>
      <c r="DY59" s="530">
        <v>47400</v>
      </c>
      <c r="DZ59" s="523"/>
      <c r="EB59" s="528">
        <f>ED59-CP59</f>
        <v>9142</v>
      </c>
      <c r="EC59" s="530">
        <f>ED59-CR59</f>
        <v>20384</v>
      </c>
      <c r="ED59" s="529">
        <v>42900</v>
      </c>
      <c r="EE59" s="523"/>
      <c r="EF59" s="520"/>
      <c r="EG59" s="527">
        <v>11947</v>
      </c>
      <c r="EH59" s="520">
        <v>12000</v>
      </c>
      <c r="EI59" s="520">
        <f t="shared" si="70"/>
        <v>12658</v>
      </c>
      <c r="EJ59" s="520">
        <v>12000</v>
      </c>
      <c r="EK59" s="520">
        <v>24605</v>
      </c>
      <c r="EL59" s="520">
        <f>+EG59+EJ59</f>
        <v>23947</v>
      </c>
      <c r="EM59" s="520">
        <f>+EO59-EK59</f>
        <v>11795</v>
      </c>
      <c r="EN59" s="520">
        <v>12000</v>
      </c>
      <c r="EO59" s="520">
        <v>36400</v>
      </c>
      <c r="EP59" s="520">
        <f>+EN59+EK59</f>
        <v>36605</v>
      </c>
      <c r="EQ59" s="520">
        <f t="shared" si="71"/>
        <v>9861</v>
      </c>
      <c r="ER59" s="520"/>
      <c r="ES59" s="520">
        <f t="shared" si="72"/>
        <v>21656</v>
      </c>
      <c r="ET59" s="520"/>
      <c r="EU59" s="522">
        <v>46261</v>
      </c>
      <c r="EV59" s="533"/>
      <c r="EW59" s="520">
        <v>12200</v>
      </c>
      <c r="EX59" s="520">
        <v>12276</v>
      </c>
      <c r="EY59" s="520">
        <v>12724</v>
      </c>
      <c r="EZ59" s="520">
        <f t="shared" si="73"/>
        <v>12849</v>
      </c>
      <c r="FA59" s="520">
        <v>25000</v>
      </c>
      <c r="FB59" s="520">
        <v>25125</v>
      </c>
      <c r="FC59" s="520">
        <f>+FE59-FB59</f>
        <v>11843</v>
      </c>
      <c r="FD59" s="477">
        <v>11675</v>
      </c>
      <c r="FE59" s="520">
        <v>36968</v>
      </c>
      <c r="FF59" s="757">
        <v>36800</v>
      </c>
      <c r="FG59" s="757">
        <f t="shared" si="74"/>
        <v>10138</v>
      </c>
      <c r="FH59" s="520">
        <f>+FL59-FE59</f>
        <v>10138</v>
      </c>
      <c r="FI59" s="520">
        <f>FK59-FB59</f>
        <v>21981</v>
      </c>
      <c r="FJ59" s="520">
        <f>+FL59-FB59</f>
        <v>21981</v>
      </c>
      <c r="FK59" s="522">
        <v>47106</v>
      </c>
      <c r="FL59" s="529">
        <f>Driver!AD149</f>
        <v>47106</v>
      </c>
      <c r="FM59" s="524">
        <f>+FN59-EX59</f>
        <v>12724</v>
      </c>
      <c r="FN59" s="530">
        <v>25000</v>
      </c>
      <c r="FO59" s="530">
        <f>+FQ59-FE59</f>
        <v>10632</v>
      </c>
      <c r="FP59" s="530">
        <f>+FQ59-FB59</f>
        <v>22475</v>
      </c>
      <c r="FQ59" s="531">
        <v>47600</v>
      </c>
      <c r="FR59" s="531"/>
      <c r="FS59" s="520">
        <v>13088</v>
      </c>
      <c r="FT59" s="530">
        <v>13000</v>
      </c>
      <c r="FU59" s="530">
        <f>FW59-FS59</f>
        <v>12912</v>
      </c>
      <c r="FV59" s="520">
        <f>+FY59-FS59</f>
        <v>13515</v>
      </c>
      <c r="FW59" s="530">
        <v>26000</v>
      </c>
      <c r="FX59" s="530"/>
      <c r="FY59" s="520">
        <v>26603</v>
      </c>
      <c r="FZ59" s="520">
        <f>+GA59-FY59</f>
        <v>12628</v>
      </c>
      <c r="GA59" s="520">
        <v>39231</v>
      </c>
      <c r="GB59" s="520">
        <f>+GD59-GA59</f>
        <v>10157</v>
      </c>
      <c r="GC59" s="520">
        <f>+GD59-FY59</f>
        <v>22785</v>
      </c>
      <c r="GD59" s="522">
        <v>49388</v>
      </c>
      <c r="GE59" s="520">
        <v>49000</v>
      </c>
      <c r="GF59" s="520">
        <v>12000</v>
      </c>
      <c r="GG59" s="520">
        <f>GH59-FZ59</f>
        <v>10157</v>
      </c>
      <c r="GH59" s="530">
        <f>GI59-FY59</f>
        <v>22785</v>
      </c>
      <c r="GI59" s="530">
        <f>Segments!O35</f>
        <v>49388</v>
      </c>
      <c r="GJ59" s="534"/>
      <c r="GK59" s="530">
        <v>13500</v>
      </c>
      <c r="GL59" s="530">
        <v>12444</v>
      </c>
      <c r="GM59" s="530">
        <v>13200</v>
      </c>
      <c r="GN59" s="530">
        <f>GM59+GL59</f>
        <v>25644</v>
      </c>
      <c r="GO59" s="530">
        <f>+GP59-GL59</f>
        <v>12995</v>
      </c>
      <c r="GP59" s="530">
        <v>25439</v>
      </c>
      <c r="GQ59" s="530">
        <v>12000</v>
      </c>
      <c r="GR59" s="520">
        <f>+GS59-GP59</f>
        <v>11717</v>
      </c>
      <c r="GS59" s="520">
        <v>37156</v>
      </c>
      <c r="GT59" s="520">
        <f>+GU59-GR59</f>
        <v>9710</v>
      </c>
      <c r="GU59" s="520">
        <f>+GV59-GP59</f>
        <v>21427</v>
      </c>
      <c r="GV59" s="522">
        <v>46866</v>
      </c>
      <c r="GW59" s="520">
        <v>48500</v>
      </c>
      <c r="GX59" s="530">
        <f>GY59-GR59</f>
        <v>9710</v>
      </c>
      <c r="GY59" s="530">
        <f>GZ59-GP59</f>
        <v>21427</v>
      </c>
      <c r="GZ59" s="530">
        <f>Segments!P35</f>
        <v>46866</v>
      </c>
      <c r="HA59" s="534"/>
      <c r="HB59" s="530">
        <v>11500</v>
      </c>
      <c r="HC59" s="530"/>
      <c r="HD59" s="530">
        <v>10691</v>
      </c>
      <c r="HE59" s="530">
        <v>8584</v>
      </c>
      <c r="HF59" s="530">
        <f>+HI59-HD59</f>
        <v>11599</v>
      </c>
      <c r="HG59" s="530">
        <f>+HL59-HE59</f>
        <v>9108.3076923076915</v>
      </c>
      <c r="HH59" s="530">
        <f t="shared" si="75"/>
        <v>9345</v>
      </c>
      <c r="HI59" s="530">
        <v>22290</v>
      </c>
      <c r="HJ59" s="530">
        <v>12000</v>
      </c>
      <c r="HK59" s="530">
        <f>HI59+HD59</f>
        <v>32981</v>
      </c>
      <c r="HL59" s="530">
        <f>KU59/1.04</f>
        <v>17692.307692307691</v>
      </c>
      <c r="HM59" s="530">
        <v>17929</v>
      </c>
      <c r="HN59" s="520">
        <f>+HP59-HI59</f>
        <v>10327</v>
      </c>
      <c r="HO59" s="520">
        <f>+HQ59-HM59</f>
        <v>6876</v>
      </c>
      <c r="HP59" s="520">
        <v>32617</v>
      </c>
      <c r="HQ59" s="535">
        <f>26379-1574</f>
        <v>24805</v>
      </c>
      <c r="HR59" s="520">
        <f>+HT59-HN59</f>
        <v>8831</v>
      </c>
      <c r="HS59" s="520">
        <f>HU59-HO59</f>
        <v>8995</v>
      </c>
      <c r="HT59" s="520">
        <f>+HV59-HI59</f>
        <v>19158</v>
      </c>
      <c r="HU59" s="520">
        <f>HZ59-HM59</f>
        <v>15871</v>
      </c>
      <c r="HV59" s="520">
        <v>41448</v>
      </c>
      <c r="HW59" s="530">
        <v>10500</v>
      </c>
      <c r="HX59" s="530">
        <f>HY59-HN59</f>
        <v>8831</v>
      </c>
      <c r="HY59" s="530">
        <f>IB59-HI59</f>
        <v>19158</v>
      </c>
      <c r="HZ59" s="520">
        <v>33800</v>
      </c>
      <c r="IA59" s="530">
        <v>45000</v>
      </c>
      <c r="IB59" s="530">
        <f>Segments!Q35</f>
        <v>41448</v>
      </c>
      <c r="IC59" s="534"/>
      <c r="ID59" s="530">
        <v>8500</v>
      </c>
      <c r="IE59" s="536">
        <v>8934</v>
      </c>
      <c r="IF59" s="530">
        <f>IG59-IE59</f>
        <v>9123</v>
      </c>
      <c r="IG59" s="537">
        <v>18057</v>
      </c>
      <c r="IH59" s="530">
        <f>+IJ59-IG59</f>
        <v>8335</v>
      </c>
      <c r="II59" s="538">
        <v>9500</v>
      </c>
      <c r="IJ59" s="538">
        <v>26392</v>
      </c>
      <c r="IK59" s="530">
        <f>+IP59-IL59</f>
        <v>26392</v>
      </c>
      <c r="IL59" s="530">
        <f>IN59-IH59</f>
        <v>7508</v>
      </c>
      <c r="IM59" s="530">
        <f>+IO59-IH59</f>
        <v>7508</v>
      </c>
      <c r="IN59" s="530">
        <f>IP59-IG59</f>
        <v>15843</v>
      </c>
      <c r="IO59" s="530">
        <f>+IR59-IG59</f>
        <v>15843</v>
      </c>
      <c r="IP59" s="531">
        <f>Segments!S35</f>
        <v>33900</v>
      </c>
      <c r="IQ59" s="530">
        <v>35000</v>
      </c>
      <c r="IR59" s="539">
        <v>33900</v>
      </c>
      <c r="IS59" s="1283"/>
      <c r="IT59" s="540">
        <v>9000</v>
      </c>
      <c r="IU59" s="540">
        <v>9000</v>
      </c>
      <c r="IV59" s="540">
        <f>IX59-IU59</f>
        <v>9505</v>
      </c>
      <c r="IW59" s="540">
        <v>9200</v>
      </c>
      <c r="IX59" s="530">
        <v>18505</v>
      </c>
      <c r="IY59" s="530">
        <v>18200</v>
      </c>
      <c r="IZ59" s="530">
        <f>JA59-IX59</f>
        <v>8900</v>
      </c>
      <c r="JA59" s="530">
        <v>27405</v>
      </c>
      <c r="JB59" s="530">
        <f>+JC59-IZ59</f>
        <v>7791</v>
      </c>
      <c r="JC59" s="530">
        <f>+JD59-IX59</f>
        <v>16691</v>
      </c>
      <c r="JD59" s="530">
        <v>35196</v>
      </c>
      <c r="JE59" s="530">
        <v>26905</v>
      </c>
      <c r="JF59" s="530">
        <f>JG59-IZ59</f>
        <v>7791</v>
      </c>
      <c r="JG59" s="530">
        <f>JH59-IX59</f>
        <v>16691</v>
      </c>
      <c r="JH59" s="531">
        <f>Segments!T35</f>
        <v>35196</v>
      </c>
      <c r="JI59" s="1283"/>
      <c r="JJ59" s="1669">
        <f>ROUND(+IU59*(1+JJ60),-2)</f>
        <v>9300</v>
      </c>
      <c r="JK59" s="1138">
        <f>ROUND(+IV59*(1+JK60),-2)</f>
        <v>9800</v>
      </c>
      <c r="JL59" s="1138">
        <v>9384</v>
      </c>
      <c r="JM59" s="1138">
        <f>+JP59-JL59</f>
        <v>10074</v>
      </c>
      <c r="JN59" s="1138">
        <f>JS59-JP59</f>
        <v>9378</v>
      </c>
      <c r="JO59" s="1138"/>
      <c r="JP59" s="1138">
        <v>19458</v>
      </c>
      <c r="JQ59" s="1138"/>
      <c r="JR59" s="1138"/>
      <c r="JS59" s="1138">
        <v>28836</v>
      </c>
      <c r="JT59" s="1138">
        <f>ROUND(+IZ59*(1+JT60),-2)</f>
        <v>9200</v>
      </c>
      <c r="JU59" s="1138">
        <f>+JW59-JN59</f>
        <v>8164</v>
      </c>
      <c r="JV59" s="1138">
        <f>+JL59+JK59</f>
        <v>19184</v>
      </c>
      <c r="JW59" s="1138">
        <f>+JX59-JP59</f>
        <v>17542</v>
      </c>
      <c r="JX59" s="1138">
        <f>+Driver!AL149</f>
        <v>37000</v>
      </c>
      <c r="JY59" s="1138">
        <f>+JP59+JT59</f>
        <v>28658</v>
      </c>
      <c r="JZ59" s="899"/>
      <c r="KA59" s="1271"/>
      <c r="KB59" s="540">
        <f>+KC59-JL59</f>
        <v>9616</v>
      </c>
      <c r="KC59" s="540">
        <v>19000</v>
      </c>
      <c r="KD59" s="540">
        <f t="shared" si="76"/>
        <v>17300</v>
      </c>
      <c r="KE59" s="540">
        <f>+KG59-JP59</f>
        <v>16842</v>
      </c>
      <c r="KF59" s="540">
        <f>+KG59-JS59</f>
        <v>7464</v>
      </c>
      <c r="KG59" s="540">
        <v>36300</v>
      </c>
      <c r="KH59" s="540">
        <v>36300</v>
      </c>
      <c r="KI59" s="1271"/>
      <c r="KJ59" s="899"/>
      <c r="KK59" s="541">
        <f>KL59-IZ59</f>
        <v>7595</v>
      </c>
      <c r="KL59" s="530">
        <f>KM59-IX59</f>
        <v>16495</v>
      </c>
      <c r="KM59" s="540">
        <v>35000</v>
      </c>
      <c r="KN59" s="899"/>
      <c r="KO59" s="540">
        <v>18000</v>
      </c>
      <c r="KP59" s="530">
        <v>16000</v>
      </c>
      <c r="KQ59" s="531">
        <v>34000</v>
      </c>
      <c r="KR59" s="530">
        <v>16643</v>
      </c>
      <c r="KS59" s="531">
        <v>34700</v>
      </c>
      <c r="KT59" s="530">
        <f>+KU59-IE59</f>
        <v>9466</v>
      </c>
      <c r="KU59" s="530">
        <v>18400</v>
      </c>
      <c r="KV59" s="530">
        <f>+KW59-KU59</f>
        <v>16300</v>
      </c>
      <c r="KW59" s="531">
        <v>34700</v>
      </c>
      <c r="KX59" s="530">
        <f>+KY59-HN59</f>
        <v>12883</v>
      </c>
      <c r="KY59" s="530">
        <f>+KZ59-HI59</f>
        <v>23210</v>
      </c>
      <c r="KZ59" s="531">
        <v>45500</v>
      </c>
      <c r="LA59" s="530">
        <v>25200</v>
      </c>
      <c r="LB59" s="530">
        <f>+LC59-LA59</f>
        <v>22000</v>
      </c>
      <c r="LC59" s="531">
        <v>47200</v>
      </c>
      <c r="LD59" s="531"/>
      <c r="LE59" s="530">
        <f>+LF59-GR59</f>
        <v>11844</v>
      </c>
      <c r="LF59" s="530">
        <f>+LG59-GP59</f>
        <v>23561</v>
      </c>
      <c r="LG59" s="531">
        <v>49000</v>
      </c>
    </row>
    <row r="60" spans="1:319" s="1019" customFormat="1" ht="12">
      <c r="A60" s="1007"/>
      <c r="B60" s="863"/>
      <c r="C60" s="1676" t="s">
        <v>1443</v>
      </c>
      <c r="D60" s="1009"/>
      <c r="E60" s="1007"/>
      <c r="F60" s="1007"/>
      <c r="G60" s="1008"/>
      <c r="H60" s="617"/>
      <c r="I60" s="617"/>
      <c r="J60" s="1677"/>
      <c r="K60" s="1010"/>
      <c r="L60" s="1010"/>
      <c r="M60" s="1010"/>
      <c r="N60" s="1010"/>
      <c r="O60" s="1010"/>
      <c r="P60" s="1010"/>
      <c r="Q60" s="1010"/>
      <c r="R60" s="1010"/>
      <c r="S60" s="1011"/>
      <c r="T60" s="1010"/>
      <c r="U60" s="1010"/>
      <c r="V60" s="1010"/>
      <c r="W60" s="1010"/>
      <c r="X60" s="1010"/>
      <c r="Y60" s="1010"/>
      <c r="Z60" s="1010"/>
      <c r="AA60" s="1010"/>
      <c r="AB60" s="1011"/>
      <c r="AC60" s="1678"/>
      <c r="AD60" s="1678"/>
      <c r="AE60" s="1678"/>
      <c r="AF60" s="1678"/>
      <c r="AG60" s="1678"/>
      <c r="AH60" s="1678"/>
      <c r="AI60" s="1678"/>
      <c r="AJ60" s="1678"/>
      <c r="AK60" s="1009"/>
      <c r="AL60" s="1678"/>
      <c r="AM60" s="1678"/>
      <c r="AN60" s="1678"/>
      <c r="AO60" s="1678"/>
      <c r="AP60" s="1678"/>
      <c r="AQ60" s="1678"/>
      <c r="AR60" s="1678"/>
      <c r="AS60" s="1678"/>
      <c r="AT60" s="1009"/>
      <c r="AU60" s="1678"/>
      <c r="AV60" s="1678"/>
      <c r="AW60" s="1678"/>
      <c r="AX60" s="1678"/>
      <c r="AY60" s="1678"/>
      <c r="AZ60" s="1678"/>
      <c r="BA60" s="1678"/>
      <c r="BB60" s="1679"/>
      <c r="BC60" s="1679"/>
      <c r="BD60" s="1680"/>
      <c r="BE60" s="1678"/>
      <c r="BF60" s="1009"/>
      <c r="BG60" s="1678"/>
      <c r="BH60" s="1678"/>
      <c r="BI60" s="1678"/>
      <c r="BJ60" s="1009"/>
      <c r="BK60" s="1007"/>
      <c r="BL60" s="1007"/>
      <c r="BM60" s="1007"/>
      <c r="BN60" s="1007"/>
      <c r="BO60" s="1009"/>
      <c r="BP60" s="1678"/>
      <c r="BQ60" s="1680"/>
      <c r="BR60" s="1678"/>
      <c r="BS60" s="1680"/>
      <c r="BT60" s="1678"/>
      <c r="BU60" s="1678"/>
      <c r="BV60" s="1678"/>
      <c r="BW60" s="1680"/>
      <c r="BX60" s="1678"/>
      <c r="BY60" s="1678"/>
      <c r="BZ60" s="1680"/>
      <c r="CA60" s="1680"/>
      <c r="CB60" s="1678"/>
      <c r="CC60" s="1678"/>
      <c r="CD60" s="1678"/>
      <c r="CE60" s="1678"/>
      <c r="CF60" s="1009"/>
      <c r="CG60" s="1681"/>
      <c r="CH60" s="1682"/>
      <c r="CI60" s="1007"/>
      <c r="CJ60" s="1682"/>
      <c r="CK60" s="1682"/>
      <c r="CL60" s="1682"/>
      <c r="CM60" s="1682"/>
      <c r="CN60" s="1682"/>
      <c r="CO60" s="1682"/>
      <c r="CP60" s="1682"/>
      <c r="CQ60" s="1682"/>
      <c r="CR60" s="1682"/>
      <c r="CS60" s="1682"/>
      <c r="CT60" s="1682"/>
      <c r="CU60" s="1682"/>
      <c r="CV60" s="1682"/>
      <c r="CW60" s="1683"/>
      <c r="CX60" s="704"/>
      <c r="CY60" s="704"/>
      <c r="CZ60" s="704"/>
      <c r="DA60" s="704"/>
      <c r="DB60" s="704"/>
      <c r="DC60" s="704"/>
      <c r="DD60" s="704"/>
      <c r="DE60" s="704"/>
      <c r="DF60" s="704"/>
      <c r="DG60" s="704"/>
      <c r="DH60" s="704"/>
      <c r="DI60" s="704"/>
      <c r="DJ60" s="704"/>
      <c r="DK60" s="704"/>
      <c r="DL60" s="1684"/>
      <c r="DM60" s="1685"/>
      <c r="DN60" s="1679"/>
      <c r="DO60" s="1679"/>
      <c r="DP60" s="1670"/>
      <c r="DQ60" s="1670"/>
      <c r="DR60" s="1670"/>
      <c r="DS60" s="1686"/>
      <c r="DT60" s="1685"/>
      <c r="DU60" s="1679"/>
      <c r="DV60" s="1679"/>
      <c r="DW60" s="1682"/>
      <c r="DX60" s="1670"/>
      <c r="DY60" s="1670"/>
      <c r="DZ60" s="1020"/>
      <c r="EB60" s="1682"/>
      <c r="EC60" s="1670"/>
      <c r="ED60" s="1687"/>
      <c r="EE60" s="1009"/>
      <c r="EF60" s="1007"/>
      <c r="EG60" s="616"/>
      <c r="EH60" s="617"/>
      <c r="EI60" s="617"/>
      <c r="EJ60" s="617"/>
      <c r="EK60" s="617"/>
      <c r="EL60" s="617"/>
      <c r="EM60" s="617"/>
      <c r="EN60" s="617"/>
      <c r="EO60" s="617"/>
      <c r="EP60" s="617"/>
      <c r="EQ60" s="617"/>
      <c r="ER60" s="617"/>
      <c r="ES60" s="617"/>
      <c r="ET60" s="617"/>
      <c r="EU60" s="1677"/>
      <c r="EV60" s="1274"/>
      <c r="EW60" s="617"/>
      <c r="EX60" s="617"/>
      <c r="EY60" s="617"/>
      <c r="EZ60" s="617"/>
      <c r="FA60" s="617"/>
      <c r="FB60" s="617"/>
      <c r="FC60" s="617"/>
      <c r="FD60" s="617"/>
      <c r="FE60" s="617"/>
      <c r="FF60" s="617"/>
      <c r="FG60" s="617"/>
      <c r="FH60" s="617"/>
      <c r="FI60" s="617"/>
      <c r="FJ60" s="617"/>
      <c r="FK60" s="1677"/>
      <c r="FL60" s="1684"/>
      <c r="FM60" s="1679"/>
      <c r="FN60" s="1670"/>
      <c r="FO60" s="1670"/>
      <c r="FP60" s="1670"/>
      <c r="FQ60" s="1686"/>
      <c r="FR60" s="1686"/>
      <c r="FS60" s="617"/>
      <c r="FT60" s="662"/>
      <c r="FU60" s="662"/>
      <c r="FV60" s="617"/>
      <c r="FW60" s="662"/>
      <c r="FX60" s="662"/>
      <c r="FY60" s="617"/>
      <c r="FZ60" s="617"/>
      <c r="GA60" s="617"/>
      <c r="GB60" s="617"/>
      <c r="GC60" s="617"/>
      <c r="GD60" s="1677"/>
      <c r="GE60" s="617"/>
      <c r="GF60" s="617"/>
      <c r="GG60" s="617"/>
      <c r="GH60" s="662"/>
      <c r="GI60" s="662"/>
      <c r="GJ60" s="1689"/>
      <c r="GK60" s="662"/>
      <c r="GL60" s="662"/>
      <c r="GM60" s="662"/>
      <c r="GN60" s="662"/>
      <c r="GO60" s="662"/>
      <c r="GP60" s="662"/>
      <c r="GQ60" s="662"/>
      <c r="GR60" s="617"/>
      <c r="GS60" s="617"/>
      <c r="GT60" s="617"/>
      <c r="GU60" s="617"/>
      <c r="GV60" s="1677"/>
      <c r="GW60" s="617"/>
      <c r="GX60" s="662"/>
      <c r="GY60" s="662"/>
      <c r="GZ60" s="662"/>
      <c r="HA60" s="1690"/>
      <c r="HB60" s="662"/>
      <c r="HC60" s="662"/>
      <c r="HD60" s="662"/>
      <c r="HE60" s="662"/>
      <c r="HF60" s="662"/>
      <c r="HG60" s="662"/>
      <c r="HH60" s="662"/>
      <c r="HI60" s="662"/>
      <c r="HJ60" s="662"/>
      <c r="HK60" s="662"/>
      <c r="HL60" s="662"/>
      <c r="HM60" s="662"/>
      <c r="HN60" s="617"/>
      <c r="HO60" s="617"/>
      <c r="HP60" s="617"/>
      <c r="HQ60" s="617"/>
      <c r="HR60" s="617"/>
      <c r="HS60" s="617"/>
      <c r="HT60" s="617"/>
      <c r="HU60" s="617"/>
      <c r="HV60" s="617"/>
      <c r="HW60" s="662"/>
      <c r="HX60" s="662"/>
      <c r="HY60" s="662"/>
      <c r="HZ60" s="617"/>
      <c r="IA60" s="662"/>
      <c r="IB60" s="662"/>
      <c r="IC60" s="1690"/>
      <c r="ID60" s="662"/>
      <c r="IE60" s="1288"/>
      <c r="IF60" s="662"/>
      <c r="IG60" s="662"/>
      <c r="IH60" s="662"/>
      <c r="II60" s="662"/>
      <c r="IJ60" s="662"/>
      <c r="IK60" s="662"/>
      <c r="IL60" s="662"/>
      <c r="IM60" s="662"/>
      <c r="IN60" s="662"/>
      <c r="IO60" s="662"/>
      <c r="IP60" s="1274"/>
      <c r="IQ60" s="662"/>
      <c r="IR60" s="1274"/>
      <c r="IS60" s="1288"/>
      <c r="IT60" s="662"/>
      <c r="IU60" s="662"/>
      <c r="IV60" s="662"/>
      <c r="IW60" s="662"/>
      <c r="IX60" s="662"/>
      <c r="IY60" s="662"/>
      <c r="IZ60" s="662">
        <f>(IZ59-IH59)/IH59</f>
        <v>6.7786442711457714E-2</v>
      </c>
      <c r="JA60" s="662">
        <f>(JA59-IJ59)/IJ59</f>
        <v>3.8382843285844195E-2</v>
      </c>
      <c r="JB60" s="662">
        <f>(JB59-IM59)/IM59</f>
        <v>3.76931273308471E-2</v>
      </c>
      <c r="JC60" s="662">
        <f>(JC59-IO59)/IO59</f>
        <v>5.352521618380357E-2</v>
      </c>
      <c r="JD60" s="662">
        <f>(JD59-IR59)/IR59</f>
        <v>3.8230088495575222E-2</v>
      </c>
      <c r="JE60" s="662"/>
      <c r="JF60" s="662"/>
      <c r="JG60" s="662"/>
      <c r="JH60" s="1274"/>
      <c r="JI60" s="1288"/>
      <c r="JJ60" s="1667">
        <v>0.03</v>
      </c>
      <c r="JK60" s="1668">
        <v>0.03</v>
      </c>
      <c r="JL60" s="1670">
        <f>+JL59/IU59-1</f>
        <v>4.2666666666666631E-2</v>
      </c>
      <c r="JM60" s="1670">
        <f t="shared" ref="JM60" si="78">+JM59/IV59-1</f>
        <v>5.9863229879010937E-2</v>
      </c>
      <c r="JN60" s="1670">
        <f>+JN59/IZ59-1</f>
        <v>5.3707865168539426E-2</v>
      </c>
      <c r="JO60" s="1670">
        <f>+JO59/JB59-1</f>
        <v>-1</v>
      </c>
      <c r="JP60" s="1670">
        <f>+JP59/IX59-1</f>
        <v>5.1499594704134122E-2</v>
      </c>
      <c r="JQ60" s="1670">
        <f>+JQ59/JC59-1</f>
        <v>-1</v>
      </c>
      <c r="JR60" s="1670">
        <f>+JR59/JD59-1</f>
        <v>-1</v>
      </c>
      <c r="JS60" s="1670">
        <f>+JS59/JA59-1</f>
        <v>5.221674876847282E-2</v>
      </c>
      <c r="JT60" s="1668">
        <v>0.03</v>
      </c>
      <c r="JU60" s="495">
        <f>+JU59/JB59-1</f>
        <v>4.7875754075215049E-2</v>
      </c>
      <c r="JV60" s="1670">
        <f>+JV59/IX59-1</f>
        <v>3.6692785733585476E-2</v>
      </c>
      <c r="JW60" s="1670">
        <f>+JW59/JC59-1</f>
        <v>5.0985561080822084E-2</v>
      </c>
      <c r="JX60" s="1670">
        <f>+JX59/JD59-1</f>
        <v>5.125582452551436E-2</v>
      </c>
      <c r="JY60" s="1670">
        <f>+JY59/JA59-1</f>
        <v>4.5721583652618136E-2</v>
      </c>
      <c r="JZ60" s="662"/>
      <c r="KA60" s="1274"/>
      <c r="KB60" s="1670"/>
      <c r="KC60" s="1670">
        <f>+KC59/IX59-1</f>
        <v>2.6749527154823038E-2</v>
      </c>
      <c r="KD60" s="1670">
        <f>+KD59/JC59-1</f>
        <v>3.6486729375112326E-2</v>
      </c>
      <c r="KE60" s="1670">
        <f>+KE59/JC59-1</f>
        <v>9.0467916841412421E-3</v>
      </c>
      <c r="KF60" s="1670">
        <f>+KF59/JB59-1</f>
        <v>-4.1971505583365376E-2</v>
      </c>
      <c r="KG60" s="1670">
        <f>+KG59/JD59-1</f>
        <v>3.1367200818274821E-2</v>
      </c>
      <c r="KH60" s="1670">
        <f>+KH59/JD59-1</f>
        <v>3.1367200818274821E-2</v>
      </c>
      <c r="KI60" s="1274"/>
      <c r="KJ60" s="662"/>
      <c r="KK60" s="662"/>
      <c r="KL60" s="662"/>
      <c r="KM60" s="1670"/>
      <c r="KN60" s="662"/>
      <c r="KO60" s="1670"/>
      <c r="KP60" s="1670"/>
      <c r="KQ60" s="1686"/>
      <c r="KR60" s="1670"/>
      <c r="KS60" s="1686"/>
      <c r="KT60" s="1670"/>
      <c r="KU60" s="1670"/>
      <c r="KV60" s="1670"/>
      <c r="KW60" s="1686"/>
      <c r="KX60" s="1670"/>
      <c r="KY60" s="1670"/>
      <c r="KZ60" s="1686"/>
      <c r="LA60" s="1670"/>
      <c r="LB60" s="1670"/>
      <c r="LC60" s="1686"/>
      <c r="LD60" s="1686"/>
      <c r="LE60" s="1670"/>
      <c r="LF60" s="1670"/>
      <c r="LG60" s="1686"/>
    </row>
    <row r="61" spans="1:319" s="842" customFormat="1">
      <c r="A61" s="830"/>
      <c r="B61" s="831" t="s">
        <v>631</v>
      </c>
      <c r="C61" s="832" t="s">
        <v>957</v>
      </c>
      <c r="D61" s="833"/>
      <c r="E61" s="830"/>
      <c r="F61" s="830"/>
      <c r="G61" s="832"/>
      <c r="H61" s="830"/>
      <c r="I61" s="830"/>
      <c r="J61" s="832"/>
      <c r="K61" s="834"/>
      <c r="L61" s="834"/>
      <c r="M61" s="834"/>
      <c r="N61" s="834"/>
      <c r="O61" s="834"/>
      <c r="P61" s="834"/>
      <c r="Q61" s="834"/>
      <c r="R61" s="834"/>
      <c r="S61" s="835"/>
      <c r="T61" s="834"/>
      <c r="U61" s="834"/>
      <c r="V61" s="834"/>
      <c r="W61" s="834"/>
      <c r="X61" s="834">
        <v>769</v>
      </c>
      <c r="Y61" s="834"/>
      <c r="Z61" s="834"/>
      <c r="AA61" s="834"/>
      <c r="AB61" s="835"/>
      <c r="AC61" s="834"/>
      <c r="AD61" s="834"/>
      <c r="AE61" s="834"/>
      <c r="AF61" s="834"/>
      <c r="AG61" s="834">
        <v>43</v>
      </c>
      <c r="AH61" s="834">
        <v>393</v>
      </c>
      <c r="AI61" s="834">
        <f t="shared" si="64"/>
        <v>-376</v>
      </c>
      <c r="AJ61" s="834">
        <v>17</v>
      </c>
      <c r="AK61" s="833"/>
      <c r="AL61" s="834">
        <v>-5</v>
      </c>
      <c r="AM61" s="834">
        <f>+AQ61-AL61</f>
        <v>-7</v>
      </c>
      <c r="AN61" s="834">
        <f>+AP61-AQ61</f>
        <v>18</v>
      </c>
      <c r="AO61" s="834">
        <f>+AR61-AN61</f>
        <v>16</v>
      </c>
      <c r="AP61" s="834">
        <v>6</v>
      </c>
      <c r="AQ61" s="834">
        <v>-12</v>
      </c>
      <c r="AR61" s="834">
        <f t="shared" si="65"/>
        <v>34</v>
      </c>
      <c r="AS61" s="834">
        <v>22</v>
      </c>
      <c r="AT61" s="833"/>
      <c r="AU61" s="834">
        <v>10</v>
      </c>
      <c r="AV61" s="834">
        <f>+BB61-AU61</f>
        <v>-13</v>
      </c>
      <c r="AW61" s="834">
        <f>+BA61-BB61</f>
        <v>-18</v>
      </c>
      <c r="AX61" s="834">
        <v>0</v>
      </c>
      <c r="AY61" s="834">
        <f>+BC61-AW61</f>
        <v>100</v>
      </c>
      <c r="AZ61" s="834"/>
      <c r="BA61" s="834">
        <v>-21</v>
      </c>
      <c r="BB61" s="836">
        <v>-3</v>
      </c>
      <c r="BC61" s="836">
        <f>+BE61-BB61</f>
        <v>82</v>
      </c>
      <c r="BD61" s="834">
        <v>0</v>
      </c>
      <c r="BE61" s="837">
        <v>79</v>
      </c>
      <c r="BF61" s="833"/>
      <c r="BG61" s="834"/>
      <c r="BH61" s="834"/>
      <c r="BI61" s="834"/>
      <c r="BJ61" s="833"/>
      <c r="BK61" s="830"/>
      <c r="BL61" s="830"/>
      <c r="BM61" s="830"/>
      <c r="BN61" s="830"/>
      <c r="BO61" s="833"/>
      <c r="BP61" s="834">
        <v>-3</v>
      </c>
      <c r="BQ61" s="834"/>
      <c r="BR61" s="834">
        <f>+BY61-BP61</f>
        <v>-21</v>
      </c>
      <c r="BS61" s="834"/>
      <c r="BT61" s="834">
        <f>+BX61-BY61</f>
        <v>-12</v>
      </c>
      <c r="BU61" s="834"/>
      <c r="BV61" s="834">
        <f>CC61-BT61</f>
        <v>9</v>
      </c>
      <c r="BW61" s="834"/>
      <c r="BX61" s="834">
        <v>-36</v>
      </c>
      <c r="BY61" s="834">
        <v>-24</v>
      </c>
      <c r="BZ61" s="834"/>
      <c r="CA61" s="834"/>
      <c r="CB61" s="834"/>
      <c r="CC61" s="834">
        <f>CE61-BY61</f>
        <v>-3</v>
      </c>
      <c r="CD61" s="834"/>
      <c r="CE61" s="837">
        <v>-27</v>
      </c>
      <c r="CF61" s="833"/>
      <c r="CG61" s="838">
        <v>-1</v>
      </c>
      <c r="CH61" s="830"/>
      <c r="CI61" s="830"/>
      <c r="CJ61" s="830">
        <f>CR61-CG61</f>
        <v>-31</v>
      </c>
      <c r="CK61" s="830">
        <v>0</v>
      </c>
      <c r="CL61" s="839">
        <f>CP61-CR61</f>
        <v>-17</v>
      </c>
      <c r="CM61" s="830"/>
      <c r="CN61" s="830"/>
      <c r="CO61" s="830"/>
      <c r="CP61" s="830">
        <v>-49</v>
      </c>
      <c r="CQ61" s="830"/>
      <c r="CR61" s="830">
        <v>-32</v>
      </c>
      <c r="CS61" s="520"/>
      <c r="CT61" s="520">
        <v>32</v>
      </c>
      <c r="CU61" s="520">
        <f t="shared" si="68"/>
        <v>-33</v>
      </c>
      <c r="CV61" s="830"/>
      <c r="CW61" s="832">
        <v>-65</v>
      </c>
      <c r="CX61" s="520"/>
      <c r="CY61" s="830"/>
      <c r="CZ61" s="830"/>
      <c r="DA61" s="830"/>
      <c r="DB61" s="830"/>
      <c r="DC61" s="830"/>
      <c r="DD61" s="830"/>
      <c r="DE61" s="830">
        <f t="shared" si="42"/>
        <v>41</v>
      </c>
      <c r="DF61" s="830"/>
      <c r="DG61" s="830"/>
      <c r="DH61" s="830"/>
      <c r="DI61" s="830">
        <f t="shared" si="3"/>
        <v>41</v>
      </c>
      <c r="DJ61" s="830"/>
      <c r="DK61" s="830">
        <v>41</v>
      </c>
      <c r="DL61" s="837"/>
      <c r="DM61" s="529"/>
      <c r="DN61" s="834"/>
      <c r="DO61" s="834"/>
      <c r="DP61" s="840"/>
      <c r="DQ61" s="840"/>
      <c r="DR61" s="840"/>
      <c r="DS61" s="841"/>
      <c r="DT61" s="529"/>
      <c r="DU61" s="834"/>
      <c r="DV61" s="524">
        <f>DW61-CY61</f>
        <v>0</v>
      </c>
      <c r="DW61" s="839"/>
      <c r="DX61" s="840">
        <f>DY61-DB61</f>
        <v>0</v>
      </c>
      <c r="DY61" s="840"/>
      <c r="DZ61" s="523"/>
      <c r="EB61" s="839">
        <f>ED61-CP61</f>
        <v>49</v>
      </c>
      <c r="EC61" s="840">
        <f>ED61-CR61</f>
        <v>32</v>
      </c>
      <c r="ED61" s="837"/>
      <c r="EE61" s="833"/>
      <c r="EF61" s="830"/>
      <c r="EG61" s="838"/>
      <c r="EH61" s="830"/>
      <c r="EI61" s="830"/>
      <c r="EJ61" s="830"/>
      <c r="EK61" s="843">
        <f>(EK59-DB59)/DB59</f>
        <v>3.6654729302717508E-2</v>
      </c>
      <c r="EL61" s="830"/>
      <c r="EM61" s="843">
        <f>(EM59-DC59)/DC59</f>
        <v>1.0797840431913617E-2</v>
      </c>
      <c r="EN61" s="830"/>
      <c r="EO61" s="843">
        <f>(EO59-DG59)/DG59</f>
        <v>2.8132414416450119E-2</v>
      </c>
      <c r="EQ61" s="843">
        <f>(EQ59-DE59)/DE59</f>
        <v>2.9977021098809276E-2</v>
      </c>
      <c r="ES61" s="843">
        <f>(ES59-DI59)/DI59</f>
        <v>1.9441698441839666E-2</v>
      </c>
      <c r="EU61" s="844">
        <f>(EU59-DK59)/DK59</f>
        <v>2.8525056694383922E-2</v>
      </c>
      <c r="EV61" s="845"/>
      <c r="EW61" s="843"/>
      <c r="EX61" s="843"/>
      <c r="EY61" s="843">
        <v>0</v>
      </c>
      <c r="EZ61" s="843">
        <f>+FB61-EX61</f>
        <v>0</v>
      </c>
      <c r="FA61" s="843"/>
      <c r="FB61" s="843"/>
      <c r="FC61" s="843">
        <f>+FE61-FB61</f>
        <v>0</v>
      </c>
      <c r="FD61" s="520">
        <v>0</v>
      </c>
      <c r="FE61" s="843"/>
      <c r="FF61" s="520"/>
      <c r="FG61" s="520">
        <f t="shared" si="74"/>
        <v>0</v>
      </c>
      <c r="FH61" s="843">
        <f>+FL61-FE61</f>
        <v>0</v>
      </c>
      <c r="FI61" s="843">
        <f>FK61-FB61</f>
        <v>0</v>
      </c>
      <c r="FJ61" s="843">
        <f>+FL61-FB61</f>
        <v>0</v>
      </c>
      <c r="FK61" s="844">
        <v>0</v>
      </c>
      <c r="FL61" s="837"/>
      <c r="FM61" s="834"/>
      <c r="FN61" s="840"/>
      <c r="FO61" s="840">
        <f>+FQ61-FE61</f>
        <v>2.8944467261840426E-2</v>
      </c>
      <c r="FP61" s="840"/>
      <c r="FQ61" s="846">
        <f>(FQ59-EU59)/EU59</f>
        <v>2.8944467261840426E-2</v>
      </c>
      <c r="FR61" s="841"/>
      <c r="FS61" s="843">
        <f>(FS59-EX59)/EX59</f>
        <v>6.6145324209840345E-2</v>
      </c>
      <c r="FT61" s="840"/>
      <c r="FU61" s="840"/>
      <c r="FV61" s="843">
        <f>+FY61-FS61</f>
        <v>-7.3194535630741742E-3</v>
      </c>
      <c r="FW61" s="530"/>
      <c r="FX61" s="530"/>
      <c r="FY61" s="847">
        <f>(FY59-FB59)/FB59</f>
        <v>5.8825870646766171E-2</v>
      </c>
      <c r="FZ61" s="848">
        <f>(FZ59-FC59)/FC59</f>
        <v>6.6283880773452666E-2</v>
      </c>
      <c r="GA61" s="848">
        <f>(GA59-FE59)/FE59</f>
        <v>6.1215104955637305E-2</v>
      </c>
      <c r="GB61" s="843">
        <f>+GD61-GA61</f>
        <v>-1.2771170000429898E-2</v>
      </c>
      <c r="GC61" s="847">
        <f>(GC59-FI59)/FI59</f>
        <v>3.6577043810563668E-2</v>
      </c>
      <c r="GD61" s="849">
        <f>(GD59-FK59)/FK59</f>
        <v>4.8443934955207407E-2</v>
      </c>
      <c r="GE61" s="847"/>
      <c r="GF61" s="847"/>
      <c r="GG61" s="847"/>
      <c r="GH61" s="530"/>
      <c r="GI61" s="840"/>
      <c r="GJ61" s="850"/>
      <c r="GK61" s="840"/>
      <c r="GL61" s="851">
        <f>(GL59-FS59)/FS59</f>
        <v>-4.9205378973105132E-2</v>
      </c>
      <c r="GM61" s="840"/>
      <c r="GN61" s="840"/>
      <c r="GO61" s="840">
        <f>+GP61-GL61</f>
        <v>5.4509151908249398E-3</v>
      </c>
      <c r="GP61" s="840">
        <f>(GP59-FY59)/FY59</f>
        <v>-4.3754463782280192E-2</v>
      </c>
      <c r="GQ61" s="840"/>
      <c r="GR61" s="843">
        <f>(GR59-FZ59)/FZ59</f>
        <v>-7.214127336078556E-2</v>
      </c>
      <c r="GS61" s="843">
        <f>(GS59-GA59)/GA59</f>
        <v>-5.2891845734240779E-2</v>
      </c>
      <c r="GT61" s="852">
        <f>(GT59-GB59)/GB59</f>
        <v>-4.4009057792655314E-2</v>
      </c>
      <c r="GU61" s="847">
        <f>(GU59-GC59)/GC59</f>
        <v>-5.9600614439324115E-2</v>
      </c>
      <c r="GV61" s="849">
        <f>(GV59-GD59)/GD59</f>
        <v>-5.1065036041143597E-2</v>
      </c>
      <c r="GW61" s="843"/>
      <c r="GX61" s="840"/>
      <c r="GY61" s="840"/>
      <c r="GZ61" s="840"/>
      <c r="HA61" s="850"/>
      <c r="HB61" s="840"/>
      <c r="HC61" s="840"/>
      <c r="HD61" s="853">
        <f>(HD59-GL59)/GL59</f>
        <v>-0.1408711025393764</v>
      </c>
      <c r="HE61" s="853"/>
      <c r="HF61" s="853">
        <f>HF59/GO59-1</f>
        <v>-0.10742593305117354</v>
      </c>
      <c r="HG61" s="853"/>
      <c r="HH61" s="853"/>
      <c r="HI61" s="853">
        <f>(HI59-GP59)/GP59</f>
        <v>-0.12378631235504541</v>
      </c>
      <c r="HJ61" s="853"/>
      <c r="HK61" s="853"/>
      <c r="HL61" s="853"/>
      <c r="HM61" s="853"/>
      <c r="HN61" s="843">
        <f>(HN59-GR59)/GR59</f>
        <v>-0.11863104890330289</v>
      </c>
      <c r="HO61" s="843">
        <f>(HO59-GS59)/GS59</f>
        <v>-0.81494240499515558</v>
      </c>
      <c r="HP61" s="843">
        <f>(HP59-GS59)/GS59</f>
        <v>-0.12216062008827645</v>
      </c>
      <c r="HQ61" s="847">
        <f>(HQ59-GS59)/GS59</f>
        <v>-0.33240930132414687</v>
      </c>
      <c r="HR61" s="847">
        <f>(HR59-GT59)/GT59</f>
        <v>-9.052523171987642E-2</v>
      </c>
      <c r="HS61" s="520">
        <f>HU61-HO61</f>
        <v>0.81494240499515558</v>
      </c>
      <c r="HT61" s="847">
        <f>(HT59-GU59)/GU59</f>
        <v>-0.10589443225836562</v>
      </c>
      <c r="HU61" s="847"/>
      <c r="HV61" s="847">
        <f>(HV59-GV59)/GV59</f>
        <v>-0.11560619638970682</v>
      </c>
      <c r="HW61" s="840"/>
      <c r="HX61" s="840"/>
      <c r="HY61" s="840"/>
      <c r="HZ61" s="847"/>
      <c r="IA61" s="840"/>
      <c r="IB61" s="840"/>
      <c r="IC61" s="534"/>
      <c r="ID61" s="840"/>
      <c r="IE61" s="854">
        <f>(IE59-HE59)/HE59</f>
        <v>4.0773532152842497E-2</v>
      </c>
      <c r="IF61" s="855">
        <f>(IF59-HH59)/HH59</f>
        <v>-2.3756019261637239E-2</v>
      </c>
      <c r="IG61" s="855">
        <f>(IG59-HM59)/HM59</f>
        <v>7.1392715711975016E-3</v>
      </c>
      <c r="IH61" s="855">
        <f>(IH59-HO59)/HO59</f>
        <v>0.21218731820826062</v>
      </c>
      <c r="II61" s="855">
        <f>(II59-HP59)/HP59</f>
        <v>-0.70874084066591037</v>
      </c>
      <c r="IJ61" s="855">
        <f>(IJ59-HQ59)/HQ59</f>
        <v>6.3979036484579727E-2</v>
      </c>
      <c r="IK61" s="855"/>
      <c r="IL61" s="855"/>
      <c r="IM61" s="855">
        <f>(IM59-HS59)/HS59</f>
        <v>-0.16531406336853807</v>
      </c>
      <c r="IN61" s="853"/>
      <c r="IO61" s="855">
        <f>(IO59-HU59)/HU59</f>
        <v>-1.7642240564551697E-3</v>
      </c>
      <c r="IP61" s="856"/>
      <c r="IQ61" s="853"/>
      <c r="IR61" s="857">
        <f>(IR59-HZ59)/HZ59</f>
        <v>2.9585798816568047E-3</v>
      </c>
      <c r="IS61" s="1290"/>
      <c r="IT61" s="858"/>
      <c r="IU61" s="858">
        <f>(IU59-IE59)/IE59</f>
        <v>7.3875083948959034E-3</v>
      </c>
      <c r="IV61" s="858"/>
      <c r="IW61" s="858"/>
      <c r="IX61" s="858"/>
      <c r="IY61" s="858"/>
      <c r="IZ61" s="858"/>
      <c r="JA61" s="858"/>
      <c r="JB61" s="858"/>
      <c r="JC61" s="858"/>
      <c r="JD61" s="858"/>
      <c r="JE61" s="858"/>
      <c r="JF61" s="858"/>
      <c r="JG61" s="858"/>
      <c r="JH61" s="856"/>
      <c r="JI61" s="1290"/>
      <c r="JJ61" s="1303"/>
      <c r="JK61" s="861"/>
      <c r="JL61" s="861"/>
      <c r="JM61" s="861"/>
      <c r="JN61" s="861"/>
      <c r="JO61" s="861"/>
      <c r="JP61" s="861"/>
      <c r="JQ61" s="861"/>
      <c r="JR61" s="861"/>
      <c r="JS61" s="861"/>
      <c r="JT61" s="861"/>
      <c r="JU61" s="861"/>
      <c r="JV61" s="861"/>
      <c r="JW61" s="861"/>
      <c r="JX61" s="861"/>
      <c r="JY61" s="861"/>
      <c r="JZ61" s="1646"/>
      <c r="KA61" s="1276"/>
      <c r="KB61" s="861"/>
      <c r="KC61" s="861"/>
      <c r="KD61" s="861"/>
      <c r="KE61" s="861"/>
      <c r="KF61" s="861"/>
      <c r="KG61" s="861"/>
      <c r="KH61" s="861"/>
      <c r="KI61" s="1276"/>
      <c r="KJ61" s="1646"/>
      <c r="KK61" s="859"/>
      <c r="KL61" s="859"/>
      <c r="KM61" s="861">
        <f>KM59/IR59-1</f>
        <v>3.2448377581120846E-2</v>
      </c>
      <c r="KN61" s="1646"/>
      <c r="KO61" s="861"/>
      <c r="KP61" s="861"/>
      <c r="KQ61" s="860">
        <v>2.9498525073745618E-3</v>
      </c>
      <c r="KR61" s="861">
        <v>4.8642177556549759E-2</v>
      </c>
      <c r="KS61" s="860">
        <v>2.6627218934911268E-2</v>
      </c>
      <c r="KT61" s="861">
        <f>KT59/HH59-1</f>
        <v>1.2948100588550115E-2</v>
      </c>
      <c r="KU61" s="861">
        <f>(KU59-HL59)/HL59</f>
        <v>4.0000000000000049E-2</v>
      </c>
      <c r="KV61" s="861">
        <f>KV59/HU59-1</f>
        <v>2.7030432864973752E-2</v>
      </c>
      <c r="KW61" s="846">
        <f>(KW59-HZ59)/HZ59</f>
        <v>2.6627218934911243E-2</v>
      </c>
      <c r="KX61" s="530">
        <f>+KY61-HN61</f>
        <v>0.21327043171454255</v>
      </c>
      <c r="KY61" s="530">
        <f>+KZ61-HI61</f>
        <v>9.4639382811239653E-2</v>
      </c>
      <c r="KZ61" s="846">
        <f>(KZ59-GV59)/GV59</f>
        <v>-2.9146929543805745E-2</v>
      </c>
      <c r="LA61" s="530">
        <f>(LA59-GP59)/GP59</f>
        <v>-9.3950233892841697E-3</v>
      </c>
      <c r="LB61" s="530">
        <f>+LC61-LA61</f>
        <v>1.6521725049336234E-2</v>
      </c>
      <c r="LC61" s="846">
        <f>(LC59-GV59)/GV59</f>
        <v>7.1267016600520634E-3</v>
      </c>
      <c r="LD61" s="846">
        <f>(LD59-LC59)/LC59</f>
        <v>-1</v>
      </c>
      <c r="LE61" s="530">
        <f>+LF61-GR61</f>
        <v>0.10803957775212059</v>
      </c>
      <c r="LF61" s="530">
        <f>+LG61-GP61</f>
        <v>3.5898304391335026E-2</v>
      </c>
      <c r="LG61" s="846">
        <f>(LG59-GD59)/GD59</f>
        <v>-7.8561593909451683E-3</v>
      </c>
    </row>
    <row r="62" spans="1:319" s="876" customFormat="1" ht="12">
      <c r="A62" s="862"/>
      <c r="B62" s="2198" t="s">
        <v>1071</v>
      </c>
      <c r="C62" s="864" t="s">
        <v>956</v>
      </c>
      <c r="D62" s="865"/>
      <c r="E62" s="862"/>
      <c r="F62" s="862"/>
      <c r="G62" s="864"/>
      <c r="H62" s="862"/>
      <c r="I62" s="862"/>
      <c r="J62" s="864"/>
      <c r="K62" s="866"/>
      <c r="L62" s="866"/>
      <c r="M62" s="866"/>
      <c r="N62" s="866"/>
      <c r="O62" s="866"/>
      <c r="P62" s="866"/>
      <c r="Q62" s="866"/>
      <c r="R62" s="866"/>
      <c r="S62" s="867"/>
      <c r="T62" s="866"/>
      <c r="U62" s="866"/>
      <c r="V62" s="866"/>
      <c r="W62" s="866"/>
      <c r="X62" s="866"/>
      <c r="Y62" s="866"/>
      <c r="Z62" s="866"/>
      <c r="AA62" s="866"/>
      <c r="AB62" s="867"/>
      <c r="AC62" s="866"/>
      <c r="AD62" s="866"/>
      <c r="AE62" s="866"/>
      <c r="AF62" s="866"/>
      <c r="AG62" s="866"/>
      <c r="AH62" s="866"/>
      <c r="AI62" s="866"/>
      <c r="AJ62" s="866"/>
      <c r="AK62" s="865"/>
      <c r="AL62" s="866"/>
      <c r="AM62" s="866"/>
      <c r="AN62" s="866"/>
      <c r="AO62" s="866"/>
      <c r="AP62" s="866"/>
      <c r="AQ62" s="866"/>
      <c r="AR62" s="866"/>
      <c r="AS62" s="866"/>
      <c r="AT62" s="865"/>
      <c r="AU62" s="866"/>
      <c r="AV62" s="866"/>
      <c r="AW62" s="866"/>
      <c r="AX62" s="866"/>
      <c r="AY62" s="866"/>
      <c r="AZ62" s="866"/>
      <c r="BA62" s="866"/>
      <c r="BB62" s="868"/>
      <c r="BC62" s="868"/>
      <c r="BD62" s="869"/>
      <c r="BE62" s="866"/>
      <c r="BF62" s="865"/>
      <c r="BG62" s="866"/>
      <c r="BH62" s="866"/>
      <c r="BI62" s="866"/>
      <c r="BJ62" s="865"/>
      <c r="BK62" s="862"/>
      <c r="BL62" s="862"/>
      <c r="BM62" s="862"/>
      <c r="BN62" s="862"/>
      <c r="BO62" s="865"/>
      <c r="BP62" s="866"/>
      <c r="BQ62" s="869"/>
      <c r="BR62" s="866"/>
      <c r="BS62" s="869"/>
      <c r="BT62" s="866"/>
      <c r="BU62" s="866"/>
      <c r="BV62" s="866"/>
      <c r="BW62" s="869"/>
      <c r="BX62" s="866"/>
      <c r="BY62" s="866">
        <f>BY59+BY57+BY50+BY41+BY27+BY10+BY8+BY61</f>
        <v>176307</v>
      </c>
      <c r="BZ62" s="869"/>
      <c r="CA62" s="869"/>
      <c r="CB62" s="866"/>
      <c r="CC62" s="866"/>
      <c r="CD62" s="866"/>
      <c r="CE62" s="866"/>
      <c r="CF62" s="865"/>
      <c r="CG62" s="870"/>
      <c r="CH62" s="862"/>
      <c r="CI62" s="862"/>
      <c r="CJ62" s="862"/>
      <c r="CK62" s="862"/>
      <c r="CL62" s="862"/>
      <c r="CM62" s="862"/>
      <c r="CN62" s="862"/>
      <c r="CO62" s="862"/>
      <c r="CP62" s="862"/>
      <c r="CQ62" s="862"/>
      <c r="CR62" s="862"/>
      <c r="CS62" s="862"/>
      <c r="CT62" s="862"/>
      <c r="CU62" s="862"/>
      <c r="CV62" s="862"/>
      <c r="CW62" s="864"/>
      <c r="CX62" s="183"/>
      <c r="CY62" s="871"/>
      <c r="CZ62" s="871"/>
      <c r="DA62" s="871"/>
      <c r="DB62" s="871"/>
      <c r="DC62" s="871"/>
      <c r="DD62" s="871"/>
      <c r="DE62" s="871">
        <f t="shared" si="42"/>
        <v>0</v>
      </c>
      <c r="DF62" s="871"/>
      <c r="DG62" s="871"/>
      <c r="DH62" s="871"/>
      <c r="DI62" s="871">
        <f t="shared" si="3"/>
        <v>0</v>
      </c>
      <c r="DJ62" s="871"/>
      <c r="DK62" s="871"/>
      <c r="DL62" s="872"/>
      <c r="DM62" s="873"/>
      <c r="DN62" s="866"/>
      <c r="DO62" s="866"/>
      <c r="DP62" s="874"/>
      <c r="DQ62" s="874"/>
      <c r="DR62" s="874"/>
      <c r="DS62" s="875"/>
      <c r="DT62" s="873"/>
      <c r="DU62" s="866"/>
      <c r="DV62" s="866"/>
      <c r="DX62" s="874"/>
      <c r="DY62" s="874"/>
      <c r="DZ62" s="877"/>
      <c r="EC62" s="874"/>
      <c r="ED62" s="872"/>
      <c r="EE62" s="865"/>
      <c r="EF62" s="862"/>
      <c r="EG62" s="862">
        <f t="shared" ref="EG62:EQ62" si="79">EG5-(EG8+EG10+EG27+EG41+EG50+EG57+EG59)</f>
        <v>3</v>
      </c>
      <c r="EH62" s="862">
        <f t="shared" si="79"/>
        <v>0</v>
      </c>
      <c r="EI62" s="862">
        <f t="shared" si="79"/>
        <v>-2</v>
      </c>
      <c r="EJ62" s="862">
        <f t="shared" si="79"/>
        <v>0</v>
      </c>
      <c r="EK62" s="862">
        <f t="shared" si="79"/>
        <v>1</v>
      </c>
      <c r="EL62" s="862">
        <f t="shared" si="79"/>
        <v>3</v>
      </c>
      <c r="EM62" s="862">
        <f t="shared" si="79"/>
        <v>9</v>
      </c>
      <c r="EN62" s="862">
        <f t="shared" si="79"/>
        <v>0</v>
      </c>
      <c r="EO62" s="862">
        <f t="shared" si="79"/>
        <v>10</v>
      </c>
      <c r="EP62" s="862">
        <f t="shared" si="79"/>
        <v>-4491.3003463632194</v>
      </c>
      <c r="EQ62" s="862">
        <f t="shared" si="79"/>
        <v>-7</v>
      </c>
      <c r="ER62" s="862"/>
      <c r="ES62" s="862">
        <f>ES5-(ES8+ES10+ES27+ES41+ES50+ES57+ES59)</f>
        <v>2</v>
      </c>
      <c r="ET62" s="862"/>
      <c r="EU62" s="862">
        <f t="shared" ref="EU62:FS62" si="80">EU5-(EU8+EU10+EU27+EU41+EU50+EU57+EU59)</f>
        <v>3</v>
      </c>
      <c r="EV62" s="862">
        <f t="shared" si="80"/>
        <v>0</v>
      </c>
      <c r="EW62" s="862">
        <f t="shared" si="80"/>
        <v>0</v>
      </c>
      <c r="EX62" s="862">
        <f t="shared" si="80"/>
        <v>3</v>
      </c>
      <c r="EY62" s="862">
        <f t="shared" si="80"/>
        <v>-3.0000000000145519</v>
      </c>
      <c r="EZ62" s="862">
        <f t="shared" si="80"/>
        <v>0</v>
      </c>
      <c r="FA62" s="862">
        <f t="shared" si="80"/>
        <v>0</v>
      </c>
      <c r="FB62" s="862">
        <f t="shared" si="80"/>
        <v>3</v>
      </c>
      <c r="FC62" s="862">
        <f t="shared" si="80"/>
        <v>0</v>
      </c>
      <c r="FD62" s="862">
        <f t="shared" si="80"/>
        <v>-2.9999999999708962</v>
      </c>
      <c r="FE62" s="862">
        <f t="shared" si="80"/>
        <v>3</v>
      </c>
      <c r="FF62" s="862">
        <f t="shared" si="80"/>
        <v>0</v>
      </c>
      <c r="FG62" s="862">
        <f t="shared" si="80"/>
        <v>0</v>
      </c>
      <c r="FH62" s="862">
        <f t="shared" si="80"/>
        <v>34</v>
      </c>
      <c r="FI62" s="862">
        <f t="shared" si="80"/>
        <v>0</v>
      </c>
      <c r="FJ62" s="862">
        <f t="shared" si="80"/>
        <v>34</v>
      </c>
      <c r="FK62" s="864">
        <f t="shared" si="80"/>
        <v>3</v>
      </c>
      <c r="FL62" s="862">
        <f t="shared" si="80"/>
        <v>37</v>
      </c>
      <c r="FM62" s="862">
        <f t="shared" si="80"/>
        <v>-3</v>
      </c>
      <c r="FN62" s="862">
        <f t="shared" si="80"/>
        <v>0</v>
      </c>
      <c r="FO62" s="862">
        <f t="shared" si="80"/>
        <v>-3</v>
      </c>
      <c r="FP62" s="862">
        <f t="shared" si="80"/>
        <v>-3</v>
      </c>
      <c r="FQ62" s="862">
        <f t="shared" si="80"/>
        <v>0</v>
      </c>
      <c r="FR62" s="864">
        <f t="shared" si="80"/>
        <v>0</v>
      </c>
      <c r="FS62" s="862">
        <f t="shared" si="80"/>
        <v>5</v>
      </c>
      <c r="FT62" s="874"/>
      <c r="FU62" s="874"/>
      <c r="FV62" s="862">
        <f>FV5-(FV8+FV10+FV27+FV41+FV50+FV57+FV59)</f>
        <v>-1</v>
      </c>
      <c r="FW62" s="874"/>
      <c r="FX62" s="874"/>
      <c r="FY62" s="862">
        <f t="shared" ref="FY62:GD62" si="81">FY5-(FY8+FY10+FY27+FY41+FY50+FY57+FY59)</f>
        <v>4</v>
      </c>
      <c r="FZ62" s="862">
        <f t="shared" si="81"/>
        <v>0</v>
      </c>
      <c r="GA62" s="862">
        <f t="shared" si="81"/>
        <v>4</v>
      </c>
      <c r="GB62" s="862">
        <f t="shared" si="81"/>
        <v>-1</v>
      </c>
      <c r="GC62" s="862">
        <f t="shared" si="81"/>
        <v>-1</v>
      </c>
      <c r="GD62" s="864">
        <f t="shared" si="81"/>
        <v>3</v>
      </c>
      <c r="GE62" s="862"/>
      <c r="GF62" s="862"/>
      <c r="GG62" s="862"/>
      <c r="GH62" s="874"/>
      <c r="GI62" s="874"/>
      <c r="GJ62" s="878"/>
      <c r="GK62" s="866">
        <f t="shared" ref="GK62:GP62" si="82">GK5-(GK8+GK10+GK27+GK41+GK50+GK57+GK59)</f>
        <v>0</v>
      </c>
      <c r="GL62" s="866">
        <f t="shared" si="82"/>
        <v>3</v>
      </c>
      <c r="GM62" s="866">
        <f t="shared" si="82"/>
        <v>0</v>
      </c>
      <c r="GN62" s="866">
        <f t="shared" si="82"/>
        <v>-274.42462652784889</v>
      </c>
      <c r="GO62" s="866">
        <f t="shared" si="82"/>
        <v>-1</v>
      </c>
      <c r="GP62" s="866">
        <f t="shared" si="82"/>
        <v>2</v>
      </c>
      <c r="GQ62" s="866"/>
      <c r="GR62" s="862">
        <f>GR5-(GR8+GR10+GR27+GR41+GR50+GR57+GR59)</f>
        <v>1</v>
      </c>
      <c r="GS62" s="862">
        <f>GS5-(GS8+GS10+GS27+GS41+GS50+GS57+GS59)</f>
        <v>3</v>
      </c>
      <c r="GT62" s="862">
        <f>GT5-(GT8+GT10+GT27+GT41+GT50+GT57+GT59)</f>
        <v>-1</v>
      </c>
      <c r="GU62" s="862">
        <f>GU5-(GU8+GU10+GU27+GU41+GU50+GU57+GU59)</f>
        <v>0</v>
      </c>
      <c r="GV62" s="864">
        <f>GV5-(GV8+GV10+GV27+GV41+GV50+GV57+GV59)</f>
        <v>2</v>
      </c>
      <c r="GW62" s="862">
        <v>0</v>
      </c>
      <c r="GX62" s="866"/>
      <c r="GY62" s="866">
        <f>GY5-(GY8+GY10+GY27+GY41+GY50+GY57+GY59)</f>
        <v>0</v>
      </c>
      <c r="GZ62" s="866">
        <f>GZ5-(GZ8+GZ10+GZ27+GZ41+GZ50+GZ57+GZ59)</f>
        <v>2</v>
      </c>
      <c r="HA62" s="878"/>
      <c r="HB62" s="866">
        <f>HB5-(HB8+HB10+HB27+HB41+HB50+HB57+HB59)</f>
        <v>0</v>
      </c>
      <c r="HC62" s="866"/>
      <c r="HD62" s="866">
        <f t="shared" ref="HD62:HI62" si="83">HD5-(HD8+HD10+HD27+HD41+HD50+HD57+HD59)</f>
        <v>3</v>
      </c>
      <c r="HE62" s="866">
        <f t="shared" si="83"/>
        <v>2</v>
      </c>
      <c r="HF62" s="866">
        <f t="shared" si="83"/>
        <v>0</v>
      </c>
      <c r="HG62" s="866">
        <f t="shared" si="83"/>
        <v>-1825.0407408654719</v>
      </c>
      <c r="HH62" s="866">
        <f t="shared" si="83"/>
        <v>3</v>
      </c>
      <c r="HI62" s="866">
        <f t="shared" si="83"/>
        <v>3</v>
      </c>
      <c r="HJ62" s="866">
        <f>HI5-(HI8+HI10+HI27+HI41+HI50+HI57+HI59)</f>
        <v>3</v>
      </c>
      <c r="HK62" s="866">
        <f t="shared" ref="HK62:HR62" si="84">HK5-(HK8+HK10+HK27+HK41+HK50+HK57+HK59)</f>
        <v>289.32831439445727</v>
      </c>
      <c r="HL62" s="866">
        <f t="shared" si="84"/>
        <v>-1823.0407408654864</v>
      </c>
      <c r="HM62" s="866">
        <f t="shared" si="84"/>
        <v>5</v>
      </c>
      <c r="HN62" s="862">
        <f t="shared" si="84"/>
        <v>1</v>
      </c>
      <c r="HO62" s="862">
        <f t="shared" si="84"/>
        <v>-2</v>
      </c>
      <c r="HP62" s="862">
        <f t="shared" si="84"/>
        <v>4</v>
      </c>
      <c r="HQ62" s="862">
        <f t="shared" si="84"/>
        <v>3</v>
      </c>
      <c r="HR62" s="862">
        <f t="shared" si="84"/>
        <v>0</v>
      </c>
      <c r="HS62" s="862"/>
      <c r="HT62" s="862">
        <f t="shared" ref="HT62:HZ62" si="85">HT5-(HT8+HT10+HT27+HT41+HT50+HT57+HT59)</f>
        <v>1</v>
      </c>
      <c r="HU62" s="862">
        <f t="shared" si="85"/>
        <v>136</v>
      </c>
      <c r="HV62" s="862">
        <f t="shared" si="85"/>
        <v>4</v>
      </c>
      <c r="HW62" s="866">
        <f t="shared" si="85"/>
        <v>0</v>
      </c>
      <c r="HX62" s="866">
        <f t="shared" si="85"/>
        <v>0</v>
      </c>
      <c r="HY62" s="866">
        <f t="shared" si="85"/>
        <v>1</v>
      </c>
      <c r="HZ62" s="862">
        <f t="shared" si="85"/>
        <v>141</v>
      </c>
      <c r="IA62" s="866">
        <v>0</v>
      </c>
      <c r="IB62" s="866">
        <f>IB5-(IB8+IB10+IB27+IB41+IB50+IB57+IB59)</f>
        <v>4</v>
      </c>
      <c r="IC62" s="878"/>
      <c r="ID62" s="866">
        <f t="shared" ref="ID62:IK62" si="86">ID5-(ID8+ID10+ID27+ID41+ID50+ID57+ID59)</f>
        <v>0</v>
      </c>
      <c r="IE62" s="879">
        <f t="shared" si="86"/>
        <v>3</v>
      </c>
      <c r="IF62" s="866">
        <f t="shared" si="86"/>
        <v>0</v>
      </c>
      <c r="IG62" s="866">
        <f t="shared" si="86"/>
        <v>3</v>
      </c>
      <c r="IH62" s="866">
        <f t="shared" si="86"/>
        <v>1</v>
      </c>
      <c r="II62" s="866">
        <f t="shared" si="86"/>
        <v>0</v>
      </c>
      <c r="IJ62" s="866">
        <f t="shared" si="86"/>
        <v>4</v>
      </c>
      <c r="IK62" s="874">
        <f t="shared" si="86"/>
        <v>4</v>
      </c>
      <c r="IL62" s="866"/>
      <c r="IM62" s="874">
        <f>IM5-(IM8+IM10+IM27+IM41+IM50+IM57+IM59)</f>
        <v>-9</v>
      </c>
      <c r="IN62" s="874">
        <f>IN5-(IN8+IN10+IN27+IN41+IN50+IN57+IN59)</f>
        <v>-8</v>
      </c>
      <c r="IO62" s="874">
        <f>IO5-(IO8+IO10+IO27+IO41+IO50+IO57+IO59)</f>
        <v>-8</v>
      </c>
      <c r="IP62" s="872">
        <f>IP5-(IP8+IP10+IP27+IP41+IP50+IP57+IP59)</f>
        <v>-5</v>
      </c>
      <c r="IQ62" s="866">
        <v>0</v>
      </c>
      <c r="IR62" s="875">
        <f>IR5-(IR8+IR10+IR27+IR41+IR50+IR57+IR59)</f>
        <v>-5</v>
      </c>
      <c r="IS62" s="1291"/>
      <c r="IT62" s="874"/>
      <c r="IU62" s="874">
        <f>IU5-(IU8+IU10+IU27+IU41+IU50+IU57+IU59)</f>
        <v>-173</v>
      </c>
      <c r="IV62" s="874">
        <f>IV5-(IV8+IV10+IV27+IV41+IV50+IV57+IV59)</f>
        <v>176</v>
      </c>
      <c r="IW62" s="874"/>
      <c r="IX62" s="874">
        <f>IX5-(IX8+IX10+IX27+IX41+IX50+IX57+IX59)</f>
        <v>3</v>
      </c>
      <c r="IY62" s="874"/>
      <c r="IZ62" s="874">
        <f>IZ5-(IZ8+IZ10+IZ27+IZ41+IZ50+IZ57+IZ59)</f>
        <v>1</v>
      </c>
      <c r="JA62" s="874">
        <f>JA5-(JA8+JA10+JA27+JA41+JA50+JA57+JA59)</f>
        <v>4</v>
      </c>
      <c r="JB62" s="874">
        <f>JB5-(JB8+JB10+JB27+JB41+JB50+JB57+JB59)</f>
        <v>-2</v>
      </c>
      <c r="JC62" s="874">
        <f>JC5-(JC8+JC10+JC27+JC41+JC50+JC57+JC59)</f>
        <v>-1</v>
      </c>
      <c r="JD62" s="874">
        <f>JD5-(JD8+JD10+JD27+JD41+JD50+JD57+JD59)</f>
        <v>2</v>
      </c>
      <c r="JE62" s="874"/>
      <c r="JF62" s="874"/>
      <c r="JG62" s="874"/>
      <c r="JH62" s="875">
        <f>JH5-(JH8+JH10+JH27+JH41+JH50+JH57+JH59)</f>
        <v>2</v>
      </c>
      <c r="JI62" s="1291"/>
      <c r="JJ62" s="1304"/>
      <c r="JK62" s="874"/>
      <c r="JL62" s="874"/>
      <c r="JM62" s="874"/>
      <c r="JN62" s="874"/>
      <c r="JO62" s="874"/>
      <c r="JP62" s="874">
        <f>JP5-(JP8+JP10+JP27+JP41+JP50+JP57+JP59)</f>
        <v>2</v>
      </c>
      <c r="JQ62" s="874"/>
      <c r="JR62" s="874"/>
      <c r="JS62" s="874">
        <f>JS5-(JS8+JS10+JS27+JS41+JS50+JS57+JS59)</f>
        <v>3</v>
      </c>
      <c r="JT62" s="874"/>
      <c r="JU62" s="874"/>
      <c r="JV62" s="874"/>
      <c r="JW62" s="874"/>
      <c r="JX62" s="874"/>
      <c r="JY62" s="884"/>
      <c r="JZ62" s="1145"/>
      <c r="KA62" s="533"/>
      <c r="KB62" s="874"/>
      <c r="KC62" s="874">
        <f>KC5-(KC8+KC10+KC27+KC41+KC50+KC57+KC59)</f>
        <v>0</v>
      </c>
      <c r="KD62" s="874">
        <f>KD5-(KD8+KD10+KD27+KD41+KD50+KD57+KD59)</f>
        <v>0</v>
      </c>
      <c r="KE62" s="874">
        <f>KE5-(KE8+KE10+KE27+KE41+KE50+KE57+KE59)</f>
        <v>-2</v>
      </c>
      <c r="KF62" s="874"/>
      <c r="KG62" s="874">
        <f>KG5-(KG8+KG10+KG27+KG41+KG50+KG57+KG59)</f>
        <v>0</v>
      </c>
      <c r="KH62" s="874">
        <f>KH5-(KH8+KH10+KH27+KH41+KH50+KH57+KH59)</f>
        <v>0</v>
      </c>
      <c r="KI62" s="533"/>
      <c r="KJ62" s="1145"/>
      <c r="KK62" s="874"/>
      <c r="KL62" s="874">
        <f>KL5-(KL8+KL10+KL27+KL41+KL50+KL57+KL59)</f>
        <v>-3</v>
      </c>
      <c r="KM62" s="874">
        <f>KM5-(KM8+KM10+KM27+KM41+KM50+KM57+KM59)</f>
        <v>0</v>
      </c>
      <c r="KN62" s="1145"/>
      <c r="KO62" s="874">
        <v>0</v>
      </c>
      <c r="KP62" s="866">
        <v>0</v>
      </c>
      <c r="KQ62" s="872">
        <v>0</v>
      </c>
      <c r="KR62" s="866">
        <v>-3</v>
      </c>
      <c r="KS62" s="872">
        <v>0</v>
      </c>
      <c r="KT62" s="866">
        <f t="shared" ref="KT62:LG62" si="87">KT5-(KT8+KT10+KT27+KT41+KT50+KT57+KT59)</f>
        <v>-3</v>
      </c>
      <c r="KU62" s="874">
        <f t="shared" si="87"/>
        <v>0</v>
      </c>
      <c r="KV62" s="866">
        <f t="shared" si="87"/>
        <v>0</v>
      </c>
      <c r="KW62" s="872">
        <f t="shared" si="87"/>
        <v>0</v>
      </c>
      <c r="KX62" s="866">
        <f t="shared" si="87"/>
        <v>-4</v>
      </c>
      <c r="KY62" s="866">
        <f t="shared" si="87"/>
        <v>-3</v>
      </c>
      <c r="KZ62" s="872">
        <f t="shared" si="87"/>
        <v>0</v>
      </c>
      <c r="LA62" s="874">
        <f t="shared" si="87"/>
        <v>0</v>
      </c>
      <c r="LB62" s="866">
        <f t="shared" si="87"/>
        <v>0</v>
      </c>
      <c r="LC62" s="872">
        <f t="shared" si="87"/>
        <v>0</v>
      </c>
      <c r="LD62" s="872">
        <f t="shared" si="87"/>
        <v>450000</v>
      </c>
      <c r="LE62" s="866">
        <f t="shared" si="87"/>
        <v>-3</v>
      </c>
      <c r="LF62" s="866">
        <f t="shared" si="87"/>
        <v>-2</v>
      </c>
      <c r="LG62" s="872">
        <f t="shared" si="87"/>
        <v>0</v>
      </c>
    </row>
    <row r="63" spans="1:319" s="806" customFormat="1">
      <c r="A63" s="592"/>
      <c r="B63" s="478" t="s">
        <v>984</v>
      </c>
      <c r="C63" s="594" t="s">
        <v>192</v>
      </c>
      <c r="D63" s="799"/>
      <c r="E63" s="592">
        <v>89266</v>
      </c>
      <c r="F63" s="592">
        <f>G63-E63</f>
        <v>26725</v>
      </c>
      <c r="G63" s="594">
        <v>115991</v>
      </c>
      <c r="H63" s="592">
        <v>90534</v>
      </c>
      <c r="I63" s="592">
        <f>J63-H63</f>
        <v>25047</v>
      </c>
      <c r="J63" s="594">
        <v>115581</v>
      </c>
      <c r="K63" s="590"/>
      <c r="L63" s="590"/>
      <c r="M63" s="590"/>
      <c r="N63" s="590"/>
      <c r="O63" s="590"/>
      <c r="P63" s="590"/>
      <c r="Q63" s="590"/>
      <c r="R63" s="590"/>
      <c r="S63" s="800"/>
      <c r="T63" s="590">
        <v>28853</v>
      </c>
      <c r="U63" s="590">
        <f>+Y63-T63</f>
        <v>28612</v>
      </c>
      <c r="V63" s="590">
        <f>+X63-Y63</f>
        <v>35486</v>
      </c>
      <c r="W63" s="590">
        <f>+Z63-V63</f>
        <v>26919</v>
      </c>
      <c r="X63" s="590">
        <v>92951</v>
      </c>
      <c r="Y63" s="590">
        <v>57465</v>
      </c>
      <c r="Z63" s="590">
        <f>+AA63-Y63</f>
        <v>62405</v>
      </c>
      <c r="AA63" s="590">
        <v>119870</v>
      </c>
      <c r="AB63" s="800"/>
      <c r="AC63" s="590">
        <v>27848</v>
      </c>
      <c r="AD63" s="590">
        <f>+AH63-AC63</f>
        <v>27015</v>
      </c>
      <c r="AE63" s="590">
        <f>+AG63-AH63</f>
        <v>32887</v>
      </c>
      <c r="AF63" s="590">
        <f>+AI63-AE63</f>
        <v>24043</v>
      </c>
      <c r="AG63" s="590">
        <v>87750</v>
      </c>
      <c r="AH63" s="590">
        <v>54863</v>
      </c>
      <c r="AI63" s="590">
        <f>+AJ63-AH63</f>
        <v>56930</v>
      </c>
      <c r="AJ63" s="590">
        <v>111793</v>
      </c>
      <c r="AK63" s="799"/>
      <c r="AL63" s="590">
        <v>27339</v>
      </c>
      <c r="AM63" s="590">
        <f>+AQ63-AL63</f>
        <v>26736</v>
      </c>
      <c r="AN63" s="590">
        <f>+AP63-AQ63</f>
        <v>34886</v>
      </c>
      <c r="AO63" s="590">
        <f>+AR63-AN63</f>
        <v>29417</v>
      </c>
      <c r="AP63" s="590">
        <v>88961</v>
      </c>
      <c r="AQ63" s="590">
        <v>54075</v>
      </c>
      <c r="AR63" s="590">
        <f>+AS63-AQ63</f>
        <v>64303</v>
      </c>
      <c r="AS63" s="590">
        <v>118378</v>
      </c>
      <c r="AT63" s="799"/>
      <c r="AU63" s="590">
        <v>28978</v>
      </c>
      <c r="AV63" s="590">
        <f>+BB63-AU63</f>
        <v>30107</v>
      </c>
      <c r="AW63" s="590">
        <f>+BA63-BB63</f>
        <v>38730</v>
      </c>
      <c r="AX63" s="590">
        <v>-59085</v>
      </c>
      <c r="AY63" s="590">
        <f>+BC63-AW63</f>
        <v>31804</v>
      </c>
      <c r="AZ63" s="590"/>
      <c r="BA63" s="590">
        <v>97815</v>
      </c>
      <c r="BB63" s="880">
        <v>59085</v>
      </c>
      <c r="BC63" s="880">
        <f>+BE63-BB63</f>
        <v>70534</v>
      </c>
      <c r="BD63" s="801">
        <v>127900</v>
      </c>
      <c r="BE63" s="590">
        <v>129619</v>
      </c>
      <c r="BF63" s="799"/>
      <c r="BG63" s="590"/>
      <c r="BH63" s="590"/>
      <c r="BI63" s="590"/>
      <c r="BJ63" s="799"/>
      <c r="BK63" s="592"/>
      <c r="BL63" s="592"/>
      <c r="BM63" s="592"/>
      <c r="BN63" s="592"/>
      <c r="BO63" s="799"/>
      <c r="BP63" s="590">
        <v>33677</v>
      </c>
      <c r="BQ63" s="801"/>
      <c r="BR63" s="590">
        <f t="shared" ref="BR63:BR69" si="88">+BY63-BP63</f>
        <v>32683</v>
      </c>
      <c r="BS63" s="801"/>
      <c r="BT63" s="590">
        <f t="shared" ref="BT63:BT69" si="89">+BX63-BY63</f>
        <v>42719</v>
      </c>
      <c r="BU63" s="590"/>
      <c r="BV63" s="590">
        <f>CC63-BT63</f>
        <v>32931</v>
      </c>
      <c r="BW63" s="801"/>
      <c r="BX63" s="590">
        <v>109079</v>
      </c>
      <c r="BY63" s="590">
        <v>66360</v>
      </c>
      <c r="BZ63" s="801"/>
      <c r="CA63" s="801"/>
      <c r="CB63" s="590"/>
      <c r="CC63" s="590">
        <f>CE63-BY63</f>
        <v>75650</v>
      </c>
      <c r="CD63" s="590"/>
      <c r="CE63" s="590">
        <f>'Raw Data'!V16</f>
        <v>142010</v>
      </c>
      <c r="CF63" s="799"/>
      <c r="CG63" s="881">
        <v>30161</v>
      </c>
      <c r="CH63" s="592"/>
      <c r="CI63" s="592"/>
      <c r="CJ63" s="592">
        <f>CR63-CG63</f>
        <v>33193</v>
      </c>
      <c r="CK63" s="592"/>
      <c r="CL63" s="882">
        <f>CP63-CR63</f>
        <v>42372</v>
      </c>
      <c r="CM63" s="592"/>
      <c r="CN63" s="592">
        <v>36074</v>
      </c>
      <c r="CO63" s="592">
        <f>CW63-CQ63</f>
        <v>136335</v>
      </c>
      <c r="CP63" s="592">
        <v>105726</v>
      </c>
      <c r="CQ63" s="592"/>
      <c r="CR63" s="592">
        <v>63354</v>
      </c>
      <c r="CS63" s="592"/>
      <c r="CT63" s="592">
        <v>78446</v>
      </c>
      <c r="CU63" s="592">
        <f>CW63-CR63</f>
        <v>72981</v>
      </c>
      <c r="CV63" s="592">
        <v>141800</v>
      </c>
      <c r="CW63" s="594">
        <v>136335</v>
      </c>
      <c r="CX63" s="180"/>
      <c r="CY63" s="180">
        <v>32702</v>
      </c>
      <c r="CZ63" s="180">
        <f>+DB63-CY63</f>
        <v>34454</v>
      </c>
      <c r="DA63" s="180"/>
      <c r="DB63" s="180">
        <v>67156</v>
      </c>
      <c r="DC63" s="180">
        <f>+DG63-DB63</f>
        <v>43083</v>
      </c>
      <c r="DD63" s="180"/>
      <c r="DE63" s="180">
        <f t="shared" si="42"/>
        <v>32547</v>
      </c>
      <c r="DF63" s="180"/>
      <c r="DG63" s="180">
        <v>110239</v>
      </c>
      <c r="DH63" s="180"/>
      <c r="DI63" s="180">
        <f t="shared" si="3"/>
        <v>75630</v>
      </c>
      <c r="DJ63" s="180"/>
      <c r="DK63" s="180">
        <v>142786</v>
      </c>
      <c r="DL63" s="883">
        <v>143800</v>
      </c>
      <c r="DM63" s="459"/>
      <c r="DN63" s="590"/>
      <c r="DO63" s="590"/>
      <c r="DP63" s="884"/>
      <c r="DQ63" s="884"/>
      <c r="DR63" s="884"/>
      <c r="DS63" s="885"/>
      <c r="DT63" s="459"/>
      <c r="DU63" s="590"/>
      <c r="DV63" s="590"/>
      <c r="DW63" s="882"/>
      <c r="DX63" s="884"/>
      <c r="DY63" s="884"/>
      <c r="DZ63" s="463"/>
      <c r="EB63" s="882"/>
      <c r="EC63" s="884"/>
      <c r="ED63" s="883"/>
      <c r="EE63" s="799"/>
      <c r="EF63" s="592"/>
      <c r="EG63" s="881">
        <v>34421</v>
      </c>
      <c r="EH63" s="592"/>
      <c r="EI63" s="592">
        <f t="shared" ref="EI63" si="90">+EK63-EG63</f>
        <v>33693</v>
      </c>
      <c r="EJ63" s="592"/>
      <c r="EK63" s="592">
        <v>68114</v>
      </c>
      <c r="EL63" s="592"/>
      <c r="EM63" s="592">
        <f>+EO63-EK63</f>
        <v>44140</v>
      </c>
      <c r="EN63" s="592"/>
      <c r="EO63" s="592">
        <v>112254</v>
      </c>
      <c r="EQ63" s="592">
        <f>+EU63-EO63</f>
        <v>32731</v>
      </c>
      <c r="ES63" s="592">
        <f>+EU63-EK63</f>
        <v>76871</v>
      </c>
      <c r="EU63" s="594">
        <v>144985</v>
      </c>
      <c r="EV63" s="533"/>
      <c r="EW63" s="592"/>
      <c r="EX63" s="592">
        <v>34870</v>
      </c>
      <c r="EY63" s="592">
        <v>-34870</v>
      </c>
      <c r="EZ63" s="592">
        <f>+FB63-EX63</f>
        <v>35367</v>
      </c>
      <c r="FA63" s="592"/>
      <c r="FB63" s="592">
        <v>70237</v>
      </c>
      <c r="FC63" s="592">
        <f>+FE63-FB63</f>
        <v>43450</v>
      </c>
      <c r="FD63" s="843">
        <v>-70237</v>
      </c>
      <c r="FE63" s="592">
        <v>113687</v>
      </c>
      <c r="FF63" s="886"/>
      <c r="FG63" s="887">
        <f>FK63-FE63</f>
        <v>33119</v>
      </c>
      <c r="FH63" s="180">
        <f>+FL63-FE63</f>
        <v>33120</v>
      </c>
      <c r="FI63" s="592">
        <f>FK63-FB63</f>
        <v>76569</v>
      </c>
      <c r="FJ63" s="592">
        <f>+FL63-FB63</f>
        <v>76570</v>
      </c>
      <c r="FK63" s="594">
        <v>146806</v>
      </c>
      <c r="FL63" s="883">
        <f>Driver!AD14</f>
        <v>146807</v>
      </c>
      <c r="FM63" s="590"/>
      <c r="FN63" s="884"/>
      <c r="FO63" s="884"/>
      <c r="FP63" s="884"/>
      <c r="FQ63" s="885"/>
      <c r="FR63" s="885"/>
      <c r="FS63" s="592">
        <v>35744</v>
      </c>
      <c r="FT63" s="884"/>
      <c r="FU63" s="884"/>
      <c r="FV63" s="592">
        <f>+FY63-FS63</f>
        <v>35015</v>
      </c>
      <c r="FW63" s="888"/>
      <c r="FX63" s="888"/>
      <c r="FY63" s="889">
        <v>70759</v>
      </c>
      <c r="FZ63" s="592">
        <f>+GA63-FY63</f>
        <v>42634</v>
      </c>
      <c r="GA63" s="592">
        <v>113393</v>
      </c>
      <c r="GB63" s="592">
        <f>+GD63-GA63</f>
        <v>32916</v>
      </c>
      <c r="GC63" s="592">
        <f>+GD63-FY63</f>
        <v>75550</v>
      </c>
      <c r="GD63" s="890">
        <v>146309</v>
      </c>
      <c r="GE63" s="592"/>
      <c r="GF63" s="889"/>
      <c r="GG63" s="889"/>
      <c r="GH63" s="888"/>
      <c r="GI63" s="884"/>
      <c r="GJ63" s="891"/>
      <c r="GK63" s="884">
        <f>GK65*GK5</f>
        <v>36288.885224056132</v>
      </c>
      <c r="GL63" s="884">
        <v>35244</v>
      </c>
      <c r="GM63" s="884">
        <f>GM65*GM5</f>
        <v>36004.361652283456</v>
      </c>
      <c r="GN63" s="884">
        <f>GM63+GL63</f>
        <v>71248.361652283464</v>
      </c>
      <c r="GO63" s="884">
        <f>+GP63-GL63</f>
        <v>35568</v>
      </c>
      <c r="GP63" s="884">
        <v>70812</v>
      </c>
      <c r="GQ63" s="884">
        <f>GQ65*GQ5</f>
        <v>45062.518484641878</v>
      </c>
      <c r="GR63" s="592">
        <f>+GS63-GP63</f>
        <v>45575</v>
      </c>
      <c r="GS63" s="592">
        <v>116387</v>
      </c>
      <c r="GT63" s="592">
        <f>+GU63-GR63</f>
        <v>37733</v>
      </c>
      <c r="GU63" s="592">
        <f>+GV63-GP63</f>
        <v>83308</v>
      </c>
      <c r="GV63" s="594">
        <v>154120</v>
      </c>
      <c r="GW63" s="592"/>
      <c r="GX63" s="884"/>
      <c r="GY63" s="884"/>
      <c r="GZ63" s="884"/>
      <c r="HA63" s="891"/>
      <c r="HB63" s="884">
        <f>HB65*HB5</f>
        <v>40142.374515661257</v>
      </c>
      <c r="HC63" s="884"/>
      <c r="HD63" s="884">
        <v>41293</v>
      </c>
      <c r="HE63" s="884">
        <v>23803</v>
      </c>
      <c r="HF63" s="884">
        <f>+HI63-HD63</f>
        <v>38013</v>
      </c>
      <c r="HG63" s="884"/>
      <c r="HH63" s="884">
        <f>HM63-HE63</f>
        <v>21262</v>
      </c>
      <c r="HI63" s="884">
        <v>79306</v>
      </c>
      <c r="HJ63" s="884">
        <f>HI65*HI5</f>
        <v>79306</v>
      </c>
      <c r="HK63" s="884">
        <f>HI63+HD63</f>
        <v>120599</v>
      </c>
      <c r="HL63" s="884"/>
      <c r="HM63" s="884">
        <v>45065</v>
      </c>
      <c r="HN63" s="592">
        <f>+HP63-HI63</f>
        <v>46535</v>
      </c>
      <c r="HO63" s="592">
        <f>+HQ63-HM63</f>
        <v>25628</v>
      </c>
      <c r="HP63" s="592">
        <v>125841</v>
      </c>
      <c r="HQ63" s="892">
        <v>70693</v>
      </c>
      <c r="HR63" s="180">
        <f>+HT63-HN63</f>
        <v>39409</v>
      </c>
      <c r="HS63" s="893">
        <f>+HU63-HO63</f>
        <v>22137</v>
      </c>
      <c r="HT63" s="180">
        <f>+HV63-HI63</f>
        <v>85944</v>
      </c>
      <c r="HU63" s="180">
        <f>+HZ63-HM63</f>
        <v>47765</v>
      </c>
      <c r="HV63" s="180">
        <v>165250</v>
      </c>
      <c r="HW63" s="884">
        <f>HW65*HW5</f>
        <v>46555.020828867826</v>
      </c>
      <c r="HX63" s="884"/>
      <c r="HY63" s="884"/>
      <c r="HZ63" s="180">
        <v>92830</v>
      </c>
      <c r="IA63" s="884"/>
      <c r="IB63" s="884"/>
      <c r="IC63" s="891"/>
      <c r="ID63" s="884">
        <f>ID65*ID5</f>
        <v>0</v>
      </c>
      <c r="IE63" s="894">
        <v>21688</v>
      </c>
      <c r="IF63" s="884">
        <f>IG63-IE63</f>
        <v>21195</v>
      </c>
      <c r="IG63" s="895">
        <v>42883</v>
      </c>
      <c r="IH63" s="884">
        <f>+IJ63-IG63</f>
        <v>26295</v>
      </c>
      <c r="II63" s="884"/>
      <c r="IJ63" s="896">
        <v>69178</v>
      </c>
      <c r="IK63" s="884"/>
      <c r="IL63" s="884"/>
      <c r="IM63" s="884">
        <f>+IO63-IH63</f>
        <v>21340</v>
      </c>
      <c r="IN63" s="884"/>
      <c r="IO63" s="884">
        <f>+IR63-IG63</f>
        <v>47635</v>
      </c>
      <c r="IP63" s="885"/>
      <c r="IQ63" s="884"/>
      <c r="IR63" s="897">
        <v>90518</v>
      </c>
      <c r="IS63" s="1291"/>
      <c r="IT63" s="884"/>
      <c r="IU63" s="898">
        <v>27133</v>
      </c>
      <c r="IV63" s="899">
        <f>IX63-IU63</f>
        <v>25430</v>
      </c>
      <c r="IW63" s="884"/>
      <c r="IX63" s="884">
        <v>52563</v>
      </c>
      <c r="IY63" s="884"/>
      <c r="IZ63" s="884">
        <f>+JA63-IX63</f>
        <v>29450</v>
      </c>
      <c r="JA63" s="884">
        <v>82013</v>
      </c>
      <c r="JB63" s="884">
        <f>+JC63-IZ63</f>
        <v>26029</v>
      </c>
      <c r="JC63" s="884">
        <f>+JD63-IX63</f>
        <v>55479</v>
      </c>
      <c r="JD63" s="884">
        <f>+Model!AE23</f>
        <v>108042</v>
      </c>
      <c r="JE63" s="884"/>
      <c r="JF63" s="884"/>
      <c r="JG63" s="884"/>
      <c r="JH63" s="885"/>
      <c r="JI63" s="1291"/>
      <c r="JJ63" s="894"/>
      <c r="JK63" s="884"/>
      <c r="JL63" s="884">
        <v>29715</v>
      </c>
      <c r="JM63" s="884">
        <f>+JP63-JL63</f>
        <v>35099</v>
      </c>
      <c r="JN63" s="884">
        <f>JS63-JP63</f>
        <v>36477</v>
      </c>
      <c r="JO63" s="884"/>
      <c r="JP63" s="884">
        <v>64814</v>
      </c>
      <c r="JQ63" s="884"/>
      <c r="JR63" s="884"/>
      <c r="JS63" s="884">
        <v>101291</v>
      </c>
      <c r="JT63" s="884"/>
      <c r="JU63" s="884"/>
      <c r="JV63" s="884"/>
      <c r="JW63" s="884"/>
      <c r="JX63" s="884"/>
      <c r="JY63" s="884"/>
      <c r="JZ63" s="1145"/>
      <c r="KA63" s="533"/>
      <c r="KB63" s="884"/>
      <c r="KC63" s="884"/>
      <c r="KD63" s="884"/>
      <c r="KE63" s="884"/>
      <c r="KF63" s="884"/>
      <c r="KG63" s="884"/>
      <c r="KH63" s="884"/>
      <c r="KI63" s="533"/>
      <c r="KJ63" s="1145"/>
      <c r="KK63" s="884"/>
      <c r="KL63" s="884"/>
      <c r="KM63" s="884"/>
      <c r="KN63" s="1145"/>
      <c r="KO63" s="884">
        <v>0</v>
      </c>
      <c r="KP63" s="884"/>
      <c r="KQ63" s="885"/>
      <c r="KR63" s="884"/>
      <c r="KS63" s="885"/>
      <c r="KT63" s="884"/>
      <c r="KU63" s="888"/>
      <c r="KV63" s="884"/>
      <c r="KW63" s="885"/>
      <c r="KX63" s="884"/>
      <c r="KY63" s="884"/>
      <c r="KZ63" s="885"/>
      <c r="LA63" s="888"/>
      <c r="LB63" s="884"/>
      <c r="LC63" s="885"/>
      <c r="LD63" s="885"/>
      <c r="LE63" s="884"/>
      <c r="LF63" s="884"/>
      <c r="LG63" s="885"/>
    </row>
    <row r="64" spans="1:319" s="806" customFormat="1" ht="12">
      <c r="A64" s="592"/>
      <c r="B64" s="2360" t="s">
        <v>1443</v>
      </c>
      <c r="C64" s="1676" t="s">
        <v>1443</v>
      </c>
      <c r="D64" s="799"/>
      <c r="E64" s="592"/>
      <c r="F64" s="592"/>
      <c r="G64" s="592"/>
      <c r="H64" s="592"/>
      <c r="I64" s="592"/>
      <c r="J64" s="592"/>
      <c r="K64" s="590"/>
      <c r="L64" s="590"/>
      <c r="M64" s="590"/>
      <c r="N64" s="590"/>
      <c r="O64" s="590"/>
      <c r="P64" s="590"/>
      <c r="Q64" s="590"/>
      <c r="R64" s="590"/>
      <c r="S64" s="800"/>
      <c r="T64" s="590"/>
      <c r="U64" s="590"/>
      <c r="V64" s="590"/>
      <c r="W64" s="590"/>
      <c r="X64" s="590"/>
      <c r="Y64" s="590"/>
      <c r="Z64" s="590"/>
      <c r="AA64" s="590"/>
      <c r="AB64" s="800"/>
      <c r="AC64" s="590"/>
      <c r="AD64" s="590"/>
      <c r="AE64" s="590"/>
      <c r="AF64" s="590"/>
      <c r="AG64" s="590"/>
      <c r="AH64" s="590"/>
      <c r="AI64" s="590"/>
      <c r="AJ64" s="590"/>
      <c r="AK64" s="799"/>
      <c r="AL64" s="590"/>
      <c r="AM64" s="590"/>
      <c r="AN64" s="590"/>
      <c r="AO64" s="590"/>
      <c r="AP64" s="590"/>
      <c r="AQ64" s="590"/>
      <c r="AR64" s="590"/>
      <c r="AS64" s="590"/>
      <c r="AT64" s="799"/>
      <c r="AU64" s="590"/>
      <c r="AV64" s="590"/>
      <c r="AW64" s="590"/>
      <c r="AX64" s="590"/>
      <c r="AY64" s="590"/>
      <c r="AZ64" s="590"/>
      <c r="BA64" s="590"/>
      <c r="BB64" s="880"/>
      <c r="BC64" s="880"/>
      <c r="BD64" s="801"/>
      <c r="BE64" s="590"/>
      <c r="BF64" s="799"/>
      <c r="BG64" s="590"/>
      <c r="BH64" s="590"/>
      <c r="BI64" s="590"/>
      <c r="BJ64" s="799"/>
      <c r="BK64" s="592"/>
      <c r="BL64" s="592"/>
      <c r="BM64" s="592"/>
      <c r="BN64" s="592"/>
      <c r="BO64" s="799"/>
      <c r="BP64" s="590"/>
      <c r="BQ64" s="801"/>
      <c r="BR64" s="590"/>
      <c r="BS64" s="801"/>
      <c r="BT64" s="590"/>
      <c r="BU64" s="590"/>
      <c r="BV64" s="590"/>
      <c r="BW64" s="801"/>
      <c r="BX64" s="590"/>
      <c r="BY64" s="590"/>
      <c r="BZ64" s="801"/>
      <c r="CA64" s="801"/>
      <c r="CB64" s="590"/>
      <c r="CC64" s="590"/>
      <c r="CD64" s="590"/>
      <c r="CE64" s="590"/>
      <c r="CF64" s="799"/>
      <c r="CG64" s="881"/>
      <c r="CH64" s="592"/>
      <c r="CI64" s="592"/>
      <c r="CJ64" s="592"/>
      <c r="CK64" s="592"/>
      <c r="CL64" s="882"/>
      <c r="CM64" s="592"/>
      <c r="CN64" s="592"/>
      <c r="CO64" s="592"/>
      <c r="CP64" s="592"/>
      <c r="CQ64" s="592"/>
      <c r="CR64" s="592"/>
      <c r="CS64" s="592"/>
      <c r="CT64" s="592"/>
      <c r="CU64" s="592"/>
      <c r="CV64" s="592"/>
      <c r="CW64" s="594"/>
      <c r="CX64" s="180"/>
      <c r="CY64" s="180"/>
      <c r="CZ64" s="180"/>
      <c r="DA64" s="180"/>
      <c r="DB64" s="180"/>
      <c r="DC64" s="180"/>
      <c r="DD64" s="180"/>
      <c r="DE64" s="180"/>
      <c r="DF64" s="180"/>
      <c r="DG64" s="180"/>
      <c r="DH64" s="180"/>
      <c r="DI64" s="180"/>
      <c r="DJ64" s="180"/>
      <c r="DK64" s="180"/>
      <c r="DL64" s="883"/>
      <c r="DM64" s="459"/>
      <c r="DN64" s="590"/>
      <c r="DO64" s="590"/>
      <c r="DP64" s="884"/>
      <c r="DQ64" s="884"/>
      <c r="DR64" s="884"/>
      <c r="DS64" s="885"/>
      <c r="DT64" s="459"/>
      <c r="DU64" s="590"/>
      <c r="DV64" s="590"/>
      <c r="DW64" s="882"/>
      <c r="DX64" s="884"/>
      <c r="DY64" s="884"/>
      <c r="DZ64" s="463"/>
      <c r="EB64" s="882"/>
      <c r="EC64" s="884"/>
      <c r="ED64" s="883"/>
      <c r="EE64" s="799"/>
      <c r="EF64" s="592"/>
      <c r="EG64" s="881"/>
      <c r="EH64" s="592"/>
      <c r="EI64" s="592"/>
      <c r="EJ64" s="592"/>
      <c r="EK64" s="592"/>
      <c r="EL64" s="592"/>
      <c r="EM64" s="592"/>
      <c r="EN64" s="592"/>
      <c r="EO64" s="592"/>
      <c r="EQ64" s="592"/>
      <c r="ES64" s="592"/>
      <c r="EU64" s="594"/>
      <c r="EV64" s="533"/>
      <c r="EW64" s="592"/>
      <c r="EX64" s="592"/>
      <c r="EY64" s="592"/>
      <c r="EZ64" s="592"/>
      <c r="FA64" s="592"/>
      <c r="FB64" s="592"/>
      <c r="FC64" s="592"/>
      <c r="FD64" s="843"/>
      <c r="FE64" s="592"/>
      <c r="FF64" s="886"/>
      <c r="FG64" s="887"/>
      <c r="FH64" s="180"/>
      <c r="FI64" s="592"/>
      <c r="FJ64" s="592"/>
      <c r="FK64" s="594"/>
      <c r="FL64" s="883"/>
      <c r="FM64" s="590"/>
      <c r="FN64" s="884"/>
      <c r="FO64" s="884"/>
      <c r="FP64" s="884"/>
      <c r="FQ64" s="885"/>
      <c r="FR64" s="885"/>
      <c r="FS64" s="592"/>
      <c r="FT64" s="884"/>
      <c r="FU64" s="884"/>
      <c r="FV64" s="592"/>
      <c r="FW64" s="884"/>
      <c r="FX64" s="884"/>
      <c r="FY64" s="592"/>
      <c r="FZ64" s="592"/>
      <c r="GA64" s="592"/>
      <c r="GB64" s="592"/>
      <c r="GC64" s="592"/>
      <c r="GD64" s="594"/>
      <c r="GE64" s="592"/>
      <c r="GF64" s="592"/>
      <c r="GG64" s="592"/>
      <c r="GH64" s="884"/>
      <c r="GI64" s="884"/>
      <c r="GJ64" s="891"/>
      <c r="GK64" s="884"/>
      <c r="GL64" s="884"/>
      <c r="GM64" s="884"/>
      <c r="GN64" s="884"/>
      <c r="GO64" s="884"/>
      <c r="GP64" s="884"/>
      <c r="GQ64" s="884"/>
      <c r="GR64" s="592"/>
      <c r="GS64" s="592"/>
      <c r="GT64" s="592"/>
      <c r="GU64" s="592"/>
      <c r="GV64" s="594"/>
      <c r="GW64" s="592"/>
      <c r="GX64" s="884"/>
      <c r="GY64" s="884"/>
      <c r="GZ64" s="884"/>
      <c r="HA64" s="891"/>
      <c r="HB64" s="884"/>
      <c r="HC64" s="884"/>
      <c r="HD64" s="884"/>
      <c r="HE64" s="884"/>
      <c r="HF64" s="884"/>
      <c r="HG64" s="884"/>
      <c r="HH64" s="884"/>
      <c r="HI64" s="884"/>
      <c r="HJ64" s="884"/>
      <c r="HK64" s="884"/>
      <c r="HL64" s="884"/>
      <c r="HM64" s="884"/>
      <c r="HN64" s="592"/>
      <c r="HO64" s="592"/>
      <c r="HP64" s="592"/>
      <c r="HQ64" s="892"/>
      <c r="HR64" s="180"/>
      <c r="HS64" s="893"/>
      <c r="HT64" s="180"/>
      <c r="HU64" s="180"/>
      <c r="HV64" s="180"/>
      <c r="HW64" s="884"/>
      <c r="HX64" s="884"/>
      <c r="HY64" s="884"/>
      <c r="HZ64" s="180"/>
      <c r="IA64" s="884"/>
      <c r="IB64" s="884"/>
      <c r="IC64" s="891"/>
      <c r="ID64" s="884"/>
      <c r="IE64" s="894"/>
      <c r="IF64" s="884"/>
      <c r="IG64" s="895"/>
      <c r="IH64" s="884"/>
      <c r="II64" s="884"/>
      <c r="IJ64" s="896"/>
      <c r="IK64" s="884"/>
      <c r="IL64" s="884"/>
      <c r="IM64" s="884"/>
      <c r="IN64" s="884"/>
      <c r="IO64" s="884"/>
      <c r="IP64" s="885"/>
      <c r="IQ64" s="884"/>
      <c r="IR64" s="897"/>
      <c r="IS64" s="1291"/>
      <c r="IT64" s="884"/>
      <c r="IU64" s="898"/>
      <c r="IV64" s="899"/>
      <c r="IW64" s="884"/>
      <c r="IX64" s="884"/>
      <c r="IY64" s="884"/>
      <c r="IZ64" s="884"/>
      <c r="JA64" s="884"/>
      <c r="JB64" s="884"/>
      <c r="JC64" s="884"/>
      <c r="JD64" s="884"/>
      <c r="JE64" s="884"/>
      <c r="JF64" s="884"/>
      <c r="JG64" s="884"/>
      <c r="JH64" s="885"/>
      <c r="JI64" s="1291"/>
      <c r="JJ64" s="1671"/>
      <c r="JK64" s="1670"/>
      <c r="JL64" s="1670">
        <f>+JL63/IU63-1</f>
        <v>9.5160874212213864E-2</v>
      </c>
      <c r="JM64" s="1670">
        <f t="shared" ref="JM64" si="91">+JM63/IV63-1</f>
        <v>0.38022021234762082</v>
      </c>
      <c r="JN64" s="1670">
        <f>+JN63/IZ63-1</f>
        <v>0.23860780984719865</v>
      </c>
      <c r="JO64" s="1670">
        <f>+JO63/JB63-1</f>
        <v>-1</v>
      </c>
      <c r="JP64" s="1670">
        <f>+JP63/IX63-1</f>
        <v>0.23307269371991701</v>
      </c>
      <c r="JQ64" s="1670">
        <f>+JQ63/JC63-1</f>
        <v>-1</v>
      </c>
      <c r="JR64" s="1670">
        <f>+JR63/JD63-1</f>
        <v>-1</v>
      </c>
      <c r="JS64" s="1670">
        <f>+JS63/JA63-1</f>
        <v>0.23506029531903483</v>
      </c>
      <c r="JT64" s="1670"/>
      <c r="JU64" s="1670"/>
      <c r="JV64" s="1670"/>
      <c r="JW64" s="1670"/>
      <c r="JX64" s="1670"/>
      <c r="JY64" s="1670"/>
      <c r="JZ64" s="1145"/>
      <c r="KA64" s="533"/>
      <c r="KB64" s="884"/>
      <c r="KC64" s="884"/>
      <c r="KD64" s="884"/>
      <c r="KE64" s="884"/>
      <c r="KF64" s="884"/>
      <c r="KG64" s="884"/>
      <c r="KH64" s="884"/>
      <c r="KI64" s="533"/>
      <c r="KJ64" s="1145"/>
      <c r="KK64" s="884"/>
      <c r="KL64" s="884"/>
      <c r="KM64" s="884"/>
      <c r="KN64" s="1145"/>
      <c r="KO64" s="884"/>
      <c r="KP64" s="884"/>
      <c r="KQ64" s="885"/>
      <c r="KR64" s="884"/>
      <c r="KS64" s="885"/>
      <c r="KT64" s="884"/>
      <c r="KU64" s="884"/>
      <c r="KV64" s="884"/>
      <c r="KW64" s="885"/>
      <c r="KX64" s="884"/>
      <c r="KY64" s="884"/>
      <c r="KZ64" s="885"/>
      <c r="LA64" s="884"/>
      <c r="LB64" s="884"/>
      <c r="LC64" s="885"/>
      <c r="LD64" s="885"/>
      <c r="LE64" s="884"/>
      <c r="LF64" s="884"/>
      <c r="LG64" s="885"/>
    </row>
    <row r="65" spans="1:323" s="919" customFormat="1">
      <c r="A65" s="900"/>
      <c r="B65" s="901" t="s">
        <v>990</v>
      </c>
      <c r="C65" s="902" t="s">
        <v>953</v>
      </c>
      <c r="D65" s="903"/>
      <c r="E65" s="904">
        <f t="shared" ref="E65:J65" si="92">E63/E5</f>
        <v>0.36330854731118462</v>
      </c>
      <c r="F65" s="904">
        <f t="shared" si="92"/>
        <v>0.35325763684189654</v>
      </c>
      <c r="G65" s="904">
        <f t="shared" si="92"/>
        <v>0.36094238165772541</v>
      </c>
      <c r="H65" s="904">
        <f t="shared" si="92"/>
        <v>0.36815159709655776</v>
      </c>
      <c r="I65" s="904">
        <f t="shared" si="92"/>
        <v>0.36390184369960338</v>
      </c>
      <c r="J65" s="904">
        <f t="shared" si="92"/>
        <v>0.36722225046386903</v>
      </c>
      <c r="K65" s="905"/>
      <c r="L65" s="906"/>
      <c r="M65" s="906"/>
      <c r="N65" s="906"/>
      <c r="O65" s="906"/>
      <c r="P65" s="906"/>
      <c r="Q65" s="906"/>
      <c r="R65" s="906"/>
      <c r="S65" s="907"/>
      <c r="T65" s="905">
        <f t="shared" ref="T65:AA65" si="93">+T63/T5</f>
        <v>0.37475322111388198</v>
      </c>
      <c r="U65" s="905">
        <f t="shared" si="93"/>
        <v>0.37132882561353875</v>
      </c>
      <c r="V65" s="905">
        <f t="shared" si="93"/>
        <v>0.40292033790535015</v>
      </c>
      <c r="W65" s="905">
        <f t="shared" si="93"/>
        <v>0.36764545206227806</v>
      </c>
      <c r="X65" s="905">
        <f t="shared" si="93"/>
        <v>0.38390943221665558</v>
      </c>
      <c r="Y65" s="905">
        <f t="shared" si="93"/>
        <v>0.37304034535363045</v>
      </c>
      <c r="Z65" s="905">
        <f t="shared" si="93"/>
        <v>0.38690697616744785</v>
      </c>
      <c r="AA65" s="905">
        <f t="shared" si="93"/>
        <v>0.38013300056764665</v>
      </c>
      <c r="AB65" s="907"/>
      <c r="AC65" s="905">
        <f t="shared" ref="AC65:AJ65" si="94">+AC63/AC5</f>
        <v>0.37980933156940033</v>
      </c>
      <c r="AD65" s="905">
        <f t="shared" si="94"/>
        <v>0.36980000821321507</v>
      </c>
      <c r="AE65" s="905">
        <f t="shared" si="94"/>
        <v>0.38713360800470864</v>
      </c>
      <c r="AF65" s="905">
        <f t="shared" si="94"/>
        <v>0.32234839851448643</v>
      </c>
      <c r="AG65" s="905">
        <f t="shared" si="94"/>
        <v>0.37933807127665092</v>
      </c>
      <c r="AH65" s="905">
        <f t="shared" si="94"/>
        <v>0.37481383305778349</v>
      </c>
      <c r="AI65" s="905">
        <f t="shared" si="94"/>
        <v>0.35684512056764262</v>
      </c>
      <c r="AJ65" s="905">
        <f t="shared" si="94"/>
        <v>0.36544289025239368</v>
      </c>
      <c r="AK65" s="903"/>
      <c r="AL65" s="905">
        <f t="shared" ref="AL65:AS65" si="95">+AL63/AL5</f>
        <v>0.36779088695465001</v>
      </c>
      <c r="AM65" s="905">
        <f t="shared" si="95"/>
        <v>0.35598636557307201</v>
      </c>
      <c r="AN65" s="905">
        <f t="shared" si="95"/>
        <v>0.38621896000088568</v>
      </c>
      <c r="AO65" s="905">
        <f t="shared" si="95"/>
        <v>0.36217127942480054</v>
      </c>
      <c r="AP65" s="905">
        <f t="shared" si="95"/>
        <v>0.37103568509033885</v>
      </c>
      <c r="AQ65" s="905">
        <f t="shared" si="95"/>
        <v>0.36185817434771844</v>
      </c>
      <c r="AR65" s="905">
        <f t="shared" si="95"/>
        <v>0.37483313999918394</v>
      </c>
      <c r="AS65" s="905">
        <f t="shared" si="95"/>
        <v>0.36879260283873538</v>
      </c>
      <c r="AT65" s="903"/>
      <c r="AU65" s="905">
        <f>+AU63/AU5</f>
        <v>0.37198495526373215</v>
      </c>
      <c r="AV65" s="905">
        <f>+AV63/AV5</f>
        <v>0.37451175519343199</v>
      </c>
      <c r="AW65" s="905">
        <f>+AW63/AW5</f>
        <v>0.38884370952682146</v>
      </c>
      <c r="AX65" s="905">
        <v>-0.64638055333719879</v>
      </c>
      <c r="AY65" s="905">
        <f>+AY63/AY5</f>
        <v>0.36711183959922894</v>
      </c>
      <c r="AZ65" s="905"/>
      <c r="BA65" s="905">
        <f>+BA63/BA5</f>
        <v>0.3792837367290437</v>
      </c>
      <c r="BB65" s="908">
        <f>+BB63/BB5</f>
        <v>0.37326822118755965</v>
      </c>
      <c r="BC65" s="908">
        <f>+BC63/BC5</f>
        <v>0.37873450890268262</v>
      </c>
      <c r="BD65" s="909">
        <v>0.37003400921740581</v>
      </c>
      <c r="BE65" s="905">
        <f>+BE63/BE5</f>
        <v>0.3762230536358544</v>
      </c>
      <c r="BF65" s="903"/>
      <c r="BG65" s="905"/>
      <c r="BH65" s="905"/>
      <c r="BI65" s="905"/>
      <c r="BJ65" s="903"/>
      <c r="BK65" s="900"/>
      <c r="BL65" s="900"/>
      <c r="BM65" s="900"/>
      <c r="BN65" s="900"/>
      <c r="BO65" s="903"/>
      <c r="BP65" s="905">
        <f>+BP63/BP5</f>
        <v>0.38327680786652402</v>
      </c>
      <c r="BQ65" s="909"/>
      <c r="BR65" s="905">
        <f>+BR63/BR5</f>
        <v>0.36953326398625119</v>
      </c>
      <c r="BS65" s="910"/>
      <c r="BT65" s="905">
        <f>+BT63/BT5</f>
        <v>0.39764497812529087</v>
      </c>
      <c r="BU65" s="905"/>
      <c r="BV65" s="905">
        <f>+BV63/BV5</f>
        <v>0.37213953961419804</v>
      </c>
      <c r="BW65" s="910"/>
      <c r="BX65" s="905">
        <f>+BX63/BX5</f>
        <v>0.38443293155705927</v>
      </c>
      <c r="BY65" s="905">
        <f>+BY63/BY5</f>
        <v>0.37638250808235496</v>
      </c>
      <c r="BZ65" s="910"/>
      <c r="CA65" s="910"/>
      <c r="CB65" s="906"/>
      <c r="CC65" s="905">
        <f>+CC63/CC5</f>
        <v>0.38612501977838004</v>
      </c>
      <c r="CD65" s="906"/>
      <c r="CE65" s="911">
        <f>+CE63/CE5</f>
        <v>0.38151040617251114</v>
      </c>
      <c r="CF65" s="903"/>
      <c r="CG65" s="912">
        <f>+CG63/CG5</f>
        <v>0.3506073815751235</v>
      </c>
      <c r="CH65" s="900"/>
      <c r="CI65" s="900"/>
      <c r="CJ65" s="913">
        <f>+CJ63/CJ5</f>
        <v>0.35010758585773355</v>
      </c>
      <c r="CK65" s="900"/>
      <c r="CL65" s="913">
        <f>+CL63/CL5</f>
        <v>0.37896092513258983</v>
      </c>
      <c r="CM65" s="900"/>
      <c r="CN65" s="913">
        <v>0.39401022325134344</v>
      </c>
      <c r="CO65" s="913">
        <f>+CO63/CO5</f>
        <v>1.5385092817243131</v>
      </c>
      <c r="CP65" s="913">
        <f>+CP63/CP5</f>
        <v>0.36127855004715625</v>
      </c>
      <c r="CQ65" s="900"/>
      <c r="CR65" s="913">
        <f>+CR63/CR5</f>
        <v>0.35034534625870278</v>
      </c>
      <c r="CS65" s="900"/>
      <c r="CT65" s="913">
        <v>0.38573613221417435</v>
      </c>
      <c r="CU65" s="913">
        <f>+CU63/CU5</f>
        <v>0.36412940436869468</v>
      </c>
      <c r="CV65" s="913">
        <v>0.36907860489328476</v>
      </c>
      <c r="CW65" s="914">
        <f>+CW63/CW5</f>
        <v>0.35759155849435686</v>
      </c>
      <c r="CX65" s="492"/>
      <c r="CY65" s="905">
        <f>+CY63/CY5</f>
        <v>0.35493183988885996</v>
      </c>
      <c r="CZ65" s="915">
        <f>+CZ63/CZ5</f>
        <v>0.3593187814823699</v>
      </c>
      <c r="DA65" s="915"/>
      <c r="DB65" s="915">
        <f>+DB63/DB5</f>
        <v>0.35716906974146778</v>
      </c>
      <c r="DC65" s="915">
        <f>+DC63/DC5</f>
        <v>0.39686984717705903</v>
      </c>
      <c r="DD65" s="915"/>
      <c r="DE65" s="915">
        <f>+DE63/DE5</f>
        <v>0.37541524407123744</v>
      </c>
      <c r="DF65" s="915"/>
      <c r="DG65" s="915">
        <f>+DG63/DG5</f>
        <v>0.37170072155910716</v>
      </c>
      <c r="DH65" s="915"/>
      <c r="DI65" s="915">
        <f>+DI63/DI5</f>
        <v>0.38734360035441195</v>
      </c>
      <c r="DJ65" s="915"/>
      <c r="DK65" s="915">
        <f>+DK63/DK5</f>
        <v>0.37254093655746773</v>
      </c>
      <c r="DL65" s="916">
        <v>0.36890713186249358</v>
      </c>
      <c r="DM65" s="626"/>
      <c r="DN65" s="905"/>
      <c r="DO65" s="905"/>
      <c r="DP65" s="917"/>
      <c r="DQ65" s="917"/>
      <c r="DR65" s="917"/>
      <c r="DS65" s="918"/>
      <c r="DT65" s="626"/>
      <c r="DU65" s="905"/>
      <c r="DV65" s="905"/>
      <c r="DW65" s="913">
        <f>+DW63/DW5</f>
        <v>0</v>
      </c>
      <c r="DX65" s="917">
        <f>+DX63/DX5</f>
        <v>0</v>
      </c>
      <c r="DY65" s="917">
        <f>+DY63/DY5</f>
        <v>0</v>
      </c>
      <c r="DZ65" s="497"/>
      <c r="EC65" s="917"/>
      <c r="ED65" s="916"/>
      <c r="EE65" s="903"/>
      <c r="EF65" s="900"/>
      <c r="EG65" s="920">
        <f>+EG63/EG5</f>
        <v>0.37794955694882126</v>
      </c>
      <c r="EH65" s="900"/>
      <c r="EI65" s="915">
        <f>+EI63/EI5</f>
        <v>0.37009820075133459</v>
      </c>
      <c r="EJ65" s="900"/>
      <c r="EK65" s="915">
        <f>+EK63/EK5</f>
        <v>0.37402463332802521</v>
      </c>
      <c r="EL65" s="900"/>
      <c r="EM65" s="915">
        <f>+EM63/EM5</f>
        <v>0.39270812017900514</v>
      </c>
      <c r="EN65" s="900"/>
      <c r="EO65" s="915">
        <f>+EO63/EO5</f>
        <v>0.38115513904451459</v>
      </c>
      <c r="EQ65" s="915">
        <f>+EQ63/EQ5</f>
        <v>0.37123446148262407</v>
      </c>
      <c r="ES65" s="915">
        <f>+ES63/ES5</f>
        <v>0.38326843398963939</v>
      </c>
      <c r="EU65" s="921">
        <f>+EU63/EU5</f>
        <v>0.37886944114895554</v>
      </c>
      <c r="EV65" s="922"/>
      <c r="EW65" s="915">
        <v>0</v>
      </c>
      <c r="EX65" s="915">
        <f>+EX63/EX5</f>
        <v>0.3739450289011142</v>
      </c>
      <c r="EY65" s="915">
        <v>-0.36240529807805894</v>
      </c>
      <c r="EZ65" s="915">
        <f>+EZ63/EZ5</f>
        <v>0.3656448694753166</v>
      </c>
      <c r="FA65" s="915">
        <v>0</v>
      </c>
      <c r="FB65" s="915">
        <f>+FB63/FB5</f>
        <v>0.36971901418088793</v>
      </c>
      <c r="FC65" s="915">
        <f>+FC63/FC5</f>
        <v>0.39678553490708185</v>
      </c>
      <c r="FD65" s="862">
        <v>-0.64059400003198608</v>
      </c>
      <c r="FE65" s="915">
        <f>+FE63/FE5</f>
        <v>0.37961593300364965</v>
      </c>
      <c r="FF65" s="923">
        <v>0</v>
      </c>
      <c r="FG65" s="924">
        <f t="shared" ref="FG65:FL65" si="96">+FG63/FG5</f>
        <v>0.37079871918314339</v>
      </c>
      <c r="FH65" s="915">
        <f t="shared" si="96"/>
        <v>0.37080991513468731</v>
      </c>
      <c r="FI65" s="915">
        <f t="shared" si="96"/>
        <v>0.38511138047408999</v>
      </c>
      <c r="FJ65" s="915">
        <f t="shared" si="96"/>
        <v>0.38511641007328123</v>
      </c>
      <c r="FK65" s="921">
        <f t="shared" si="96"/>
        <v>0.37759036206555091</v>
      </c>
      <c r="FL65" s="916">
        <f t="shared" si="96"/>
        <v>0.37759293410185779</v>
      </c>
      <c r="FM65" s="905"/>
      <c r="FN65" s="917"/>
      <c r="FO65" s="917"/>
      <c r="FP65" s="917"/>
      <c r="FQ65" s="918"/>
      <c r="FR65" s="918"/>
      <c r="FS65" s="915">
        <f>+FS63/FS5</f>
        <v>0.36945084703717868</v>
      </c>
      <c r="FT65" s="917"/>
      <c r="FU65" s="917"/>
      <c r="FV65" s="915">
        <f>+FV63/FV5</f>
        <v>0.35119656576598263</v>
      </c>
      <c r="FW65" s="917"/>
      <c r="FX65" s="917"/>
      <c r="FY65" s="915">
        <f t="shared" ref="FY65:GD65" si="97">+FY63/FY5</f>
        <v>0.36018650961308418</v>
      </c>
      <c r="FZ65" s="915">
        <f t="shared" si="97"/>
        <v>0.38874806236892495</v>
      </c>
      <c r="GA65" s="915">
        <f t="shared" si="97"/>
        <v>0.37041888664939682</v>
      </c>
      <c r="GB65" s="924">
        <f t="shared" si="97"/>
        <v>0.3466922258618329</v>
      </c>
      <c r="GC65" s="915">
        <f t="shared" si="97"/>
        <v>0.36923362640692431</v>
      </c>
      <c r="GD65" s="921">
        <f t="shared" si="97"/>
        <v>0.36480212634392517</v>
      </c>
      <c r="GE65" s="915"/>
      <c r="GF65" s="915"/>
      <c r="GG65" s="915"/>
      <c r="GH65" s="917"/>
      <c r="GI65" s="917"/>
      <c r="GJ65" s="925"/>
      <c r="GK65" s="917">
        <v>0.36399999999999999</v>
      </c>
      <c r="GL65" s="917">
        <f>+GL63/GL5</f>
        <v>0.36052292395507274</v>
      </c>
      <c r="GM65" s="917">
        <v>0.35599999999999998</v>
      </c>
      <c r="GN65" s="915">
        <f>+GN63/GN5</f>
        <v>0.35822305519209396</v>
      </c>
      <c r="GO65" s="915">
        <f>+GO63/GO5</f>
        <v>0.35360434250946943</v>
      </c>
      <c r="GP65" s="915">
        <f>+GP63/GP5</f>
        <v>0.35701429327686607</v>
      </c>
      <c r="GQ65" s="915">
        <v>0.39300000000000002</v>
      </c>
      <c r="GR65" s="915">
        <f>+GR63/GR5</f>
        <v>0.39440776094086694</v>
      </c>
      <c r="GS65" s="915">
        <f>+GS63/GS5</f>
        <v>0.37077968002344713</v>
      </c>
      <c r="GT65" s="924">
        <f>+GT63/GT5</f>
        <v>0.36944963919595036</v>
      </c>
      <c r="GU65" s="915">
        <f>+GU63/GU5</f>
        <v>0.38269801457144692</v>
      </c>
      <c r="GV65" s="921">
        <f>+GV63/GV5</f>
        <v>0.37045316334600065</v>
      </c>
      <c r="GW65" s="915"/>
      <c r="GX65" s="915"/>
      <c r="GY65" s="917"/>
      <c r="GZ65" s="917"/>
      <c r="HA65" s="925"/>
      <c r="HB65" s="917">
        <v>0.375</v>
      </c>
      <c r="HC65" s="917"/>
      <c r="HD65" s="917">
        <f>+HD63/HD5</f>
        <v>0.39589085749348057</v>
      </c>
      <c r="HE65" s="915">
        <f>+HE63/HE5</f>
        <v>0.27794904131343562</v>
      </c>
      <c r="HF65" s="915">
        <f>+HF63/HF5</f>
        <v>0.3828482223788901</v>
      </c>
      <c r="HG65" s="915"/>
      <c r="HH65" s="915">
        <f>+HH63/HH5</f>
        <v>0.26199248351919169</v>
      </c>
      <c r="HI65" s="915">
        <f>+HI63/HI5</f>
        <v>0.38953014332445945</v>
      </c>
      <c r="HJ65" s="917">
        <v>0.38</v>
      </c>
      <c r="HK65" s="915">
        <f>+HK63/HK5</f>
        <v>0.39168490863857514</v>
      </c>
      <c r="HL65" s="915"/>
      <c r="HM65" s="915">
        <f t="shared" ref="HM65:HR65" si="98">+HM63/HM5</f>
        <v>0.27018519961868903</v>
      </c>
      <c r="HN65" s="915">
        <f t="shared" si="98"/>
        <v>0.41811924956871765</v>
      </c>
      <c r="HO65" s="915">
        <f t="shared" si="98"/>
        <v>0.28618009648025727</v>
      </c>
      <c r="HP65" s="915">
        <f t="shared" si="98"/>
        <v>0.39963479310235323</v>
      </c>
      <c r="HQ65" s="915">
        <f t="shared" si="98"/>
        <v>0.27577288419902868</v>
      </c>
      <c r="HR65" s="915">
        <f t="shared" si="98"/>
        <v>0.38402471229085666</v>
      </c>
      <c r="HS65" s="915"/>
      <c r="HT65" s="915">
        <f>+HT63/HT5</f>
        <v>0.40176330071943789</v>
      </c>
      <c r="HU65" s="915"/>
      <c r="HV65" s="915">
        <f>+HV63/HV5</f>
        <v>0.3957979550239395</v>
      </c>
      <c r="HW65" s="917">
        <v>0.4</v>
      </c>
      <c r="HX65" s="915"/>
      <c r="HY65" s="917"/>
      <c r="HZ65" s="915"/>
      <c r="IA65" s="917"/>
      <c r="IB65" s="917"/>
      <c r="IC65" s="925"/>
      <c r="ID65" s="917"/>
      <c r="IE65" s="926">
        <f>+IE63/IE5</f>
        <v>0.2593017694882831</v>
      </c>
      <c r="IF65" s="917">
        <f>+IF63/IF5</f>
        <v>0.24401897349697207</v>
      </c>
      <c r="IG65" s="917">
        <f>+IG63/IG5</f>
        <v>0.25151614681697149</v>
      </c>
      <c r="IH65" s="917">
        <f>+IH63/IH5</f>
        <v>0.26941874404450866</v>
      </c>
      <c r="II65" s="917"/>
      <c r="IJ65" s="917">
        <f>+IJ63/IJ5</f>
        <v>0.25803347295941392</v>
      </c>
      <c r="IK65" s="917"/>
      <c r="IL65" s="917"/>
      <c r="IM65" s="917">
        <f>+IM63/IM5</f>
        <v>0.22848454999036383</v>
      </c>
      <c r="IN65" s="917"/>
      <c r="IO65" s="917">
        <f>+IO63/IO5</f>
        <v>0.24940182306528375</v>
      </c>
      <c r="IP65" s="918"/>
      <c r="IQ65" s="917"/>
      <c r="IR65" s="918">
        <f>+IR63/IR5</f>
        <v>0.25039903733108343</v>
      </c>
      <c r="IS65" s="506"/>
      <c r="IT65" s="917"/>
      <c r="IU65" s="927">
        <f>+IU63/IU5</f>
        <v>0.26310277618858302</v>
      </c>
      <c r="IV65" s="927">
        <f>+IV63/IV5</f>
        <v>0.23157549652591222</v>
      </c>
      <c r="IW65" s="917"/>
      <c r="IX65" s="927">
        <f>+IX63/IX5</f>
        <v>0.24684418145956608</v>
      </c>
      <c r="IY65" s="917"/>
      <c r="IZ65" s="917">
        <f>+IZ63/IZ5</f>
        <v>0.26207362978651455</v>
      </c>
      <c r="JA65" s="917">
        <f>+JA63/JA5</f>
        <v>0.25210489590025609</v>
      </c>
      <c r="JB65" s="917">
        <f>+JB63/JB5</f>
        <v>0.2356141319598454</v>
      </c>
      <c r="JC65" s="917">
        <f>+JC63/JC5</f>
        <v>0.24895667860316092</v>
      </c>
      <c r="JD65" s="917">
        <f>+JD63/JD5</f>
        <v>0.24792443997742011</v>
      </c>
      <c r="JE65" s="917"/>
      <c r="JF65" s="917"/>
      <c r="JG65" s="917"/>
      <c r="JH65" s="918"/>
      <c r="JI65" s="506"/>
      <c r="JJ65" s="926"/>
      <c r="JK65" s="917"/>
      <c r="JL65" s="917">
        <f>+JL63/JL5</f>
        <v>0.26726688912673929</v>
      </c>
      <c r="JM65" s="917">
        <f>+JM63/JM5</f>
        <v>0.28372228374653419</v>
      </c>
      <c r="JN65" s="917">
        <f>+JN63/JN5</f>
        <v>0.29533880122096368</v>
      </c>
      <c r="JO65" s="917"/>
      <c r="JP65" s="917">
        <f>+JP63/JP5</f>
        <v>0.27593341564136403</v>
      </c>
      <c r="JQ65" s="917"/>
      <c r="JR65" s="917"/>
      <c r="JS65" s="917">
        <f>+JS63/JS5</f>
        <v>0.28262076624097726</v>
      </c>
      <c r="JT65" s="917"/>
      <c r="JU65" s="917"/>
      <c r="JV65" s="917"/>
      <c r="JW65" s="917"/>
      <c r="JX65" s="917"/>
      <c r="JY65" s="495"/>
      <c r="JZ65" s="503"/>
      <c r="KA65" s="501"/>
      <c r="KB65" s="917"/>
      <c r="KC65" s="917"/>
      <c r="KD65" s="917"/>
      <c r="KE65" s="917"/>
      <c r="KF65" s="917"/>
      <c r="KG65" s="917"/>
      <c r="KH65" s="917"/>
      <c r="KI65" s="501"/>
      <c r="KJ65" s="503"/>
      <c r="KK65" s="917"/>
      <c r="KL65" s="917"/>
      <c r="KM65" s="917"/>
      <c r="KN65" s="503"/>
      <c r="KO65" s="917">
        <v>0</v>
      </c>
      <c r="KP65" s="917"/>
      <c r="KQ65" s="918"/>
      <c r="KR65" s="917"/>
      <c r="KS65" s="918"/>
      <c r="KT65" s="917"/>
      <c r="KU65" s="917"/>
      <c r="KV65" s="917"/>
      <c r="KW65" s="918"/>
      <c r="KX65" s="917"/>
      <c r="KY65" s="917"/>
      <c r="KZ65" s="918"/>
      <c r="LA65" s="917"/>
      <c r="LB65" s="917"/>
      <c r="LC65" s="918"/>
      <c r="LD65" s="918"/>
      <c r="LE65" s="917"/>
      <c r="LF65" s="917"/>
      <c r="LG65" s="918"/>
    </row>
    <row r="66" spans="1:323" s="806" customFormat="1">
      <c r="A66" s="592"/>
      <c r="B66" s="478" t="s">
        <v>983</v>
      </c>
      <c r="C66" s="594" t="s">
        <v>955</v>
      </c>
      <c r="D66" s="799"/>
      <c r="E66" s="592">
        <f t="shared" ref="E66:J66" si="99">E63-E69</f>
        <v>73921</v>
      </c>
      <c r="F66" s="592">
        <f t="shared" si="99"/>
        <v>22500</v>
      </c>
      <c r="G66" s="592">
        <f t="shared" si="99"/>
        <v>96421</v>
      </c>
      <c r="H66" s="592">
        <f t="shared" si="99"/>
        <v>75000</v>
      </c>
      <c r="I66" s="592">
        <f t="shared" si="99"/>
        <v>20359</v>
      </c>
      <c r="J66" s="592">
        <f t="shared" si="99"/>
        <v>95359</v>
      </c>
      <c r="K66" s="590"/>
      <c r="L66" s="590"/>
      <c r="M66" s="590"/>
      <c r="N66" s="590"/>
      <c r="O66" s="590"/>
      <c r="P66" s="590"/>
      <c r="Q66" s="590"/>
      <c r="R66" s="590"/>
      <c r="S66" s="800"/>
      <c r="T66" s="590">
        <v>20522</v>
      </c>
      <c r="U66" s="590">
        <f>+Y66-T66</f>
        <v>21051</v>
      </c>
      <c r="V66" s="590">
        <f>+X66-Y66</f>
        <v>24983</v>
      </c>
      <c r="W66" s="590">
        <f>+Z66-V66</f>
        <v>22192</v>
      </c>
      <c r="X66" s="590">
        <v>66556</v>
      </c>
      <c r="Y66" s="590">
        <v>41573</v>
      </c>
      <c r="Z66" s="590">
        <f>+AA66-Y66</f>
        <v>47175</v>
      </c>
      <c r="AA66" s="590">
        <v>88748</v>
      </c>
      <c r="AB66" s="800"/>
      <c r="AC66" s="590">
        <v>20947</v>
      </c>
      <c r="AD66" s="590">
        <f>+AH66-AC66</f>
        <v>21462</v>
      </c>
      <c r="AE66" s="590">
        <f>+AG66-AH66</f>
        <v>24781</v>
      </c>
      <c r="AF66" s="590">
        <f>+AI66-AE66</f>
        <v>21792</v>
      </c>
      <c r="AG66" s="590">
        <v>67190</v>
      </c>
      <c r="AH66" s="590">
        <v>42409</v>
      </c>
      <c r="AI66" s="590">
        <f>+AJ66-AH66</f>
        <v>46573</v>
      </c>
      <c r="AJ66" s="590">
        <v>88982</v>
      </c>
      <c r="AK66" s="799"/>
      <c r="AL66" s="590">
        <v>20942</v>
      </c>
      <c r="AM66" s="590">
        <f>+AQ66-AL66</f>
        <v>21916</v>
      </c>
      <c r="AN66" s="590">
        <f>+AP66-AQ66</f>
        <v>26576</v>
      </c>
      <c r="AO66" s="590">
        <f>+AR66-AN66</f>
        <v>23429</v>
      </c>
      <c r="AP66" s="590">
        <v>69434</v>
      </c>
      <c r="AQ66" s="590">
        <v>42858</v>
      </c>
      <c r="AR66" s="590">
        <f>+AS66-AQ66</f>
        <v>50005</v>
      </c>
      <c r="AS66" s="590">
        <v>92863</v>
      </c>
      <c r="AT66" s="799"/>
      <c r="AU66" s="590">
        <v>22196</v>
      </c>
      <c r="AV66" s="590">
        <f>+BB66-AU66</f>
        <v>23484</v>
      </c>
      <c r="AW66" s="590">
        <f>+BA66-BB66</f>
        <v>29018</v>
      </c>
      <c r="AX66" s="590">
        <v>-45680</v>
      </c>
      <c r="AY66" s="590">
        <f>+BC66-AW66</f>
        <v>25297</v>
      </c>
      <c r="AZ66" s="590"/>
      <c r="BA66" s="590">
        <v>74698</v>
      </c>
      <c r="BB66" s="880">
        <v>45680</v>
      </c>
      <c r="BC66" s="880">
        <f>+BE66-BB66</f>
        <v>54315</v>
      </c>
      <c r="BD66" s="801">
        <v>96900</v>
      </c>
      <c r="BE66" s="590">
        <v>99995</v>
      </c>
      <c r="BF66" s="799"/>
      <c r="BG66" s="590"/>
      <c r="BH66" s="590"/>
      <c r="BI66" s="590"/>
      <c r="BJ66" s="799"/>
      <c r="BK66" s="592"/>
      <c r="BL66" s="592"/>
      <c r="BM66" s="592"/>
      <c r="BN66" s="592"/>
      <c r="BO66" s="799"/>
      <c r="BP66" s="590">
        <v>25878</v>
      </c>
      <c r="BQ66" s="801"/>
      <c r="BR66" s="590">
        <f t="shared" si="88"/>
        <v>26590</v>
      </c>
      <c r="BS66" s="801"/>
      <c r="BT66" s="590">
        <f t="shared" si="89"/>
        <v>32008</v>
      </c>
      <c r="BU66" s="590"/>
      <c r="BV66" s="590">
        <f>CC66-BT66</f>
        <v>26938</v>
      </c>
      <c r="BW66" s="801"/>
      <c r="BX66" s="590">
        <v>84476</v>
      </c>
      <c r="BY66" s="590">
        <v>52468</v>
      </c>
      <c r="BZ66" s="801"/>
      <c r="CA66" s="801"/>
      <c r="CB66" s="590"/>
      <c r="CC66" s="590">
        <f>CE66-BY66</f>
        <v>58946</v>
      </c>
      <c r="CD66" s="590"/>
      <c r="CE66" s="590">
        <f>-'Raw Data'!V25</f>
        <v>111414</v>
      </c>
      <c r="CF66" s="799"/>
      <c r="CG66" s="881">
        <v>25389</v>
      </c>
      <c r="CH66" s="592"/>
      <c r="CI66" s="592"/>
      <c r="CJ66" s="592">
        <f>CR66-CG66</f>
        <v>27311</v>
      </c>
      <c r="CK66" s="592"/>
      <c r="CL66" s="882">
        <f>CP66-CR66</f>
        <v>33180</v>
      </c>
      <c r="CM66" s="592"/>
      <c r="CN66" s="592">
        <v>30120</v>
      </c>
      <c r="CO66" s="592">
        <f>CW66-CQ66</f>
        <v>111259</v>
      </c>
      <c r="CP66" s="592">
        <v>85880</v>
      </c>
      <c r="CQ66" s="592"/>
      <c r="CR66" s="592">
        <v>52700</v>
      </c>
      <c r="CS66" s="592"/>
      <c r="CT66" s="592">
        <v>63300</v>
      </c>
      <c r="CU66" s="592">
        <f>CW66-CR66</f>
        <v>58559</v>
      </c>
      <c r="CV66" s="592">
        <v>116000</v>
      </c>
      <c r="CW66" s="594">
        <v>111259</v>
      </c>
      <c r="CX66" s="180"/>
      <c r="CY66" s="180">
        <v>26558</v>
      </c>
      <c r="CZ66" s="180">
        <f>+DB66-CY66</f>
        <v>28090</v>
      </c>
      <c r="DA66" s="180"/>
      <c r="DB66" s="180">
        <v>54648</v>
      </c>
      <c r="DC66" s="180">
        <f>+DG66-DB66</f>
        <v>32802</v>
      </c>
      <c r="DD66" s="180"/>
      <c r="DE66" s="180">
        <f t="shared" si="42"/>
        <v>27022</v>
      </c>
      <c r="DF66" s="180"/>
      <c r="DG66" s="180">
        <v>87450</v>
      </c>
      <c r="DH66" s="180"/>
      <c r="DI66" s="180">
        <f t="shared" si="3"/>
        <v>59824</v>
      </c>
      <c r="DJ66" s="180"/>
      <c r="DK66" s="180">
        <v>114472</v>
      </c>
      <c r="DL66" s="883">
        <v>115300</v>
      </c>
      <c r="DM66" s="459"/>
      <c r="DN66" s="590"/>
      <c r="DO66" s="590"/>
      <c r="DP66" s="884"/>
      <c r="DQ66" s="884"/>
      <c r="DR66" s="884"/>
      <c r="DS66" s="885"/>
      <c r="DT66" s="459"/>
      <c r="DU66" s="590"/>
      <c r="DV66" s="590"/>
      <c r="DX66" s="884"/>
      <c r="DY66" s="884"/>
      <c r="DZ66" s="463"/>
      <c r="EC66" s="884"/>
      <c r="ED66" s="883"/>
      <c r="EE66" s="799"/>
      <c r="EF66" s="592"/>
      <c r="EG66" s="881">
        <v>27208</v>
      </c>
      <c r="EH66" s="592"/>
      <c r="EI66" s="592">
        <f t="shared" ref="EI66" si="100">+EK66-EG66</f>
        <v>27460</v>
      </c>
      <c r="EJ66" s="592"/>
      <c r="EK66" s="592">
        <v>54668</v>
      </c>
      <c r="EL66" s="592"/>
      <c r="EM66" s="592">
        <f>+EO66-EK66</f>
        <v>33343</v>
      </c>
      <c r="EN66" s="592"/>
      <c r="EO66" s="592">
        <v>88011</v>
      </c>
      <c r="EQ66" s="592">
        <f>+EU66-EO66</f>
        <v>27488</v>
      </c>
      <c r="ES66" s="592">
        <f>+EU66-EK66</f>
        <v>60831</v>
      </c>
      <c r="EU66" s="594">
        <v>115499</v>
      </c>
      <c r="EV66" s="533"/>
      <c r="EW66" s="592"/>
      <c r="EX66" s="592">
        <v>28471</v>
      </c>
      <c r="EY66" s="592">
        <v>-28471</v>
      </c>
      <c r="EZ66" s="592">
        <f>+FB66-EX66</f>
        <v>28974</v>
      </c>
      <c r="FA66" s="592"/>
      <c r="FB66" s="592">
        <v>57445</v>
      </c>
      <c r="FC66" s="592">
        <f>+FE66-FB66</f>
        <v>33935</v>
      </c>
      <c r="FD66" s="592">
        <v>-57445</v>
      </c>
      <c r="FE66" s="592">
        <v>91380</v>
      </c>
      <c r="FF66" s="592"/>
      <c r="FG66" s="592">
        <f>FK66-FE66</f>
        <v>28774</v>
      </c>
      <c r="FH66" s="592">
        <f>+FL66-FE66</f>
        <v>28280</v>
      </c>
      <c r="FI66" s="592">
        <f>FK66-FB66</f>
        <v>62709</v>
      </c>
      <c r="FJ66" s="592">
        <f>+FL66-FB66</f>
        <v>62215</v>
      </c>
      <c r="FK66" s="594">
        <v>120154</v>
      </c>
      <c r="FL66" s="883">
        <f>Driver!AD15</f>
        <v>119660</v>
      </c>
      <c r="FM66" s="590"/>
      <c r="FN66" s="884"/>
      <c r="FO66" s="884"/>
      <c r="FP66" s="884"/>
      <c r="FQ66" s="885"/>
      <c r="FR66" s="885"/>
      <c r="FS66" s="592">
        <v>29258</v>
      </c>
      <c r="FT66" s="884"/>
      <c r="FU66" s="884"/>
      <c r="FV66" s="592">
        <f>+FY66-FS66</f>
        <v>29929</v>
      </c>
      <c r="FW66" s="884"/>
      <c r="FX66" s="884"/>
      <c r="FY66" s="592">
        <v>59187</v>
      </c>
      <c r="FZ66" s="592">
        <f>+GA66-FY66</f>
        <v>34408</v>
      </c>
      <c r="GA66" s="592">
        <v>93595</v>
      </c>
      <c r="GB66" s="592">
        <f>+GD66-GA66</f>
        <v>29053</v>
      </c>
      <c r="GC66" s="592">
        <f>+GD66-FY66</f>
        <v>63461</v>
      </c>
      <c r="GD66" s="594">
        <v>122648</v>
      </c>
      <c r="GE66" s="592"/>
      <c r="GF66" s="592"/>
      <c r="GG66" s="592"/>
      <c r="GH66" s="884"/>
      <c r="GI66" s="884"/>
      <c r="GJ66" s="891"/>
      <c r="GK66" s="884">
        <f>GK68*GK5</f>
        <v>30307.20084646446</v>
      </c>
      <c r="GL66" s="884">
        <v>29420</v>
      </c>
      <c r="GM66" s="884">
        <f>GM68*GM5</f>
        <v>30138.482506686716</v>
      </c>
      <c r="GN66" s="884">
        <f>GM66+GL66</f>
        <v>59558.48250668672</v>
      </c>
      <c r="GO66" s="884">
        <f>+GP66-GL66</f>
        <v>29728</v>
      </c>
      <c r="GP66" s="884">
        <v>59148</v>
      </c>
      <c r="GQ66" s="884">
        <f>GQ68*GQ5</f>
        <v>35545.498041320563</v>
      </c>
      <c r="GR66" s="592">
        <f>+GS66-GP66</f>
        <v>35351</v>
      </c>
      <c r="GS66" s="592">
        <v>94499</v>
      </c>
      <c r="GT66" s="592">
        <f>+GU66-GR66</f>
        <v>31272</v>
      </c>
      <c r="GU66" s="592">
        <f>+GV66-GP66</f>
        <v>66623</v>
      </c>
      <c r="GV66" s="594">
        <v>125771</v>
      </c>
      <c r="GW66" s="592"/>
      <c r="GX66" s="884"/>
      <c r="GY66" s="884"/>
      <c r="GZ66" s="884"/>
      <c r="HA66" s="891"/>
      <c r="HB66" s="884">
        <f>HB68*HB5</f>
        <v>31578.667952320186</v>
      </c>
      <c r="HC66" s="884"/>
      <c r="HD66" s="884">
        <v>30913</v>
      </c>
      <c r="HE66" s="884">
        <v>13424</v>
      </c>
      <c r="HF66" s="884">
        <f>+HI66-HD66</f>
        <v>30258</v>
      </c>
      <c r="HG66" s="884"/>
      <c r="HH66" s="884">
        <f>HM66-HE66</f>
        <v>13506</v>
      </c>
      <c r="HI66" s="884">
        <v>61171</v>
      </c>
      <c r="HJ66" s="884">
        <f>HI68*HI5</f>
        <v>61171</v>
      </c>
      <c r="HK66" s="884">
        <f>HI66+HD66</f>
        <v>92084</v>
      </c>
      <c r="HL66" s="884"/>
      <c r="HM66" s="884">
        <v>26930</v>
      </c>
      <c r="HN66" s="592">
        <f>+HP66-HI66</f>
        <v>35611</v>
      </c>
      <c r="HO66" s="592">
        <f>+HQ66-HM66</f>
        <v>14704</v>
      </c>
      <c r="HP66" s="592">
        <v>96782</v>
      </c>
      <c r="HQ66" s="892">
        <v>41634</v>
      </c>
      <c r="HR66" s="180">
        <f>+HT66-HN66</f>
        <v>32008</v>
      </c>
      <c r="HS66" s="893">
        <f>+HU66-HO66</f>
        <v>14736</v>
      </c>
      <c r="HT66" s="180">
        <f>+HV66-HI66</f>
        <v>67619</v>
      </c>
      <c r="HU66" s="180">
        <f>+HZ66-HM66</f>
        <v>29440</v>
      </c>
      <c r="HV66" s="180">
        <v>128790</v>
      </c>
      <c r="HW66" s="884">
        <f>HW63-HW69</f>
        <v>35571.106521940528</v>
      </c>
      <c r="HX66" s="884"/>
      <c r="HY66" s="884"/>
      <c r="HZ66" s="180">
        <v>56370</v>
      </c>
      <c r="IA66" s="884"/>
      <c r="IB66" s="884"/>
      <c r="IC66" s="891"/>
      <c r="ID66" s="884">
        <f>ID68*ID5</f>
        <v>0</v>
      </c>
      <c r="IE66" s="894">
        <v>13288</v>
      </c>
      <c r="IF66" s="884">
        <f>IG66-IE66</f>
        <v>14798</v>
      </c>
      <c r="IG66" s="895">
        <v>28086</v>
      </c>
      <c r="IH66" s="884">
        <f>+IJ66-IG66</f>
        <v>16269</v>
      </c>
      <c r="II66" s="884"/>
      <c r="IJ66" s="896">
        <v>44355</v>
      </c>
      <c r="IK66" s="884"/>
      <c r="IL66" s="884"/>
      <c r="IM66" s="884">
        <f>+IO66-IH66</f>
        <v>12015</v>
      </c>
      <c r="IN66" s="884"/>
      <c r="IO66" s="884">
        <f>+IR66-IG66</f>
        <v>28284</v>
      </c>
      <c r="IP66" s="885"/>
      <c r="IQ66" s="884"/>
      <c r="IR66" s="897">
        <v>56370</v>
      </c>
      <c r="IS66" s="1291"/>
      <c r="IT66" s="884"/>
      <c r="IU66" s="898">
        <v>16406</v>
      </c>
      <c r="IV66" s="899">
        <f>IX66-IU66</f>
        <v>17178</v>
      </c>
      <c r="IW66" s="884"/>
      <c r="IX66" s="884">
        <v>33584</v>
      </c>
      <c r="IY66" s="884"/>
      <c r="IZ66" s="884">
        <f>+JA66-IX66</f>
        <v>16543</v>
      </c>
      <c r="JA66" s="884">
        <v>50127</v>
      </c>
      <c r="JB66" s="884">
        <f>+JC66-IZ66</f>
        <v>17585</v>
      </c>
      <c r="JC66" s="884">
        <f>+JD66-IX66</f>
        <v>34128</v>
      </c>
      <c r="JD66" s="884">
        <f>-Model!AE26</f>
        <v>67712</v>
      </c>
      <c r="JE66" s="884"/>
      <c r="JF66" s="884"/>
      <c r="JG66" s="884"/>
      <c r="JH66" s="885"/>
      <c r="JI66" s="1291"/>
      <c r="JJ66" s="1305"/>
      <c r="JK66" s="888"/>
      <c r="JL66" s="888">
        <v>16524</v>
      </c>
      <c r="JM66" s="884">
        <f>+JP66-JL66</f>
        <v>18465</v>
      </c>
      <c r="JN66" s="884">
        <f>JS66-JP66</f>
        <v>18290</v>
      </c>
      <c r="JO66" s="888"/>
      <c r="JP66" s="888">
        <v>34989</v>
      </c>
      <c r="JQ66" s="888"/>
      <c r="JR66" s="888"/>
      <c r="JS66" s="888">
        <v>53279</v>
      </c>
      <c r="JT66" s="888"/>
      <c r="JU66" s="888"/>
      <c r="JV66" s="888"/>
      <c r="JW66" s="888"/>
      <c r="JX66" s="888"/>
      <c r="JY66" s="884"/>
      <c r="JZ66" s="1145"/>
      <c r="KA66" s="533"/>
      <c r="KB66" s="888"/>
      <c r="KC66" s="888"/>
      <c r="KD66" s="888"/>
      <c r="KE66" s="888"/>
      <c r="KF66" s="888"/>
      <c r="KG66" s="888"/>
      <c r="KH66" s="888"/>
      <c r="KI66" s="533"/>
      <c r="KJ66" s="1145"/>
      <c r="KK66" s="884"/>
      <c r="KL66" s="888"/>
      <c r="KM66" s="888"/>
      <c r="KN66" s="1145"/>
      <c r="KO66" s="888">
        <v>0</v>
      </c>
      <c r="KP66" s="888"/>
      <c r="KQ66" s="928"/>
      <c r="KR66" s="888"/>
      <c r="KS66" s="928"/>
      <c r="KT66" s="888"/>
      <c r="KU66" s="888"/>
      <c r="KV66" s="888"/>
      <c r="KW66" s="885"/>
      <c r="KX66" s="888"/>
      <c r="KY66" s="888"/>
      <c r="KZ66" s="885"/>
      <c r="LA66" s="888"/>
      <c r="LB66" s="888"/>
      <c r="LC66" s="885"/>
      <c r="LD66" s="885"/>
      <c r="LE66" s="888"/>
      <c r="LF66" s="888"/>
      <c r="LG66" s="885"/>
    </row>
    <row r="67" spans="1:323" s="806" customFormat="1" ht="12">
      <c r="A67" s="592"/>
      <c r="B67" s="2360" t="s">
        <v>1443</v>
      </c>
      <c r="C67" s="1676" t="s">
        <v>1443</v>
      </c>
      <c r="D67" s="799"/>
      <c r="E67" s="592"/>
      <c r="F67" s="592"/>
      <c r="G67" s="592"/>
      <c r="H67" s="592"/>
      <c r="I67" s="592"/>
      <c r="J67" s="592"/>
      <c r="K67" s="590"/>
      <c r="L67" s="590"/>
      <c r="M67" s="590"/>
      <c r="N67" s="590"/>
      <c r="O67" s="590"/>
      <c r="P67" s="590"/>
      <c r="Q67" s="590"/>
      <c r="R67" s="590"/>
      <c r="S67" s="800"/>
      <c r="T67" s="590"/>
      <c r="U67" s="590"/>
      <c r="V67" s="590"/>
      <c r="W67" s="590"/>
      <c r="X67" s="590"/>
      <c r="Y67" s="590"/>
      <c r="Z67" s="590"/>
      <c r="AA67" s="590"/>
      <c r="AB67" s="800"/>
      <c r="AC67" s="590"/>
      <c r="AD67" s="590"/>
      <c r="AE67" s="590"/>
      <c r="AF67" s="590"/>
      <c r="AG67" s="590"/>
      <c r="AH67" s="590"/>
      <c r="AI67" s="590"/>
      <c r="AJ67" s="590"/>
      <c r="AK67" s="799"/>
      <c r="AL67" s="590"/>
      <c r="AM67" s="590"/>
      <c r="AN67" s="590"/>
      <c r="AO67" s="590"/>
      <c r="AP67" s="590"/>
      <c r="AQ67" s="590"/>
      <c r="AR67" s="590"/>
      <c r="AS67" s="590"/>
      <c r="AT67" s="799"/>
      <c r="AU67" s="590"/>
      <c r="AV67" s="590"/>
      <c r="AW67" s="590"/>
      <c r="AX67" s="590"/>
      <c r="AY67" s="590"/>
      <c r="AZ67" s="590"/>
      <c r="BA67" s="590"/>
      <c r="BB67" s="880"/>
      <c r="BC67" s="880"/>
      <c r="BD67" s="801"/>
      <c r="BE67" s="590"/>
      <c r="BF67" s="799"/>
      <c r="BG67" s="590"/>
      <c r="BH67" s="590"/>
      <c r="BI67" s="590"/>
      <c r="BJ67" s="799"/>
      <c r="BK67" s="592"/>
      <c r="BL67" s="592"/>
      <c r="BM67" s="592"/>
      <c r="BN67" s="592"/>
      <c r="BO67" s="799"/>
      <c r="BP67" s="590"/>
      <c r="BQ67" s="801"/>
      <c r="BR67" s="590"/>
      <c r="BS67" s="801"/>
      <c r="BT67" s="590"/>
      <c r="BU67" s="590"/>
      <c r="BV67" s="590"/>
      <c r="BW67" s="801"/>
      <c r="BX67" s="590"/>
      <c r="BY67" s="590"/>
      <c r="BZ67" s="801"/>
      <c r="CA67" s="801"/>
      <c r="CB67" s="590"/>
      <c r="CC67" s="590"/>
      <c r="CD67" s="590"/>
      <c r="CE67" s="590"/>
      <c r="CF67" s="799"/>
      <c r="CG67" s="881"/>
      <c r="CH67" s="592"/>
      <c r="CI67" s="592"/>
      <c r="CJ67" s="592"/>
      <c r="CK67" s="592"/>
      <c r="CL67" s="882"/>
      <c r="CM67" s="592"/>
      <c r="CN67" s="592"/>
      <c r="CO67" s="592"/>
      <c r="CP67" s="592"/>
      <c r="CQ67" s="592"/>
      <c r="CR67" s="592"/>
      <c r="CS67" s="592"/>
      <c r="CT67" s="592"/>
      <c r="CU67" s="592"/>
      <c r="CV67" s="592"/>
      <c r="CW67" s="594"/>
      <c r="CX67" s="180"/>
      <c r="CY67" s="180"/>
      <c r="CZ67" s="180"/>
      <c r="DA67" s="180"/>
      <c r="DB67" s="180"/>
      <c r="DC67" s="180"/>
      <c r="DD67" s="180"/>
      <c r="DE67" s="180"/>
      <c r="DF67" s="180"/>
      <c r="DG67" s="180"/>
      <c r="DH67" s="180"/>
      <c r="DI67" s="180"/>
      <c r="DJ67" s="180"/>
      <c r="DK67" s="180"/>
      <c r="DL67" s="883"/>
      <c r="DM67" s="459"/>
      <c r="DN67" s="590"/>
      <c r="DO67" s="590"/>
      <c r="DP67" s="884"/>
      <c r="DQ67" s="884"/>
      <c r="DR67" s="884"/>
      <c r="DS67" s="885"/>
      <c r="DT67" s="459"/>
      <c r="DU67" s="590"/>
      <c r="DV67" s="590"/>
      <c r="DX67" s="884"/>
      <c r="DY67" s="884"/>
      <c r="DZ67" s="463"/>
      <c r="EC67" s="884"/>
      <c r="ED67" s="883"/>
      <c r="EE67" s="799"/>
      <c r="EF67" s="592"/>
      <c r="EG67" s="881"/>
      <c r="EH67" s="592"/>
      <c r="EI67" s="592"/>
      <c r="EJ67" s="592"/>
      <c r="EK67" s="592"/>
      <c r="EL67" s="592"/>
      <c r="EM67" s="592"/>
      <c r="EN67" s="592"/>
      <c r="EO67" s="592"/>
      <c r="EQ67" s="592"/>
      <c r="ES67" s="592"/>
      <c r="EU67" s="594"/>
      <c r="EV67" s="533"/>
      <c r="EW67" s="592"/>
      <c r="EX67" s="592"/>
      <c r="EY67" s="592"/>
      <c r="EZ67" s="592"/>
      <c r="FA67" s="592"/>
      <c r="FB67" s="592"/>
      <c r="FC67" s="592"/>
      <c r="FD67" s="592"/>
      <c r="FE67" s="592"/>
      <c r="FF67" s="592"/>
      <c r="FG67" s="592"/>
      <c r="FH67" s="592"/>
      <c r="FI67" s="592"/>
      <c r="FJ67" s="592"/>
      <c r="FK67" s="594"/>
      <c r="FL67" s="883"/>
      <c r="FM67" s="590"/>
      <c r="FN67" s="884"/>
      <c r="FO67" s="884"/>
      <c r="FP67" s="884"/>
      <c r="FQ67" s="885"/>
      <c r="FR67" s="885"/>
      <c r="FS67" s="592"/>
      <c r="FT67" s="884"/>
      <c r="FU67" s="884"/>
      <c r="FV67" s="592"/>
      <c r="FW67" s="884"/>
      <c r="FX67" s="884"/>
      <c r="FY67" s="592"/>
      <c r="FZ67" s="592"/>
      <c r="GA67" s="592"/>
      <c r="GB67" s="592"/>
      <c r="GC67" s="592"/>
      <c r="GD67" s="594"/>
      <c r="GE67" s="592"/>
      <c r="GF67" s="592"/>
      <c r="GG67" s="592"/>
      <c r="GH67" s="884"/>
      <c r="GI67" s="884"/>
      <c r="GJ67" s="891"/>
      <c r="GK67" s="884"/>
      <c r="GL67" s="884"/>
      <c r="GM67" s="884"/>
      <c r="GN67" s="884"/>
      <c r="GO67" s="884"/>
      <c r="GP67" s="884"/>
      <c r="GQ67" s="884"/>
      <c r="GR67" s="592"/>
      <c r="GS67" s="592"/>
      <c r="GT67" s="592"/>
      <c r="GU67" s="592"/>
      <c r="GV67" s="594"/>
      <c r="GW67" s="592"/>
      <c r="GX67" s="884"/>
      <c r="GY67" s="884"/>
      <c r="GZ67" s="884"/>
      <c r="HA67" s="891"/>
      <c r="HB67" s="884"/>
      <c r="HC67" s="884"/>
      <c r="HD67" s="884"/>
      <c r="HE67" s="884"/>
      <c r="HF67" s="884"/>
      <c r="HG67" s="884"/>
      <c r="HH67" s="884"/>
      <c r="HI67" s="884"/>
      <c r="HJ67" s="884"/>
      <c r="HK67" s="884"/>
      <c r="HL67" s="884"/>
      <c r="HM67" s="884"/>
      <c r="HN67" s="592"/>
      <c r="HO67" s="592"/>
      <c r="HP67" s="592"/>
      <c r="HQ67" s="892"/>
      <c r="HR67" s="180"/>
      <c r="HS67" s="893"/>
      <c r="HT67" s="180"/>
      <c r="HU67" s="180"/>
      <c r="HV67" s="180"/>
      <c r="HW67" s="884"/>
      <c r="HX67" s="884"/>
      <c r="HY67" s="884"/>
      <c r="HZ67" s="180"/>
      <c r="IA67" s="884"/>
      <c r="IB67" s="884"/>
      <c r="IC67" s="891"/>
      <c r="ID67" s="884"/>
      <c r="IE67" s="894"/>
      <c r="IF67" s="884"/>
      <c r="IG67" s="895"/>
      <c r="IH67" s="884"/>
      <c r="II67" s="884"/>
      <c r="IJ67" s="896"/>
      <c r="IK67" s="884"/>
      <c r="IL67" s="884"/>
      <c r="IM67" s="884"/>
      <c r="IN67" s="884"/>
      <c r="IO67" s="884"/>
      <c r="IP67" s="885"/>
      <c r="IQ67" s="884"/>
      <c r="IR67" s="897"/>
      <c r="IS67" s="1291"/>
      <c r="IT67" s="884"/>
      <c r="IU67" s="898"/>
      <c r="IV67" s="899"/>
      <c r="IW67" s="884"/>
      <c r="IX67" s="884"/>
      <c r="IY67" s="884"/>
      <c r="IZ67" s="884"/>
      <c r="JA67" s="884"/>
      <c r="JB67" s="884"/>
      <c r="JC67" s="884"/>
      <c r="JD67" s="884"/>
      <c r="JE67" s="884"/>
      <c r="JF67" s="884"/>
      <c r="JG67" s="884"/>
      <c r="JH67" s="885"/>
      <c r="JI67" s="1291"/>
      <c r="JJ67" s="1671"/>
      <c r="JK67" s="1670"/>
      <c r="JL67" s="1670">
        <f>+JL66/IU66-1</f>
        <v>7.1924905522369187E-3</v>
      </c>
      <c r="JM67" s="1670">
        <f t="shared" ref="JM67" si="101">+JM66/IV66-1</f>
        <v>7.4921411107230274E-2</v>
      </c>
      <c r="JN67" s="1670">
        <f>+JN66/IZ66-1</f>
        <v>0.10560357855286218</v>
      </c>
      <c r="JO67" s="1670">
        <f>+JO66/JB66-1</f>
        <v>-1</v>
      </c>
      <c r="JP67" s="1670">
        <f>+JP66/IX66-1</f>
        <v>4.1835397808480224E-2</v>
      </c>
      <c r="JQ67" s="1670">
        <f>+JQ66/JC66-1</f>
        <v>-1</v>
      </c>
      <c r="JR67" s="1670">
        <f>+JR66/JD66-1</f>
        <v>-1</v>
      </c>
      <c r="JS67" s="1670">
        <f>+JS66/JA66-1</f>
        <v>6.2880284078440818E-2</v>
      </c>
      <c r="JT67" s="1670"/>
      <c r="JU67" s="1670"/>
      <c r="JV67" s="1670"/>
      <c r="JW67" s="1670"/>
      <c r="JX67" s="1670"/>
      <c r="JY67" s="1670"/>
      <c r="JZ67" s="1145"/>
      <c r="KA67" s="533"/>
      <c r="KB67" s="884"/>
      <c r="KC67" s="884"/>
      <c r="KD67" s="884"/>
      <c r="KE67" s="884"/>
      <c r="KF67" s="884"/>
      <c r="KG67" s="884"/>
      <c r="KH67" s="884"/>
      <c r="KI67" s="533"/>
      <c r="KJ67" s="1145"/>
      <c r="KK67" s="884"/>
      <c r="KL67" s="884"/>
      <c r="KM67" s="884"/>
      <c r="KN67" s="1145"/>
      <c r="KO67" s="884"/>
      <c r="KP67" s="884"/>
      <c r="KQ67" s="885"/>
      <c r="KR67" s="884"/>
      <c r="KS67" s="885"/>
      <c r="KT67" s="884"/>
      <c r="KU67" s="884"/>
      <c r="KV67" s="884"/>
      <c r="KW67" s="885"/>
      <c r="KX67" s="884"/>
      <c r="KY67" s="884"/>
      <c r="KZ67" s="885"/>
      <c r="LA67" s="884"/>
      <c r="LB67" s="884"/>
      <c r="LC67" s="885"/>
      <c r="LD67" s="885"/>
      <c r="LE67" s="884"/>
      <c r="LF67" s="884"/>
      <c r="LG67" s="885"/>
    </row>
    <row r="68" spans="1:323" s="919" customFormat="1">
      <c r="A68" s="900"/>
      <c r="B68" s="929" t="s">
        <v>990</v>
      </c>
      <c r="C68" s="902" t="s">
        <v>954</v>
      </c>
      <c r="D68" s="930"/>
      <c r="E68" s="931">
        <f t="shared" ref="E68:J68" si="102">E66/E5</f>
        <v>0.30085509741435801</v>
      </c>
      <c r="F68" s="931">
        <f t="shared" si="102"/>
        <v>0.29741054551703172</v>
      </c>
      <c r="G68" s="931">
        <f t="shared" si="102"/>
        <v>0.30004418775439079</v>
      </c>
      <c r="H68" s="931">
        <f t="shared" si="102"/>
        <v>0.30498342923367833</v>
      </c>
      <c r="I68" s="931">
        <f t="shared" si="102"/>
        <v>0.29579101832076593</v>
      </c>
      <c r="J68" s="931">
        <f t="shared" si="102"/>
        <v>0.30297320997381999</v>
      </c>
      <c r="K68" s="905"/>
      <c r="L68" s="906"/>
      <c r="M68" s="906"/>
      <c r="N68" s="906"/>
      <c r="O68" s="906"/>
      <c r="P68" s="906"/>
      <c r="Q68" s="906"/>
      <c r="R68" s="906"/>
      <c r="S68" s="932"/>
      <c r="T68" s="905">
        <f t="shared" ref="T68:AA68" si="103">+T66/T5</f>
        <v>0.26654717373233583</v>
      </c>
      <c r="U68" s="905">
        <f t="shared" si="103"/>
        <v>0.27320156256083478</v>
      </c>
      <c r="V68" s="905">
        <f t="shared" si="103"/>
        <v>0.28366563720592242</v>
      </c>
      <c r="W68" s="905">
        <f t="shared" si="103"/>
        <v>0.30308658836383501</v>
      </c>
      <c r="X68" s="905">
        <f t="shared" si="103"/>
        <v>0.27489189111049617</v>
      </c>
      <c r="Y68" s="905">
        <f t="shared" si="103"/>
        <v>0.26987568567626341</v>
      </c>
      <c r="Z68" s="905">
        <f t="shared" si="103"/>
        <v>0.29248195818763484</v>
      </c>
      <c r="AA68" s="905">
        <f t="shared" si="103"/>
        <v>0.28143858792339627</v>
      </c>
      <c r="AB68" s="932"/>
      <c r="AC68" s="905">
        <f t="shared" ref="AC68:AJ68" si="104">+AC66/AC5</f>
        <v>0.28568895677909467</v>
      </c>
      <c r="AD68" s="905">
        <f t="shared" si="104"/>
        <v>0.29378670280481295</v>
      </c>
      <c r="AE68" s="905">
        <f t="shared" si="104"/>
        <v>0.29171277221895231</v>
      </c>
      <c r="AF68" s="905">
        <f t="shared" si="104"/>
        <v>0.29216887661388713</v>
      </c>
      <c r="AG68" s="905">
        <f t="shared" si="104"/>
        <v>0.29045840466185957</v>
      </c>
      <c r="AH68" s="905">
        <f t="shared" si="104"/>
        <v>0.2897304166040417</v>
      </c>
      <c r="AI68" s="905">
        <f t="shared" si="104"/>
        <v>0.29192601089402459</v>
      </c>
      <c r="AJ68" s="905">
        <f t="shared" si="104"/>
        <v>0.29087545070298226</v>
      </c>
      <c r="AK68" s="930"/>
      <c r="AL68" s="905">
        <f t="shared" ref="AL68:AS68" si="105">+AL66/AL5</f>
        <v>0.2817322050771528</v>
      </c>
      <c r="AM68" s="905">
        <f t="shared" si="105"/>
        <v>0.29180869194716658</v>
      </c>
      <c r="AN68" s="905">
        <f t="shared" si="105"/>
        <v>0.29421988995538434</v>
      </c>
      <c r="AO68" s="905">
        <f t="shared" si="105"/>
        <v>0.28844922682950852</v>
      </c>
      <c r="AP68" s="905">
        <f t="shared" si="105"/>
        <v>0.28959309988155019</v>
      </c>
      <c r="AQ68" s="905">
        <f t="shared" si="105"/>
        <v>0.28679644264807241</v>
      </c>
      <c r="AR68" s="905">
        <f t="shared" si="105"/>
        <v>0.29148766256098768</v>
      </c>
      <c r="AS68" s="905">
        <f t="shared" si="105"/>
        <v>0.28930364998068464</v>
      </c>
      <c r="AT68" s="930"/>
      <c r="AU68" s="905">
        <f>+AU66/AU5</f>
        <v>0.28492573907908758</v>
      </c>
      <c r="AV68" s="905">
        <f>+AV66/AV5</f>
        <v>0.29212588630426672</v>
      </c>
      <c r="AW68" s="905">
        <f>+AW66/AW5</f>
        <v>0.29133660632711866</v>
      </c>
      <c r="AX68" s="905">
        <v>-0.49973197387565776</v>
      </c>
      <c r="AY68" s="905">
        <f>+AY66/AY5</f>
        <v>0.29200189304306673</v>
      </c>
      <c r="AZ68" s="905"/>
      <c r="BA68" s="905">
        <f>+BA66/BA5</f>
        <v>0.28964613368283093</v>
      </c>
      <c r="BB68" s="908">
        <f>+BB66/BB5</f>
        <v>0.28858242098413683</v>
      </c>
      <c r="BC68" s="908">
        <f>+BC66/BC5</f>
        <v>0.2916460834639919</v>
      </c>
      <c r="BD68" s="909">
        <v>0.28034632910998142</v>
      </c>
      <c r="BE68" s="905">
        <f>+BE66/BE5</f>
        <v>0.2902385009012356</v>
      </c>
      <c r="BF68" s="930"/>
      <c r="BG68" s="905"/>
      <c r="BH68" s="905"/>
      <c r="BI68" s="905"/>
      <c r="BJ68" s="930"/>
      <c r="BK68" s="900"/>
      <c r="BL68" s="900"/>
      <c r="BM68" s="900"/>
      <c r="BN68" s="900"/>
      <c r="BO68" s="930"/>
      <c r="BP68" s="905">
        <f>+BP66/BP5</f>
        <v>0.29451665035394808</v>
      </c>
      <c r="BQ68" s="933">
        <v>7550</v>
      </c>
      <c r="BR68" s="905">
        <f>+BR66/BR5</f>
        <v>0.30064221428248383</v>
      </c>
      <c r="BS68" s="910"/>
      <c r="BT68" s="908">
        <f>+BT66/BT5</f>
        <v>0.29794284650470071</v>
      </c>
      <c r="BU68" s="908"/>
      <c r="BV68" s="908">
        <f>+BV66/BV5</f>
        <v>0.30441513826264816</v>
      </c>
      <c r="BW68" s="910"/>
      <c r="BX68" s="908">
        <f>+BX66/BX5</f>
        <v>0.29772326778036229</v>
      </c>
      <c r="BY68" s="908">
        <f>+BY66/BY5</f>
        <v>0.29758947308717598</v>
      </c>
      <c r="BZ68" s="910">
        <v>14600</v>
      </c>
      <c r="CA68" s="910">
        <v>14600</v>
      </c>
      <c r="CB68" s="906"/>
      <c r="CC68" s="908">
        <f>+CC66/CC5</f>
        <v>0.30086616544423517</v>
      </c>
      <c r="CD68" s="906"/>
      <c r="CE68" s="911">
        <f>+CE66/CE5</f>
        <v>0.29931413557710129</v>
      </c>
      <c r="CF68" s="930"/>
      <c r="CG68" s="912">
        <f>+CG66/CG5</f>
        <v>0.29513513513513512</v>
      </c>
      <c r="CH68" s="934"/>
      <c r="CI68" s="934"/>
      <c r="CJ68" s="913">
        <f>+CJ66/CJ5</f>
        <v>0.2880664078980677</v>
      </c>
      <c r="CK68" s="934"/>
      <c r="CL68" s="913">
        <f>+CL66/CL5</f>
        <v>0.29675076691917612</v>
      </c>
      <c r="CM68" s="934"/>
      <c r="CN68" s="913">
        <v>0.32897898553890514</v>
      </c>
      <c r="CO68" s="913">
        <f>+CO66/CO5</f>
        <v>1.2555323590814196</v>
      </c>
      <c r="CP68" s="913">
        <f>+CP66/CP5</f>
        <v>0.29346236382772239</v>
      </c>
      <c r="CQ68" s="934"/>
      <c r="CR68" s="913">
        <f>+CR66/CR5</f>
        <v>0.29142910862508503</v>
      </c>
      <c r="CS68" s="934"/>
      <c r="CT68" s="913">
        <v>0.31125993892814469</v>
      </c>
      <c r="CU68" s="913">
        <f>+CU66/CU5</f>
        <v>0.29217267220819654</v>
      </c>
      <c r="CV68" s="911">
        <v>0.3019260801665799</v>
      </c>
      <c r="CW68" s="935">
        <f>+CW66/CW5</f>
        <v>0.29181999638041334</v>
      </c>
      <c r="CX68" s="793"/>
      <c r="CY68" s="905">
        <f>+CY66/CY5</f>
        <v>0.28824780758878182</v>
      </c>
      <c r="CZ68" s="936">
        <f>+CZ66/CZ5</f>
        <v>0.29294899204271696</v>
      </c>
      <c r="DA68" s="936"/>
      <c r="DB68" s="936">
        <f>+DB66/DB5</f>
        <v>0.29064529339495698</v>
      </c>
      <c r="DC68" s="936">
        <f>+DC66/DC5</f>
        <v>0.30216384019455217</v>
      </c>
      <c r="DD68" s="936"/>
      <c r="DE68" s="936">
        <f>+DE66/DE5</f>
        <v>0.31168681369382673</v>
      </c>
      <c r="DF68" s="936"/>
      <c r="DG68" s="936">
        <f>+DG66/DG5</f>
        <v>0.29486142019016792</v>
      </c>
      <c r="DH68" s="936"/>
      <c r="DI68" s="936">
        <f>+DI66/DI5</f>
        <v>0.30639221932569538</v>
      </c>
      <c r="DJ68" s="936"/>
      <c r="DK68" s="936">
        <f>+DK66/DK5</f>
        <v>0.29866727893215334</v>
      </c>
      <c r="DL68" s="916">
        <v>0.2957927142124166</v>
      </c>
      <c r="DM68" s="626"/>
      <c r="DN68" s="905"/>
      <c r="DO68" s="905"/>
      <c r="DP68" s="917"/>
      <c r="DQ68" s="917"/>
      <c r="DR68" s="917"/>
      <c r="DS68" s="918"/>
      <c r="DT68" s="626"/>
      <c r="DU68" s="905"/>
      <c r="DV68" s="905"/>
      <c r="DW68" s="913">
        <f>+DW66/DW5</f>
        <v>0</v>
      </c>
      <c r="DX68" s="917">
        <f>+DX66/DX5</f>
        <v>0</v>
      </c>
      <c r="DY68" s="917">
        <f>+DY66/DY5</f>
        <v>0</v>
      </c>
      <c r="DZ68" s="937"/>
      <c r="EC68" s="917"/>
      <c r="ED68" s="916"/>
      <c r="EE68" s="930"/>
      <c r="EF68" s="900"/>
      <c r="EG68" s="938">
        <f>+EG66/EG5</f>
        <v>0.29874935491309168</v>
      </c>
      <c r="EH68" s="900"/>
      <c r="EI68" s="936">
        <f>+EI66/EI5</f>
        <v>0.30163228541927545</v>
      </c>
      <c r="EJ68" s="936"/>
      <c r="EK68" s="936">
        <f>+EK66/EK5</f>
        <v>0.30019054313028865</v>
      </c>
      <c r="EL68" s="900"/>
      <c r="EM68" s="936">
        <f>+EM66/EM5</f>
        <v>0.29664854669525531</v>
      </c>
      <c r="EN68" s="900"/>
      <c r="EO68" s="936">
        <f>+EO66/EO5</f>
        <v>0.29883874910868902</v>
      </c>
      <c r="EQ68" s="936">
        <f>+EQ66/EQ5</f>
        <v>0.31176844206514837</v>
      </c>
      <c r="ES68" s="936">
        <f>+ES66/ES5</f>
        <v>0.30329515822642805</v>
      </c>
      <c r="EU68" s="939">
        <f>+EU66/EU5</f>
        <v>0.30181771620004283</v>
      </c>
      <c r="EV68" s="922"/>
      <c r="EW68" s="936">
        <v>0</v>
      </c>
      <c r="EX68" s="936">
        <f>+EX66/EX5</f>
        <v>0.30532230908642449</v>
      </c>
      <c r="EY68" s="936">
        <v>-0.29590023635160356</v>
      </c>
      <c r="EZ68" s="936">
        <f>+EZ66/EZ5</f>
        <v>0.29955027138795554</v>
      </c>
      <c r="FA68" s="936">
        <v>0</v>
      </c>
      <c r="FB68" s="936">
        <f>+FB66/FB5</f>
        <v>0.30238348405571291</v>
      </c>
      <c r="FC68" s="936">
        <f>+FC66/FC5</f>
        <v>0.30989452536413864</v>
      </c>
      <c r="FD68" s="915">
        <v>-0.52392502999611945</v>
      </c>
      <c r="FE68" s="936">
        <f>+FE66/FE5</f>
        <v>0.30512990894186237</v>
      </c>
      <c r="FF68" s="915">
        <v>0</v>
      </c>
      <c r="FG68" s="940">
        <f t="shared" ref="FG68:FL68" si="106">+FG66/FG5</f>
        <v>0.32215230972480352</v>
      </c>
      <c r="FH68" s="936">
        <f t="shared" si="106"/>
        <v>0.31662150966210617</v>
      </c>
      <c r="FI68" s="936">
        <f t="shared" si="106"/>
        <v>0.31540113568349737</v>
      </c>
      <c r="FJ68" s="936">
        <f t="shared" si="106"/>
        <v>0.31291651368302459</v>
      </c>
      <c r="FK68" s="939">
        <f t="shared" si="106"/>
        <v>0.30904045041499806</v>
      </c>
      <c r="FL68" s="916">
        <f t="shared" si="106"/>
        <v>0.30776986447940702</v>
      </c>
      <c r="FM68" s="905"/>
      <c r="FN68" s="917"/>
      <c r="FO68" s="917"/>
      <c r="FP68" s="917"/>
      <c r="FQ68" s="918"/>
      <c r="FR68" s="918"/>
      <c r="FS68" s="936">
        <f>+FS66/FS5</f>
        <v>0.3024113944330174</v>
      </c>
      <c r="FT68" s="917"/>
      <c r="FU68" s="917"/>
      <c r="FV68" s="936">
        <f>+FV66/FV5</f>
        <v>0.30018454995887744</v>
      </c>
      <c r="FW68" s="495"/>
      <c r="FX68" s="495"/>
      <c r="FY68" s="793">
        <f t="shared" ref="FY68:GD68" si="107">+FY66/FY5</f>
        <v>0.30128123552438013</v>
      </c>
      <c r="FZ68" s="936">
        <f t="shared" si="107"/>
        <v>0.31374122367101304</v>
      </c>
      <c r="GA68" s="936">
        <f t="shared" si="107"/>
        <v>0.30574511386020559</v>
      </c>
      <c r="GB68" s="940">
        <f t="shared" si="107"/>
        <v>0.30600465542483385</v>
      </c>
      <c r="GC68" s="936">
        <f t="shared" si="107"/>
        <v>0.31015135890681433</v>
      </c>
      <c r="GD68" s="941">
        <f t="shared" si="107"/>
        <v>0.3058065545648575</v>
      </c>
      <c r="GE68" s="936"/>
      <c r="GF68" s="793"/>
      <c r="GG68" s="793"/>
      <c r="GH68" s="495"/>
      <c r="GI68" s="917"/>
      <c r="GJ68" s="925"/>
      <c r="GK68" s="917">
        <v>0.30399999999999999</v>
      </c>
      <c r="GL68" s="917">
        <f>+GL66/GL5</f>
        <v>0.30094723705476789</v>
      </c>
      <c r="GM68" s="917">
        <v>0.29799999999999999</v>
      </c>
      <c r="GN68" s="936">
        <f>+GN66/GN5</f>
        <v>0.29944859181848177</v>
      </c>
      <c r="GO68" s="936">
        <f>+GO66/GO5</f>
        <v>0.29554514996967801</v>
      </c>
      <c r="GP68" s="936">
        <f>+GP66/GP5</f>
        <v>0.29820766845647734</v>
      </c>
      <c r="GQ68" s="936">
        <v>0.31</v>
      </c>
      <c r="GR68" s="936">
        <f>+GR66/GR5</f>
        <v>0.3059288811194863</v>
      </c>
      <c r="GS68" s="936">
        <f>+GS66/GS5</f>
        <v>0.30105002261881247</v>
      </c>
      <c r="GT68" s="940">
        <f>+GT66/GT5</f>
        <v>0.30618898886745716</v>
      </c>
      <c r="GU68" s="936">
        <f>+GU66/GU5</f>
        <v>0.30605091737640455</v>
      </c>
      <c r="GV68" s="939">
        <f>+GV66/GV5</f>
        <v>0.30231160658700912</v>
      </c>
      <c r="GW68" s="936"/>
      <c r="GX68" s="936"/>
      <c r="GY68" s="917"/>
      <c r="GZ68" s="917"/>
      <c r="HA68" s="925"/>
      <c r="HB68" s="917">
        <v>0.29499999999999998</v>
      </c>
      <c r="HC68" s="917"/>
      <c r="HD68" s="917">
        <f>+HD66/HD5</f>
        <v>0.29637406043871761</v>
      </c>
      <c r="HE68" s="936">
        <f>+HE66/HE5</f>
        <v>0.15675284336392722</v>
      </c>
      <c r="HF68" s="936">
        <f>+HF66/HF5</f>
        <v>0.30474368012891528</v>
      </c>
      <c r="HG68" s="936"/>
      <c r="HH68" s="936">
        <f>+HH66/HH5</f>
        <v>0.16642227835623191</v>
      </c>
      <c r="HI68" s="936">
        <f>+HI66/HI5</f>
        <v>0.30045580911028813</v>
      </c>
      <c r="HJ68" s="917">
        <v>0.29499999999999998</v>
      </c>
      <c r="HK68" s="936">
        <f>+HK66/HK5</f>
        <v>0.29907306965293701</v>
      </c>
      <c r="HL68" s="936"/>
      <c r="HM68" s="936">
        <f t="shared" ref="HM68:HR68" si="108">+HM66/HM5</f>
        <v>0.16145761512773318</v>
      </c>
      <c r="HN68" s="936">
        <f t="shared" si="108"/>
        <v>0.31996657561817138</v>
      </c>
      <c r="HO68" s="936">
        <f t="shared" si="108"/>
        <v>0.16419510452027872</v>
      </c>
      <c r="HP68" s="936">
        <f t="shared" si="108"/>
        <v>0.30735177363523769</v>
      </c>
      <c r="HQ68" s="936">
        <f t="shared" si="108"/>
        <v>0.16241393434629114</v>
      </c>
      <c r="HR68" s="936">
        <f t="shared" si="108"/>
        <v>0.31190497071749446</v>
      </c>
      <c r="HS68" s="936"/>
      <c r="HT68" s="936">
        <f>+HT66/HT5</f>
        <v>0.31609923474992635</v>
      </c>
      <c r="HU68" s="936"/>
      <c r="HV68" s="936">
        <f>+HV66/HV5</f>
        <v>0.30847091453877862</v>
      </c>
      <c r="HW68" s="936">
        <f>+HW66/HW5</f>
        <v>0.30562638262108655</v>
      </c>
      <c r="HX68" s="936"/>
      <c r="HY68" s="917"/>
      <c r="HZ68" s="936"/>
      <c r="IA68" s="917"/>
      <c r="IB68" s="917"/>
      <c r="IC68" s="925"/>
      <c r="ID68" s="917"/>
      <c r="IE68" s="926">
        <f>+IE66/IE5</f>
        <v>0.15887135341941655</v>
      </c>
      <c r="IF68" s="917">
        <f>+IF66/IF5</f>
        <v>0.17037002924313246</v>
      </c>
      <c r="IG68" s="917">
        <f>+IG66/IG5</f>
        <v>0.16472920503466315</v>
      </c>
      <c r="IH68" s="917">
        <f>+IH66/IH5</f>
        <v>0.16669228168321396</v>
      </c>
      <c r="II68" s="917"/>
      <c r="IJ68" s="917">
        <f>+IJ66/IJ5</f>
        <v>0.16544385054663052</v>
      </c>
      <c r="IK68" s="917"/>
      <c r="IL68" s="917"/>
      <c r="IM68" s="917">
        <f>+IM66/IM5</f>
        <v>0.12864301162765798</v>
      </c>
      <c r="IN68" s="917"/>
      <c r="IO68" s="917">
        <f>+IO66/IO5</f>
        <v>0.14808609559312449</v>
      </c>
      <c r="IP68" s="918"/>
      <c r="IQ68" s="917"/>
      <c r="IR68" s="918">
        <f>+IR66/IR5</f>
        <v>0.15593576674642803</v>
      </c>
      <c r="IS68" s="506"/>
      <c r="IT68" s="917"/>
      <c r="IU68" s="917">
        <f>+IU66/IU5</f>
        <v>0.15908539955588741</v>
      </c>
      <c r="IV68" s="917">
        <f>+IV66/IV5</f>
        <v>0.15642956662690211</v>
      </c>
      <c r="IW68" s="917"/>
      <c r="IX68" s="917">
        <f>+IX66/IX5</f>
        <v>0.15771578848501924</v>
      </c>
      <c r="IY68" s="917"/>
      <c r="IZ68" s="917">
        <f>+IZ66/IZ5</f>
        <v>0.1472150783551209</v>
      </c>
      <c r="JA68" s="917">
        <f>+JA66/JA5</f>
        <v>0.1540885239753714</v>
      </c>
      <c r="JB68" s="917">
        <f>+JB66/JB5</f>
        <v>0.15917916595005113</v>
      </c>
      <c r="JC68" s="917">
        <f>+JC66/JC5</f>
        <v>0.15314611884440377</v>
      </c>
      <c r="JD68" s="917">
        <f>+JD66/JD5</f>
        <v>0.15537901630616863</v>
      </c>
      <c r="JE68" s="942">
        <f>JE69-IX69</f>
        <v>10169.807999999997</v>
      </c>
      <c r="JF68" s="917"/>
      <c r="JG68" s="917"/>
      <c r="JH68" s="918"/>
      <c r="JI68" s="506"/>
      <c r="JJ68" s="926"/>
      <c r="JK68" s="917"/>
      <c r="JL68" s="917">
        <f>+JL66/JL5</f>
        <v>0.14862251643716101</v>
      </c>
      <c r="JM68" s="917">
        <f>+JM66/JM5</f>
        <v>0.14926157353143263</v>
      </c>
      <c r="JN68" s="917">
        <f>+JN66/JN5</f>
        <v>0.14808637427232024</v>
      </c>
      <c r="JO68" s="917"/>
      <c r="JP68" s="917">
        <f>+JP66/JP5</f>
        <v>0.14895908723232151</v>
      </c>
      <c r="JQ68" s="917"/>
      <c r="JR68" s="917"/>
      <c r="JS68" s="917">
        <f>+JS66/JS5</f>
        <v>0.14865833889045449</v>
      </c>
      <c r="JT68" s="917"/>
      <c r="JU68" s="917"/>
      <c r="JV68" s="917"/>
      <c r="JW68" s="2270">
        <f>+JP69+JW69</f>
        <v>59500</v>
      </c>
      <c r="JX68" s="917"/>
      <c r="JY68" s="495"/>
      <c r="JZ68" s="503"/>
      <c r="KA68" s="501"/>
      <c r="KB68" s="917"/>
      <c r="KC68" s="917"/>
      <c r="KD68" s="917"/>
      <c r="KE68" s="917"/>
      <c r="KF68" s="917"/>
      <c r="KG68" s="917"/>
      <c r="KH68" s="917"/>
      <c r="KI68" s="501"/>
      <c r="KJ68" s="503"/>
      <c r="KK68" s="917"/>
      <c r="KL68" s="917"/>
      <c r="KM68" s="917"/>
      <c r="KN68" s="503"/>
      <c r="KO68" s="917">
        <v>0</v>
      </c>
      <c r="KP68" s="917"/>
      <c r="KQ68" s="918"/>
      <c r="KR68" s="917"/>
      <c r="KS68" s="918"/>
      <c r="KT68" s="917"/>
      <c r="KU68" s="917"/>
      <c r="KV68" s="917"/>
      <c r="KW68" s="918"/>
      <c r="KX68" s="917"/>
      <c r="KY68" s="917"/>
      <c r="KZ68" s="918"/>
      <c r="LA68" s="917"/>
      <c r="LB68" s="917"/>
      <c r="LC68" s="918"/>
      <c r="LD68" s="918"/>
      <c r="LE68" s="917"/>
      <c r="LF68" s="917"/>
      <c r="LG68" s="918"/>
    </row>
    <row r="69" spans="1:323" s="958" customFormat="1" ht="23">
      <c r="A69" s="893"/>
      <c r="B69" s="943" t="s">
        <v>1072</v>
      </c>
      <c r="C69" s="944" t="s">
        <v>190</v>
      </c>
      <c r="D69" s="446"/>
      <c r="E69" s="893">
        <v>15345</v>
      </c>
      <c r="F69" s="893">
        <f>G69-E69</f>
        <v>4225</v>
      </c>
      <c r="G69" s="944">
        <v>19570</v>
      </c>
      <c r="H69" s="893">
        <v>15534</v>
      </c>
      <c r="I69" s="893">
        <f>J69-H69</f>
        <v>4688</v>
      </c>
      <c r="J69" s="944">
        <v>20222</v>
      </c>
      <c r="K69" s="945"/>
      <c r="L69" s="945"/>
      <c r="M69" s="945"/>
      <c r="N69" s="945"/>
      <c r="O69" s="945"/>
      <c r="P69" s="945"/>
      <c r="Q69" s="945"/>
      <c r="R69" s="945"/>
      <c r="S69" s="449"/>
      <c r="T69" s="945">
        <v>8331</v>
      </c>
      <c r="U69" s="945">
        <f>+Y69-T69</f>
        <v>7560</v>
      </c>
      <c r="V69" s="945">
        <f>+X69-Y69</f>
        <v>10503</v>
      </c>
      <c r="W69" s="945">
        <f>+Z69-V69</f>
        <v>4727</v>
      </c>
      <c r="X69" s="945">
        <v>26394</v>
      </c>
      <c r="Y69" s="945">
        <v>15891</v>
      </c>
      <c r="Z69" s="945">
        <f>+AA69-Y69</f>
        <v>15230</v>
      </c>
      <c r="AA69" s="945">
        <v>31121</v>
      </c>
      <c r="AB69" s="449"/>
      <c r="AC69" s="945">
        <v>6900</v>
      </c>
      <c r="AD69" s="945">
        <f>+AH69-AC69</f>
        <v>5554</v>
      </c>
      <c r="AE69" s="945">
        <f>+AG69-AH69</f>
        <v>8105</v>
      </c>
      <c r="AF69" s="945">
        <f>+AI69-AE69</f>
        <v>5252</v>
      </c>
      <c r="AG69" s="945">
        <v>20559</v>
      </c>
      <c r="AH69" s="945">
        <v>12454</v>
      </c>
      <c r="AI69" s="945">
        <f>+AJ69-AH69</f>
        <v>13357</v>
      </c>
      <c r="AJ69" s="945">
        <v>25811</v>
      </c>
      <c r="AK69" s="446"/>
      <c r="AL69" s="945">
        <v>6396</v>
      </c>
      <c r="AM69" s="945">
        <f>+AQ69-AL69</f>
        <v>4820</v>
      </c>
      <c r="AN69" s="945">
        <f>+AP69-AQ69</f>
        <v>8310</v>
      </c>
      <c r="AO69" s="945">
        <f>+AR69-AN69</f>
        <v>5988</v>
      </c>
      <c r="AP69" s="945">
        <v>19526</v>
      </c>
      <c r="AQ69" s="945">
        <v>11216</v>
      </c>
      <c r="AR69" s="945">
        <f>+AS69-AQ69</f>
        <v>14298</v>
      </c>
      <c r="AS69" s="945">
        <v>25514</v>
      </c>
      <c r="AT69" s="446"/>
      <c r="AU69" s="945">
        <v>6782</v>
      </c>
      <c r="AV69" s="945">
        <f>+BB69-AU69</f>
        <v>6622</v>
      </c>
      <c r="AW69" s="945">
        <f>+BA69-BB69</f>
        <v>9713</v>
      </c>
      <c r="AX69" s="945">
        <v>9400</v>
      </c>
      <c r="AY69" s="945">
        <f>+BC69-AW69</f>
        <v>6506</v>
      </c>
      <c r="AZ69" s="945">
        <v>22800</v>
      </c>
      <c r="BA69" s="945">
        <v>23117</v>
      </c>
      <c r="BB69" s="946">
        <v>13404</v>
      </c>
      <c r="BC69" s="946">
        <f>+BE69-BB69</f>
        <v>16219</v>
      </c>
      <c r="BD69" s="801">
        <v>31000</v>
      </c>
      <c r="BE69" s="945">
        <v>29623</v>
      </c>
      <c r="BF69" s="446"/>
      <c r="BG69" s="945">
        <f>+BH69-AW69</f>
        <v>-23117</v>
      </c>
      <c r="BH69" s="945">
        <f>+BI69-BB69</f>
        <v>-13404</v>
      </c>
      <c r="BI69" s="945"/>
      <c r="BJ69" s="446"/>
      <c r="BK69" s="893">
        <v>12000</v>
      </c>
      <c r="BL69" s="893">
        <v>15000</v>
      </c>
      <c r="BM69" s="893">
        <v>27000</v>
      </c>
      <c r="BN69" s="893"/>
      <c r="BO69" s="446"/>
      <c r="BP69" s="945">
        <v>7799</v>
      </c>
      <c r="BQ69" s="801">
        <v>7800</v>
      </c>
      <c r="BR69" s="945">
        <f t="shared" si="88"/>
        <v>6092</v>
      </c>
      <c r="BS69" s="801">
        <v>11000</v>
      </c>
      <c r="BT69" s="945">
        <f t="shared" si="89"/>
        <v>10712</v>
      </c>
      <c r="BU69" s="945">
        <v>6899</v>
      </c>
      <c r="BV69" s="945">
        <f>CC69-BT69</f>
        <v>5992</v>
      </c>
      <c r="BW69" s="801">
        <v>24889.194085027724</v>
      </c>
      <c r="BX69" s="945">
        <v>24603</v>
      </c>
      <c r="BY69" s="945">
        <v>13891</v>
      </c>
      <c r="BZ69" s="801">
        <v>15076</v>
      </c>
      <c r="CA69" s="801">
        <v>14587</v>
      </c>
      <c r="CB69" s="945">
        <v>17610</v>
      </c>
      <c r="CC69" s="945">
        <f>CE69-BY69</f>
        <v>16704</v>
      </c>
      <c r="CD69" s="945">
        <v>31500</v>
      </c>
      <c r="CE69" s="945">
        <f>'Raw Data'!V35</f>
        <v>30595</v>
      </c>
      <c r="CF69" s="446"/>
      <c r="CG69" s="947">
        <v>4772</v>
      </c>
      <c r="CH69" s="893">
        <v>5800</v>
      </c>
      <c r="CI69" s="893">
        <f>CI73+CI74++CI102+CI127+CI142+CI149+CI157</f>
        <v>5790.3933694461348</v>
      </c>
      <c r="CJ69" s="893">
        <f>CR69-CG69</f>
        <v>5881</v>
      </c>
      <c r="CK69" s="893">
        <v>6025.5668956508525</v>
      </c>
      <c r="CL69" s="948">
        <f>CP69-CR69</f>
        <v>9193</v>
      </c>
      <c r="CM69" s="893">
        <v>9802.2780000000002</v>
      </c>
      <c r="CN69" s="893">
        <v>5954</v>
      </c>
      <c r="CO69" s="893">
        <f>CW69-CP69</f>
        <v>5230</v>
      </c>
      <c r="CP69" s="893">
        <v>19846</v>
      </c>
      <c r="CQ69" s="893">
        <v>20455.277999999998</v>
      </c>
      <c r="CR69" s="949">
        <v>10653</v>
      </c>
      <c r="CS69" s="949">
        <v>10800</v>
      </c>
      <c r="CT69" s="950">
        <v>15147</v>
      </c>
      <c r="CU69" s="950">
        <f>CW69-CR69</f>
        <v>14423</v>
      </c>
      <c r="CV69" s="893">
        <v>25800</v>
      </c>
      <c r="CW69" s="944">
        <f>+Model!W36</f>
        <v>25076</v>
      </c>
      <c r="CX69" s="180"/>
      <c r="CY69" s="951">
        <v>6144</v>
      </c>
      <c r="CZ69" s="951">
        <f>+DB69-CY69</f>
        <v>6364</v>
      </c>
      <c r="DA69" s="951" t="e">
        <f>+CY69+#REF!</f>
        <v>#REF!</v>
      </c>
      <c r="DB69" s="951">
        <v>12508</v>
      </c>
      <c r="DC69" s="951">
        <f>+DG69-DB69</f>
        <v>10280</v>
      </c>
      <c r="DD69" s="952">
        <f>DD73+DD74+DD102+DD127+DD142+DD149+DD157</f>
        <v>9561.2125057937337</v>
      </c>
      <c r="DE69" s="952">
        <f t="shared" si="42"/>
        <v>5526</v>
      </c>
      <c r="DF69" s="953">
        <f>DJ69-DC69</f>
        <v>5712</v>
      </c>
      <c r="DG69" s="953">
        <v>22788</v>
      </c>
      <c r="DH69" s="952">
        <f>DD69+DB69</f>
        <v>22069.212505793734</v>
      </c>
      <c r="DI69" s="952">
        <f t="shared" si="3"/>
        <v>15806</v>
      </c>
      <c r="DJ69" s="951">
        <f>DL69-DB69</f>
        <v>15992</v>
      </c>
      <c r="DK69" s="951">
        <v>28314</v>
      </c>
      <c r="DL69" s="954">
        <v>28500</v>
      </c>
      <c r="DM69" s="459"/>
      <c r="DN69" s="945"/>
      <c r="DO69" s="945"/>
      <c r="DP69" s="955"/>
      <c r="DQ69" s="955">
        <f>+DR69-DC69</f>
        <v>5212</v>
      </c>
      <c r="DR69" s="955">
        <f>+DS69-DB69</f>
        <v>15492</v>
      </c>
      <c r="DS69" s="956">
        <v>28000</v>
      </c>
      <c r="DT69" s="459"/>
      <c r="DU69" s="957" t="s">
        <v>1422</v>
      </c>
      <c r="DV69" s="590">
        <f>DW69-CY69</f>
        <v>6356</v>
      </c>
      <c r="DW69" s="948">
        <v>12500</v>
      </c>
      <c r="DX69" s="955">
        <f>DY69-DB69</f>
        <v>15492</v>
      </c>
      <c r="DY69" s="955">
        <v>28000</v>
      </c>
      <c r="DZ69" s="463"/>
      <c r="EB69" s="948">
        <f>ED69-CP69</f>
        <v>8154</v>
      </c>
      <c r="EC69" s="955">
        <f>ED69-CR69</f>
        <v>17347</v>
      </c>
      <c r="ED69" s="959">
        <v>28000</v>
      </c>
      <c r="EE69" s="446"/>
      <c r="EF69" s="893"/>
      <c r="EG69" s="947">
        <v>7212</v>
      </c>
      <c r="EH69" s="952">
        <f>EH73+EH74+EH102+EH127+EH142+EH149+EH157</f>
        <v>4040</v>
      </c>
      <c r="EI69" s="893">
        <f t="shared" ref="EI69" si="109">+EK69-EG69</f>
        <v>6233</v>
      </c>
      <c r="EJ69" s="952">
        <f>EJ73+EJ74+EJ102+EJ127+EJ142+EJ149+EJ157</f>
        <v>6816</v>
      </c>
      <c r="EK69" s="893">
        <v>13445</v>
      </c>
      <c r="EL69" s="952">
        <f>EL73+EL74+EL102+EL127+EL142+EL149+EL157</f>
        <v>14025</v>
      </c>
      <c r="EM69" s="893">
        <f>+EO69-EK69</f>
        <v>10798</v>
      </c>
      <c r="EN69" s="952">
        <f>EN73+EN74+EN102+EN127+EN142+EN149+EN157</f>
        <v>10020</v>
      </c>
      <c r="EO69" s="893">
        <v>24243</v>
      </c>
      <c r="EP69" s="952">
        <f>EP73+EP74+EP102+EP127+EP142+EP149+EP157</f>
        <v>24157</v>
      </c>
      <c r="EQ69" s="893">
        <f>+EU69-EO69</f>
        <v>5244</v>
      </c>
      <c r="ER69" s="952"/>
      <c r="ES69" s="893">
        <f>+EU69-EK69</f>
        <v>16042</v>
      </c>
      <c r="ET69" s="952"/>
      <c r="EU69" s="944">
        <f>+Model!Y36</f>
        <v>29487</v>
      </c>
      <c r="EV69" s="533"/>
      <c r="EW69" s="893">
        <v>7212.9304599607904</v>
      </c>
      <c r="EX69" s="893">
        <v>6399</v>
      </c>
      <c r="EY69" s="893">
        <v>6938.9192961235785</v>
      </c>
      <c r="EZ69" s="893">
        <f>+FB69-EX69</f>
        <v>6393</v>
      </c>
      <c r="FA69" s="893">
        <v>13335.919296123579</v>
      </c>
      <c r="FB69" s="893">
        <v>12792</v>
      </c>
      <c r="FC69" s="893">
        <f>FE69-FB69</f>
        <v>9514</v>
      </c>
      <c r="FD69" s="592">
        <v>11695.3252696007</v>
      </c>
      <c r="FE69" s="893">
        <v>22306</v>
      </c>
      <c r="FF69" s="960">
        <v>24485.3252696007</v>
      </c>
      <c r="FG69" s="960">
        <f>FK69-FE69</f>
        <v>4347</v>
      </c>
      <c r="FH69" s="960">
        <f>+FH73+FH74+FH102+FH127+FH142+FH149+FH157</f>
        <v>4415</v>
      </c>
      <c r="FI69" s="893">
        <f>FK69-FB69</f>
        <v>13861</v>
      </c>
      <c r="FJ69" s="893">
        <f>+FJ73+FJ74+FJ102+FJ127+FJ142+FJ149+FJ157</f>
        <v>13858</v>
      </c>
      <c r="FK69" s="944">
        <f>+Model!Z36</f>
        <v>26653</v>
      </c>
      <c r="FL69" s="954">
        <f>Segments!N14</f>
        <v>26653</v>
      </c>
      <c r="FM69" s="961">
        <f>+FN69-EX69</f>
        <v>7101</v>
      </c>
      <c r="FN69" s="955">
        <v>13500</v>
      </c>
      <c r="FO69" s="955">
        <f>+FQ69-FE69</f>
        <v>7694</v>
      </c>
      <c r="FP69" s="955">
        <f>+FQ69-FB69</f>
        <v>17208</v>
      </c>
      <c r="FQ69" s="956">
        <v>30000</v>
      </c>
      <c r="FR69" s="956"/>
      <c r="FS69" s="893">
        <v>6485</v>
      </c>
      <c r="FT69" s="962">
        <f>FT73+FT74+FT102+FT127+FT142+FT149+FT157</f>
        <v>6032.3505894962491</v>
      </c>
      <c r="FU69" s="962">
        <f>FU73+FU74+FU102+FU127+FU142+FU149+FU157</f>
        <v>5958.5</v>
      </c>
      <c r="FV69" s="893">
        <f>+FY69-FS69</f>
        <v>5087</v>
      </c>
      <c r="FW69" s="963">
        <f>FW73+FW74+FW102+FW127+FW142+FW149+FW157</f>
        <v>12443.5</v>
      </c>
      <c r="FX69" s="963"/>
      <c r="FY69" s="964">
        <v>11572</v>
      </c>
      <c r="FZ69" s="893">
        <f>GA69-FY69</f>
        <v>8225</v>
      </c>
      <c r="GA69" s="893">
        <v>19797</v>
      </c>
      <c r="GB69" s="893">
        <f>+GD69-GA69</f>
        <v>3865</v>
      </c>
      <c r="GC69" s="893">
        <f>GD69-FY69</f>
        <v>12090</v>
      </c>
      <c r="GD69" s="965">
        <f>+Model!AA36</f>
        <v>23662</v>
      </c>
      <c r="GE69" s="893">
        <v>24000</v>
      </c>
      <c r="GF69" s="964">
        <f>GF73+GF74+GF102+GF127+GF142+GF149+GF157</f>
        <v>8496.9589281626922</v>
      </c>
      <c r="GG69" s="964">
        <f>GH69-FZ69</f>
        <v>3865</v>
      </c>
      <c r="GH69" s="966">
        <f>GI69-FY69</f>
        <v>12090</v>
      </c>
      <c r="GI69" s="955">
        <f>Segments!O36</f>
        <v>23662</v>
      </c>
      <c r="GJ69" s="967"/>
      <c r="GK69" s="962">
        <f>GK63-GK66</f>
        <v>5981.6843775916714</v>
      </c>
      <c r="GL69" s="962">
        <v>5824</v>
      </c>
      <c r="GM69" s="962">
        <f>GM63-GM66</f>
        <v>5865.8791455967403</v>
      </c>
      <c r="GN69" s="962">
        <f>GM69+GL69</f>
        <v>11689.87914559674</v>
      </c>
      <c r="GO69" s="962">
        <f>+GP69-GL69</f>
        <v>5840</v>
      </c>
      <c r="GP69" s="962">
        <v>11664</v>
      </c>
      <c r="GQ69" s="962">
        <f>GQ63-GQ66</f>
        <v>9517.0204433213148</v>
      </c>
      <c r="GR69" s="893">
        <f>GS69-GP69</f>
        <v>10223</v>
      </c>
      <c r="GS69" s="893">
        <v>21887</v>
      </c>
      <c r="GT69" s="893">
        <f>+GU69-GR69</f>
        <v>6462</v>
      </c>
      <c r="GU69" s="893">
        <f>GV69-GP69</f>
        <v>16685</v>
      </c>
      <c r="GV69" s="944">
        <f>+Model!AB36</f>
        <v>28349</v>
      </c>
      <c r="GW69" s="893">
        <v>29500</v>
      </c>
      <c r="GX69" s="962">
        <f>GY69-GR69</f>
        <v>6462</v>
      </c>
      <c r="GY69" s="962">
        <f>GZ69-GP69</f>
        <v>16685</v>
      </c>
      <c r="GZ69" s="962">
        <f>Segments!P36</f>
        <v>28349</v>
      </c>
      <c r="HA69" s="967"/>
      <c r="HB69" s="962">
        <f>HB63-HB66</f>
        <v>8563.7065633410712</v>
      </c>
      <c r="HC69" s="962"/>
      <c r="HD69" s="962">
        <v>10379</v>
      </c>
      <c r="HE69" s="962">
        <v>10379</v>
      </c>
      <c r="HF69" s="962">
        <f>+HI69-HD69</f>
        <v>7755</v>
      </c>
      <c r="HG69" s="962">
        <f>+HL69-HE69</f>
        <v>7755</v>
      </c>
      <c r="HH69" s="962">
        <f>HM69-HE69</f>
        <v>7755</v>
      </c>
      <c r="HI69" s="962">
        <v>18134</v>
      </c>
      <c r="HJ69" s="962">
        <f>HI63-HI66</f>
        <v>18135</v>
      </c>
      <c r="HK69" s="962">
        <f>HI69+HD69</f>
        <v>28513</v>
      </c>
      <c r="HL69" s="962">
        <v>18134</v>
      </c>
      <c r="HM69" s="962">
        <v>18134</v>
      </c>
      <c r="HN69" s="893">
        <f>HP69-HI69</f>
        <v>10925</v>
      </c>
      <c r="HO69" s="893">
        <f>HQ69-HM69</f>
        <v>10925</v>
      </c>
      <c r="HP69" s="893">
        <v>29059</v>
      </c>
      <c r="HQ69" s="968">
        <v>29059</v>
      </c>
      <c r="HR69" s="893">
        <f>+HT69-HN69</f>
        <v>7401</v>
      </c>
      <c r="HS69" s="893">
        <f>HU69-HO69</f>
        <v>7401</v>
      </c>
      <c r="HT69" s="893">
        <f>HV69-HI69</f>
        <v>18326</v>
      </c>
      <c r="HU69" s="893">
        <f>HZ69-HM69</f>
        <v>18326</v>
      </c>
      <c r="HV69" s="893">
        <v>36460</v>
      </c>
      <c r="HW69" s="962">
        <f>HW73+HW74+HW102+HW127+HW142+HW149+HW157</f>
        <v>10983.914306927298</v>
      </c>
      <c r="HX69" s="962">
        <f>HY69-HN69</f>
        <v>7401</v>
      </c>
      <c r="HY69" s="962">
        <f>IB69-HI69</f>
        <v>18326</v>
      </c>
      <c r="HZ69" s="893">
        <v>36460</v>
      </c>
      <c r="IA69" s="962">
        <v>36700</v>
      </c>
      <c r="IB69" s="962">
        <f>Segments!Q36</f>
        <v>36460</v>
      </c>
      <c r="IC69" s="967"/>
      <c r="ID69" s="962">
        <f>ID73+ID74+ID102+ID127+ID142+ID149+ID157</f>
        <v>7610</v>
      </c>
      <c r="IE69" s="969">
        <v>8399</v>
      </c>
      <c r="IF69" s="962">
        <f>IG69-IE69</f>
        <v>6397</v>
      </c>
      <c r="IG69" s="970">
        <v>14796</v>
      </c>
      <c r="IH69" s="962">
        <f>IJ69-IG69</f>
        <v>10026</v>
      </c>
      <c r="II69" s="962">
        <f>II73+II74+II102+II127+II142+II149+II157</f>
        <v>9920</v>
      </c>
      <c r="IJ69" s="971">
        <v>24822</v>
      </c>
      <c r="IK69" s="962">
        <f>+IP69-IL69</f>
        <v>24822</v>
      </c>
      <c r="IL69" s="962">
        <f>IN69-IH69</f>
        <v>4916</v>
      </c>
      <c r="IM69" s="962">
        <f>+IO69-IH69</f>
        <v>4916</v>
      </c>
      <c r="IN69" s="962">
        <f>IP69-IG69</f>
        <v>14942</v>
      </c>
      <c r="IO69" s="962">
        <f>IR69-IG69</f>
        <v>14942</v>
      </c>
      <c r="IP69" s="972">
        <f>Segments!S36</f>
        <v>29738</v>
      </c>
      <c r="IQ69" s="962">
        <v>30800</v>
      </c>
      <c r="IR69" s="973">
        <f>+Model!AD36</f>
        <v>29738</v>
      </c>
      <c r="IS69" s="1283"/>
      <c r="IT69" s="962">
        <f>IT73+IT74+IT102+IT127+IT142+IT149+IT157</f>
        <v>8968.6350691619191</v>
      </c>
      <c r="IU69" s="974">
        <v>10727</v>
      </c>
      <c r="IV69" s="975">
        <f>IX69-IU69</f>
        <v>8251</v>
      </c>
      <c r="IW69" s="962">
        <v>7357.8650827398378</v>
      </c>
      <c r="IX69" s="962">
        <v>18978</v>
      </c>
      <c r="IY69" s="962">
        <v>18084.865082739838</v>
      </c>
      <c r="IZ69" s="962">
        <f>JA69-IX69</f>
        <v>12907</v>
      </c>
      <c r="JA69" s="962">
        <v>31885</v>
      </c>
      <c r="JB69" s="962">
        <f>+JC69-IZ69</f>
        <v>8445</v>
      </c>
      <c r="JC69" s="962">
        <f>+JD69-IX69</f>
        <v>21352</v>
      </c>
      <c r="JD69" s="962">
        <v>40330</v>
      </c>
      <c r="JE69" s="962">
        <v>29147.807999999997</v>
      </c>
      <c r="JF69" s="962">
        <f>JG69-IZ69</f>
        <v>8445</v>
      </c>
      <c r="JG69" s="962">
        <f>JH69-IX69</f>
        <v>21352</v>
      </c>
      <c r="JH69" s="972">
        <f>Segments!T36</f>
        <v>40330</v>
      </c>
      <c r="JI69" s="1283"/>
      <c r="JJ69" s="1242">
        <f>JJ73+JJ74+JJ102+JJ127+JJ142+JJ149+JJ157</f>
        <v>13950</v>
      </c>
      <c r="JK69" s="955">
        <f>JK73+JK74+JK102+JK127+JK142+JK149+JK157</f>
        <v>11600</v>
      </c>
      <c r="JL69" s="955">
        <v>13190</v>
      </c>
      <c r="JM69" s="955">
        <f>+JP69-JL69</f>
        <v>16634</v>
      </c>
      <c r="JN69" s="955">
        <f>JS69-JP69</f>
        <v>18187</v>
      </c>
      <c r="JO69" s="955"/>
      <c r="JP69" s="955">
        <v>29824</v>
      </c>
      <c r="JQ69" s="955"/>
      <c r="JR69" s="955"/>
      <c r="JS69" s="955">
        <v>48011</v>
      </c>
      <c r="JT69" s="955">
        <f>JT73+JT74+JT102+JT127+JT142+JT149+JT157</f>
        <v>16150</v>
      </c>
      <c r="JU69" s="955">
        <f>+JW69-JN69</f>
        <v>11489</v>
      </c>
      <c r="JV69" s="955">
        <f>+JL69+JK69</f>
        <v>24790</v>
      </c>
      <c r="JW69" s="955">
        <f>+JX69-JP69</f>
        <v>29676</v>
      </c>
      <c r="JX69" s="955">
        <f>+Driver!AL242</f>
        <v>59500</v>
      </c>
      <c r="JY69" s="955">
        <f>+JP69+JT69</f>
        <v>45974</v>
      </c>
      <c r="JZ69" s="899">
        <f>+JX69-KG69</f>
        <v>7500</v>
      </c>
      <c r="KA69" s="1271"/>
      <c r="KB69" s="976">
        <f>+KC69-JL69</f>
        <v>11310</v>
      </c>
      <c r="KC69" s="976">
        <v>24500</v>
      </c>
      <c r="KD69" s="976">
        <f t="shared" ref="KD69" si="110">+KH69-KC69</f>
        <v>25500</v>
      </c>
      <c r="KE69" s="976">
        <f>+KG69-JP69</f>
        <v>22176</v>
      </c>
      <c r="KF69" s="976">
        <f>+KG69-JS69</f>
        <v>3989</v>
      </c>
      <c r="KG69" s="976">
        <v>52000</v>
      </c>
      <c r="KH69" s="976">
        <v>50000</v>
      </c>
      <c r="KI69" s="1271"/>
      <c r="KJ69" s="899"/>
      <c r="KK69" s="962">
        <f>KL69-IZ69</f>
        <v>9115</v>
      </c>
      <c r="KL69" s="976">
        <f>KM69-IX69</f>
        <v>22022</v>
      </c>
      <c r="KM69" s="976">
        <v>41000</v>
      </c>
      <c r="KN69" s="899"/>
      <c r="KO69" s="976">
        <v>16000</v>
      </c>
      <c r="KP69" s="955">
        <v>20500</v>
      </c>
      <c r="KQ69" s="956">
        <v>36500</v>
      </c>
      <c r="KR69" s="955">
        <v>17204</v>
      </c>
      <c r="KS69" s="956">
        <v>32000</v>
      </c>
      <c r="KT69" s="955">
        <f>+KU69-IE69</f>
        <v>6601</v>
      </c>
      <c r="KU69" s="955">
        <v>15000</v>
      </c>
      <c r="KV69" s="955">
        <f>+KW69-KU69</f>
        <v>18500</v>
      </c>
      <c r="KW69" s="956">
        <v>33500</v>
      </c>
      <c r="KX69" s="955">
        <f>+KY69-HN69</f>
        <v>5441</v>
      </c>
      <c r="KY69" s="955">
        <f>+KZ69-HI69</f>
        <v>16366</v>
      </c>
      <c r="KZ69" s="956">
        <v>34500</v>
      </c>
      <c r="LA69" s="955">
        <v>14000</v>
      </c>
      <c r="LB69" s="955">
        <f>+LC69-LA69</f>
        <v>16500</v>
      </c>
      <c r="LC69" s="956">
        <v>30500</v>
      </c>
      <c r="LD69" s="956">
        <v>31500</v>
      </c>
      <c r="LE69" s="955">
        <f>+LF69-GR69</f>
        <v>5113</v>
      </c>
      <c r="LF69" s="955">
        <f>+LG69-GP69</f>
        <v>15336</v>
      </c>
      <c r="LG69" s="956">
        <v>27000</v>
      </c>
    </row>
    <row r="70" spans="1:323" s="1019" customFormat="1" ht="12">
      <c r="A70" s="1007"/>
      <c r="B70" s="863" t="s">
        <v>669</v>
      </c>
      <c r="C70" s="1676" t="s">
        <v>1443</v>
      </c>
      <c r="D70" s="1009"/>
      <c r="E70" s="1007"/>
      <c r="F70" s="1007"/>
      <c r="G70" s="1008"/>
      <c r="H70" s="617">
        <f>(H69-E69)/E69</f>
        <v>1.2316715542521995E-2</v>
      </c>
      <c r="I70" s="617">
        <f>(I69-F69)/F69</f>
        <v>0.10958579881656805</v>
      </c>
      <c r="J70" s="617">
        <f>(J69-G69)/G69</f>
        <v>3.3316300459887586E-2</v>
      </c>
      <c r="K70" s="1010"/>
      <c r="L70" s="1010"/>
      <c r="M70" s="1010"/>
      <c r="N70" s="1010"/>
      <c r="O70" s="1010"/>
      <c r="P70" s="1010"/>
      <c r="Q70" s="1010"/>
      <c r="R70" s="1010"/>
      <c r="S70" s="1011"/>
      <c r="T70" s="1010"/>
      <c r="U70" s="1010"/>
      <c r="V70" s="1010"/>
      <c r="W70" s="1010"/>
      <c r="X70" s="1010"/>
      <c r="Y70" s="1010"/>
      <c r="Z70" s="1010"/>
      <c r="AA70" s="1010"/>
      <c r="AB70" s="1011"/>
      <c r="AC70" s="1678">
        <f t="shared" ref="AC70:AJ70" si="111">+AC69/T69-1</f>
        <v>-0.17176809506661861</v>
      </c>
      <c r="AD70" s="1678">
        <f t="shared" si="111"/>
        <v>-0.26534391534391533</v>
      </c>
      <c r="AE70" s="1678">
        <f t="shared" si="111"/>
        <v>-0.22831571931828998</v>
      </c>
      <c r="AF70" s="1678">
        <f t="shared" si="111"/>
        <v>0.11106409985191457</v>
      </c>
      <c r="AG70" s="1678">
        <f t="shared" si="111"/>
        <v>-0.22107297112980218</v>
      </c>
      <c r="AH70" s="1678">
        <f t="shared" si="111"/>
        <v>-0.21628594802089229</v>
      </c>
      <c r="AI70" s="1678">
        <f t="shared" si="111"/>
        <v>-0.1229809586342745</v>
      </c>
      <c r="AJ70" s="1678">
        <f t="shared" si="111"/>
        <v>-0.17062433726422677</v>
      </c>
      <c r="AK70" s="1009"/>
      <c r="AL70" s="1678">
        <f t="shared" ref="AL70:AS70" si="112">+AL69/AC69-1</f>
        <v>-7.3043478260869543E-2</v>
      </c>
      <c r="AM70" s="1678">
        <f t="shared" si="112"/>
        <v>-0.13215700396110908</v>
      </c>
      <c r="AN70" s="1678">
        <f t="shared" si="112"/>
        <v>2.5293028994447964E-2</v>
      </c>
      <c r="AO70" s="1678">
        <f t="shared" si="112"/>
        <v>0.14013709063214019</v>
      </c>
      <c r="AP70" s="1678">
        <f t="shared" si="112"/>
        <v>-5.0245634515297399E-2</v>
      </c>
      <c r="AQ70" s="1678">
        <f t="shared" si="112"/>
        <v>-9.9405813393287246E-2</v>
      </c>
      <c r="AR70" s="1678">
        <f t="shared" si="112"/>
        <v>7.0449951336377881E-2</v>
      </c>
      <c r="AS70" s="1678">
        <f t="shared" si="112"/>
        <v>-1.1506721940258036E-2</v>
      </c>
      <c r="AT70" s="1009"/>
      <c r="AU70" s="1678">
        <f>+AU69/AL69-1</f>
        <v>6.0350218886804363E-2</v>
      </c>
      <c r="AV70" s="1678">
        <f>+AV69/AM69-1</f>
        <v>0.37385892116182573</v>
      </c>
      <c r="AW70" s="1678">
        <f>+AW69/AN69-1</f>
        <v>0.16883273164861623</v>
      </c>
      <c r="AX70" s="1678">
        <f>+AX69/AN69-1</f>
        <v>0.13116726835138381</v>
      </c>
      <c r="AY70" s="1678">
        <f>+AY69/AO69-1</f>
        <v>8.6506346025384095E-2</v>
      </c>
      <c r="AZ70" s="1678">
        <f>+AZ69/AP69-1</f>
        <v>0.16767387073645401</v>
      </c>
      <c r="BA70" s="1678">
        <f>+BA69/AP69-1</f>
        <v>0.1839086346409915</v>
      </c>
      <c r="BB70" s="1679">
        <f>+BB69/AQ69-1</f>
        <v>0.19507845934379464</v>
      </c>
      <c r="BC70" s="1679">
        <f>+BC69/AR69-1</f>
        <v>0.13435445516855515</v>
      </c>
      <c r="BD70" s="1680">
        <v>0.21501920514227479</v>
      </c>
      <c r="BE70" s="1678">
        <f>+BE69/AS69-1</f>
        <v>0.16104883593321317</v>
      </c>
      <c r="BF70" s="1009"/>
      <c r="BG70" s="1678">
        <f>+BG69/AO69-1</f>
        <v>-4.8605544422177687</v>
      </c>
      <c r="BH70" s="1678">
        <f>+BH69/AR69-1</f>
        <v>-1.9374737725556022</v>
      </c>
      <c r="BI70" s="1678"/>
      <c r="BJ70" s="1009"/>
      <c r="BK70" s="1007"/>
      <c r="BL70" s="1007"/>
      <c r="BM70" s="1007"/>
      <c r="BN70" s="1007"/>
      <c r="BO70" s="1009"/>
      <c r="BP70" s="1679">
        <f>+BP69/AU69-1</f>
        <v>0.14995576526098486</v>
      </c>
      <c r="BQ70" s="1808">
        <v>0.15010321439103511</v>
      </c>
      <c r="BR70" s="1679">
        <f>+BR69/AV69-1</f>
        <v>-8.0036242826940551E-2</v>
      </c>
      <c r="BS70" s="1808">
        <v>0.13250283125707815</v>
      </c>
      <c r="BT70" s="1679">
        <f>(BT69-AW69)/AW69</f>
        <v>0.102851848038711</v>
      </c>
      <c r="BU70" s="1679">
        <v>6.0405779280664006E-2</v>
      </c>
      <c r="BV70" s="1679">
        <f>(BV69-AY69)/AY69</f>
        <v>-7.9003996311097446E-2</v>
      </c>
      <c r="BW70" s="1014"/>
      <c r="BX70" s="1679">
        <f>+BX69/BA69-1</f>
        <v>6.4281697452091446E-2</v>
      </c>
      <c r="BY70" s="1679">
        <f>+BY69/BB69-1</f>
        <v>3.6332438078185536E-2</v>
      </c>
      <c r="BZ70" s="1808">
        <v>0.12473888391524918</v>
      </c>
      <c r="CA70" s="1808">
        <v>8.8257236645777379E-2</v>
      </c>
      <c r="CB70" s="1679">
        <v>8.5763610580183738E-2</v>
      </c>
      <c r="CC70" s="1679">
        <f>(CC69-BC69)/BC69</f>
        <v>2.9903199950675134E-2</v>
      </c>
      <c r="CD70" s="1679">
        <v>6.3362927455018064E-2</v>
      </c>
      <c r="CE70" s="1679">
        <f>(CE69-BE69)/BE69</f>
        <v>3.2812341761469126E-2</v>
      </c>
      <c r="CF70" s="1009"/>
      <c r="CG70" s="616">
        <f>(CG69-BP69)/BP69</f>
        <v>-0.38812668290806512</v>
      </c>
      <c r="CH70" s="617">
        <v>-0.25631491216822672</v>
      </c>
      <c r="CI70" s="617">
        <f>CI69/BP69-1</f>
        <v>-0.2575466893901609</v>
      </c>
      <c r="CJ70" s="617">
        <f>(CJ69-BR69)/BR69</f>
        <v>-3.463558765594222E-2</v>
      </c>
      <c r="CK70" s="617">
        <v>-1.0904974449958547E-2</v>
      </c>
      <c r="CL70" s="1682">
        <f>CL69/BT69-1</f>
        <v>-0.14180358476474986</v>
      </c>
      <c r="CM70" s="1682">
        <v>-8.492550410754296E-2</v>
      </c>
      <c r="CN70" s="1682">
        <v>-6.3417890520693909E-3</v>
      </c>
      <c r="CO70" s="1682">
        <f>CO69/BV69-1</f>
        <v>-0.12716955941255004</v>
      </c>
      <c r="CP70" s="1682">
        <f>CP69/BX69-1</f>
        <v>-0.19335040442222495</v>
      </c>
      <c r="CQ70" s="1682">
        <v>-0.16858602609437878</v>
      </c>
      <c r="CR70" s="617">
        <f>(CR69-BY69)/BY69</f>
        <v>-0.23310056871355553</v>
      </c>
      <c r="CS70" s="617">
        <v>-0.22251817723705997</v>
      </c>
      <c r="CT70" s="617">
        <v>-9.3211206896551727E-2</v>
      </c>
      <c r="CU70" s="617">
        <f>(CU69-CC69)/CC69</f>
        <v>-0.13655411877394635</v>
      </c>
      <c r="CV70" s="1682">
        <v>-0.15672495505801598</v>
      </c>
      <c r="CW70" s="1683">
        <f>CW69/CE69-1</f>
        <v>-0.18038895244320963</v>
      </c>
      <c r="CX70" s="704"/>
      <c r="CY70" s="704">
        <f>(CY69-CG69)/CG69</f>
        <v>0.28751047778709138</v>
      </c>
      <c r="CZ70" s="704">
        <f>+CZ69/CJ69-1</f>
        <v>8.2128889644618175E-2</v>
      </c>
      <c r="DA70" s="704" t="e">
        <f>+DA69/CR69-1</f>
        <v>#REF!</v>
      </c>
      <c r="DB70" s="704">
        <f>+DB69/CR69-1</f>
        <v>0.17412935323383083</v>
      </c>
      <c r="DC70" s="704">
        <f>+DC69/CL69-1</f>
        <v>0.11824214075927331</v>
      </c>
      <c r="DD70" s="704">
        <f>+DD69/CL69-1</f>
        <v>4.0053574001276404E-2</v>
      </c>
      <c r="DE70" s="704">
        <f>+DE69/CO69-1</f>
        <v>5.6596558317399515E-2</v>
      </c>
      <c r="DF70" s="704">
        <f>+DF69/CO69-1</f>
        <v>9.2160611854684493E-2</v>
      </c>
      <c r="DG70" s="704">
        <f>+DG69/CP69-1</f>
        <v>0.14824145923611809</v>
      </c>
      <c r="DH70" s="704">
        <f>+DH69/CP69-1</f>
        <v>0.11202320396018006</v>
      </c>
      <c r="DI70" s="704">
        <f>+DI69/CU69-1</f>
        <v>9.5888511405394228E-2</v>
      </c>
      <c r="DJ70" s="704">
        <f>(DJ69-CU69)/CU69</f>
        <v>0.10878458018442765</v>
      </c>
      <c r="DK70" s="704">
        <f>+DK69/CW69-1</f>
        <v>0.12912745254426539</v>
      </c>
      <c r="DL70" s="1809">
        <v>0.13659022931206377</v>
      </c>
      <c r="DM70" s="1810"/>
      <c r="DN70" s="1811"/>
      <c r="DO70" s="1811"/>
      <c r="DP70" s="1670"/>
      <c r="DQ70" s="1670">
        <f>+DQ69/CO69-1</f>
        <v>-3.4416826003823564E-3</v>
      </c>
      <c r="DR70" s="1670">
        <f>+DR69/CU69-1</f>
        <v>7.4117728627886015E-2</v>
      </c>
      <c r="DS70" s="1686">
        <f>DS69/CW69-1</f>
        <v>0.11660551922156648</v>
      </c>
      <c r="DT70" s="1810"/>
      <c r="DU70" s="1811"/>
      <c r="DV70" s="1811">
        <f>(DV69-CJ69)/CJ69</f>
        <v>8.076857677265771E-2</v>
      </c>
      <c r="DW70" s="1682">
        <f>DW69/CR69-1</f>
        <v>0.17337839106355024</v>
      </c>
      <c r="DX70" s="1670">
        <f>DX69/CU69-1</f>
        <v>7.4117728627886015E-2</v>
      </c>
      <c r="DY70" s="1670">
        <f>DY69/CW69-1</f>
        <v>0.11660551922156648</v>
      </c>
      <c r="DZ70" s="1020"/>
      <c r="EB70" s="1682">
        <f>EB69/BV69-1</f>
        <v>0.36081441922563418</v>
      </c>
      <c r="EC70" s="1670">
        <f>EC69/CC69-1</f>
        <v>3.8493773946360221E-2</v>
      </c>
      <c r="ED70" s="1687">
        <f>ED69/CE69-1</f>
        <v>-8.4817780683118182E-2</v>
      </c>
      <c r="EE70" s="1009"/>
      <c r="EF70" s="1007"/>
      <c r="EG70" s="616">
        <f>+EG69/CY69-1</f>
        <v>0.173828125</v>
      </c>
      <c r="EH70" s="617">
        <f>+EH69/CY69-1</f>
        <v>-0.34244791666666663</v>
      </c>
      <c r="EI70" s="617">
        <f>+EI69/CZ69-1</f>
        <v>-2.058453802639848E-2</v>
      </c>
      <c r="EJ70" s="617">
        <f>+EJ69/CZ69-1</f>
        <v>7.1024512884978019E-2</v>
      </c>
      <c r="EK70" s="617">
        <f>+EK69/DB69-1</f>
        <v>7.4912056283978234E-2</v>
      </c>
      <c r="EL70" s="617">
        <f>+EL69/DB69-1</f>
        <v>0.1212823792772626</v>
      </c>
      <c r="EM70" s="617">
        <f>+EM69/DC69-1</f>
        <v>5.0389105058365802E-2</v>
      </c>
      <c r="EN70" s="617">
        <f>+EN69/DC69-1</f>
        <v>-2.529182879377434E-2</v>
      </c>
      <c r="EO70" s="617">
        <f>+EO69/DG69-1</f>
        <v>6.384939441811488E-2</v>
      </c>
      <c r="EP70" s="617">
        <f>+EP69/DG69-1</f>
        <v>6.0075478321923725E-2</v>
      </c>
      <c r="EQ70" s="617">
        <f>+EQ69/DE69-1</f>
        <v>-5.1031487513572227E-2</v>
      </c>
      <c r="ER70" s="617">
        <f>+ER69/DE69-1</f>
        <v>-1</v>
      </c>
      <c r="ES70" s="617">
        <f>+ES69/DI69-1</f>
        <v>1.4931038846007771E-2</v>
      </c>
      <c r="ET70" s="617">
        <f>+ET69/DI69-1</f>
        <v>-1</v>
      </c>
      <c r="EU70" s="1677">
        <f>+EU69/DK69-1</f>
        <v>4.1428268700995918E-2</v>
      </c>
      <c r="EV70" s="1274"/>
      <c r="EW70" s="617">
        <v>1.2901552423594254E-4</v>
      </c>
      <c r="EX70" s="617">
        <f>+EX69/EG69-1</f>
        <v>-0.11272878535773712</v>
      </c>
      <c r="EY70" s="617">
        <v>0.1132551413642835</v>
      </c>
      <c r="EZ70" s="617">
        <f>+EZ69/EI69-1</f>
        <v>2.5669821915610402E-2</v>
      </c>
      <c r="FA70" s="617">
        <v>-8.1131055319019207E-3</v>
      </c>
      <c r="FB70" s="617">
        <f>+FB69/EK69-1</f>
        <v>-4.8568240981777588E-2</v>
      </c>
      <c r="FC70" s="617">
        <f>+FC69/EM69-1</f>
        <v>-0.1189109094276718</v>
      </c>
      <c r="FD70" s="1812">
        <v>8.310106219676805E-2</v>
      </c>
      <c r="FE70" s="617">
        <f>+FE69/EO69-1</f>
        <v>-7.9899352390380707E-2</v>
      </c>
      <c r="FF70" s="1812">
        <v>9.9956799736296009E-3</v>
      </c>
      <c r="FG70" s="1813">
        <f>+FG69/EQ69-1</f>
        <v>-0.17105263157894735</v>
      </c>
      <c r="FH70" s="617">
        <f>+FH69/EQ69-1</f>
        <v>-0.15808543096872618</v>
      </c>
      <c r="FI70" s="617">
        <f>+FI69/ES69-1</f>
        <v>-0.13595561650666999</v>
      </c>
      <c r="FJ70" s="617">
        <f>+FJ69/ES69-1</f>
        <v>-0.13614262560777957</v>
      </c>
      <c r="FK70" s="1677">
        <f>+FK69/EU69-1</f>
        <v>-9.6110150235697134E-2</v>
      </c>
      <c r="FL70" s="1684">
        <f>+FL69/EU69-1</f>
        <v>-9.6110150235697134E-2</v>
      </c>
      <c r="FM70" s="1679">
        <f>+FM69/EI69-1</f>
        <v>0.13925878389218682</v>
      </c>
      <c r="FN70" s="1670">
        <f>+FN69/EK69-1</f>
        <v>4.0907400520640014E-3</v>
      </c>
      <c r="FO70" s="1266">
        <f>+FO69/EQ69-1</f>
        <v>0.46720061022120518</v>
      </c>
      <c r="FP70" s="1670">
        <f>+FP69/ES69-1</f>
        <v>7.2684203964592964E-2</v>
      </c>
      <c r="FQ70" s="1686">
        <f>+FQ69/EU69-1</f>
        <v>1.7397497202156886E-2</v>
      </c>
      <c r="FR70" s="1686"/>
      <c r="FS70" s="617">
        <v>1.4E-2</v>
      </c>
      <c r="FT70" s="662">
        <f>(FT69-EX69)/EX69</f>
        <v>-5.7297923191709788E-2</v>
      </c>
      <c r="FU70" s="662">
        <f>(FU69-EZ69)/EZ69</f>
        <v>-6.7964961676834038E-2</v>
      </c>
      <c r="FV70" s="617">
        <f>+FV69/EZ69-1</f>
        <v>-0.20428593774440795</v>
      </c>
      <c r="FW70" s="662">
        <f>(FW69-FB69)/FB69</f>
        <v>-2.7243589743589744E-2</v>
      </c>
      <c r="FX70" s="662"/>
      <c r="FY70" s="617">
        <f>+FY69/FB69-1</f>
        <v>-9.5372107567229469E-2</v>
      </c>
      <c r="FZ70" s="617">
        <f>+FZ69/FC69-1</f>
        <v>-0.13548454908555807</v>
      </c>
      <c r="GA70" s="617">
        <f>+GA69/FE69-1</f>
        <v>-0.11248094683044918</v>
      </c>
      <c r="GB70" s="617">
        <f>+GB69/FG69-1</f>
        <v>-0.11088106740280657</v>
      </c>
      <c r="GC70" s="617">
        <f>+GC69/FI69-1</f>
        <v>-0.12776855926700814</v>
      </c>
      <c r="GD70" s="1677">
        <f>+GD69/FK69-1</f>
        <v>-0.1122200127565377</v>
      </c>
      <c r="GE70" s="617">
        <v>-9.9504727600180101E-2</v>
      </c>
      <c r="GF70" s="617">
        <f>(GF69-FC69)/FC69</f>
        <v>-0.10689941894443007</v>
      </c>
      <c r="GG70" s="617">
        <f>(GG69-FG69)/FG69</f>
        <v>-0.11088106740280654</v>
      </c>
      <c r="GH70" s="662">
        <f>(GH69-FI69)/FI69</f>
        <v>-0.12776855926700814</v>
      </c>
      <c r="GI70" s="662">
        <f>(GI69-FK69)/FK69</f>
        <v>-0.11222001275653773</v>
      </c>
      <c r="GJ70" s="1689"/>
      <c r="GK70" s="662">
        <f>(GK69-FS69)/FS69</f>
        <v>-7.7612277934977436E-2</v>
      </c>
      <c r="GL70" s="662">
        <f>(GL69-FS69)/FS69</f>
        <v>-0.10192752505782575</v>
      </c>
      <c r="GM70" s="662">
        <f>(GM69-FV69)/FV69</f>
        <v>0.15311168578666018</v>
      </c>
      <c r="GN70" s="662">
        <f>(GN69-FY69)/FY69</f>
        <v>1.0186583615342229E-2</v>
      </c>
      <c r="GO70" s="662">
        <f>+GO69/FV69-1</f>
        <v>0.14802437586003547</v>
      </c>
      <c r="GP70" s="662">
        <f>+GP69/FY69-1</f>
        <v>7.9502246802627408E-3</v>
      </c>
      <c r="GQ70" s="662">
        <f>(GQ69-FZ69)/FZ69</f>
        <v>0.15708455237949115</v>
      </c>
      <c r="GR70" s="617">
        <f>+GR69/FZ69-1</f>
        <v>0.24291793313069898</v>
      </c>
      <c r="GS70" s="617">
        <f>+GS69/GA69-1</f>
        <v>0.10557155124513806</v>
      </c>
      <c r="GT70" s="617">
        <f>+GT69/GB69-1</f>
        <v>0.67192755498059498</v>
      </c>
      <c r="GU70" s="617">
        <f>+GU69/GC69-1</f>
        <v>0.38006617038875112</v>
      </c>
      <c r="GV70" s="1677">
        <f>+GV69/GD69-1</f>
        <v>0.19808131180796207</v>
      </c>
      <c r="GW70" s="617">
        <v>0.24677739740501248</v>
      </c>
      <c r="GX70" s="662">
        <f>(GX69-GB69)/GB69</f>
        <v>0.67192755498059509</v>
      </c>
      <c r="GY70" s="662">
        <f>(GY69-GC69)/GC69</f>
        <v>0.38006617038875101</v>
      </c>
      <c r="GZ70" s="662">
        <f>(GZ69-GD69)/GD69</f>
        <v>0.19808131180796212</v>
      </c>
      <c r="HA70" s="1690"/>
      <c r="HB70" s="662">
        <f>(HB69-GL69)/GL69</f>
        <v>0.47041664892532126</v>
      </c>
      <c r="HC70" s="662"/>
      <c r="HD70" s="662">
        <f>(HD69-GL69)/GL69</f>
        <v>0.78210851648351654</v>
      </c>
      <c r="HE70" s="662"/>
      <c r="HF70" s="662">
        <f>+HF69/GO69-1</f>
        <v>0.3279109589041096</v>
      </c>
      <c r="HG70" s="662"/>
      <c r="HH70" s="662"/>
      <c r="HI70" s="662">
        <f>+HI69/GP69-1</f>
        <v>0.55469821673525388</v>
      </c>
      <c r="HJ70" s="662">
        <f>(HI69-GO69)/GO69</f>
        <v>2.1051369863013698</v>
      </c>
      <c r="HK70" s="662">
        <f>(HK69-GP69)/GP69</f>
        <v>1.4445301783264746</v>
      </c>
      <c r="HL70" s="662"/>
      <c r="HM70" s="662"/>
      <c r="HN70" s="617">
        <f>+HN69/GR69-1</f>
        <v>6.8668688251980914E-2</v>
      </c>
      <c r="HO70" s="617">
        <f>+HO69/GS69-1</f>
        <v>-0.50084525060538221</v>
      </c>
      <c r="HP70" s="617">
        <f>+HP69/GS69-1</f>
        <v>0.32768309955681452</v>
      </c>
      <c r="HQ70" s="617">
        <f>+HQ69/GS69-1</f>
        <v>0.32768309955681452</v>
      </c>
      <c r="HR70" s="617">
        <f>+HR69/GT69-1</f>
        <v>0.14531104921077076</v>
      </c>
      <c r="HS70" s="617"/>
      <c r="HT70" s="617">
        <f>+HT69/GU69-1</f>
        <v>9.8351813005693733E-2</v>
      </c>
      <c r="HU70" s="617"/>
      <c r="HV70" s="617">
        <f>+HV69/GV69-1</f>
        <v>0.28611238491657565</v>
      </c>
      <c r="HW70" s="662">
        <f>(HW69-GR69)/GR69</f>
        <v>7.4431605881570745E-2</v>
      </c>
      <c r="HX70" s="662">
        <f>(HX69-GT69)/GT69</f>
        <v>0.14531104921077065</v>
      </c>
      <c r="HY70" s="662">
        <f>(HY69-GU69)/GU69</f>
        <v>9.8351813005693733E-2</v>
      </c>
      <c r="HZ70" s="617">
        <f>+HZ69/GV69-1</f>
        <v>0.28611238491657565</v>
      </c>
      <c r="IA70" s="662">
        <v>0.29462395936221253</v>
      </c>
      <c r="IB70" s="662">
        <f>(IB69-GV69)/GV69</f>
        <v>0.28611238491657554</v>
      </c>
      <c r="IC70" s="1690"/>
      <c r="ID70" s="662">
        <f>(ID69-HD69)/HD69</f>
        <v>-0.26678870796801235</v>
      </c>
      <c r="IE70" s="1288">
        <f>(IE69-HE69)/HE69</f>
        <v>-0.1907698236824357</v>
      </c>
      <c r="IF70" s="662">
        <f>IF69/HH69-1</f>
        <v>-0.17511283043197934</v>
      </c>
      <c r="IG70" s="662">
        <f>IG69/HM69-1</f>
        <v>-0.18407411492224546</v>
      </c>
      <c r="IH70" s="662">
        <f>+IH69/HO69-1</f>
        <v>-8.2288329519450754E-2</v>
      </c>
      <c r="II70" s="662">
        <f>II69/HO69-1</f>
        <v>-9.1990846681922145E-2</v>
      </c>
      <c r="IJ70" s="662">
        <f>+IJ69/HQ69-1</f>
        <v>-0.14580680684125402</v>
      </c>
      <c r="IK70" s="662"/>
      <c r="IL70" s="662">
        <f>IL69/HR69-1</f>
        <v>-0.33576543710309414</v>
      </c>
      <c r="IM70" s="662">
        <f>+IM69/HS69-1</f>
        <v>-0.33576543710309414</v>
      </c>
      <c r="IN70" s="662">
        <f>IN69/HU69-1</f>
        <v>-0.18465568045399983</v>
      </c>
      <c r="IO70" s="662">
        <f>+IO69/HU69-1</f>
        <v>-0.18465568045399983</v>
      </c>
      <c r="IP70" s="1274">
        <f>(IP69-HZ69)/HZ69</f>
        <v>-0.1843664289632474</v>
      </c>
      <c r="IQ70" s="662">
        <v>-0.15523861766319255</v>
      </c>
      <c r="IR70" s="1274">
        <f>+IR69/HZ69-1</f>
        <v>-0.1843664289632474</v>
      </c>
      <c r="IS70" s="1288"/>
      <c r="IT70" s="662">
        <f>(IT69-IE69)/IE69</f>
        <v>6.7821772730315408E-2</v>
      </c>
      <c r="IU70" s="662">
        <f>(IU69-IE69)/IE69</f>
        <v>0.27717585426836527</v>
      </c>
      <c r="IV70" s="662">
        <f>(IV69-IF69)/IF69</f>
        <v>0.28982335469751447</v>
      </c>
      <c r="IW70" s="662">
        <v>0.15020557804280724</v>
      </c>
      <c r="IX70" s="662">
        <f>(IX69-IG69)/IG69</f>
        <v>0.28264395782643958</v>
      </c>
      <c r="IY70" s="662">
        <v>0.22228068956068112</v>
      </c>
      <c r="IZ70" s="662">
        <f>(IZ69-IH69)/IH69</f>
        <v>0.28735288250548574</v>
      </c>
      <c r="JA70" s="662">
        <f>(JA69-IJ69)/IJ69</f>
        <v>0.28454596728708403</v>
      </c>
      <c r="JB70" s="662">
        <f>(JB69-IM69)/IM69</f>
        <v>0.71786004882017895</v>
      </c>
      <c r="JC70" s="662">
        <f>(JC69-IO69)/IO69</f>
        <v>0.42899210279748362</v>
      </c>
      <c r="JD70" s="662">
        <f>(JD69-IR69)/IR69</f>
        <v>0.35617728159257517</v>
      </c>
      <c r="JE70" s="662">
        <v>0.17427314479091119</v>
      </c>
      <c r="JF70" s="662">
        <f>(JF69-IM69)/IM69</f>
        <v>0.71786004882017895</v>
      </c>
      <c r="JG70" s="662">
        <f>(JG69-IO69)/IO69</f>
        <v>0.42899210279748362</v>
      </c>
      <c r="JH70" s="1274">
        <f>(JH69-IR69)/IR69</f>
        <v>0.35617728159257517</v>
      </c>
      <c r="JI70" s="1288"/>
      <c r="JJ70" s="1671">
        <f>+JJ69/IU69-1</f>
        <v>0.30045679127435454</v>
      </c>
      <c r="JK70" s="1670">
        <f>+JK69/IV69-1</f>
        <v>0.40589019512786328</v>
      </c>
      <c r="JL70" s="1670">
        <f>+JL69/IU69-1</f>
        <v>0.2296075323948914</v>
      </c>
      <c r="JM70" s="1670">
        <f t="shared" ref="JM70" si="113">+JM69/IV69-1</f>
        <v>1.0159980608411101</v>
      </c>
      <c r="JN70" s="1670">
        <f>+JN69/IZ69-1</f>
        <v>0.4090803439993802</v>
      </c>
      <c r="JO70" s="1670">
        <f>+JO69/JB69-1</f>
        <v>-1</v>
      </c>
      <c r="JP70" s="1670">
        <f>+JP69/IX69-1</f>
        <v>0.57150384655917374</v>
      </c>
      <c r="JQ70" s="1670">
        <f>+JQ69/JC69-1</f>
        <v>-1</v>
      </c>
      <c r="JR70" s="1670">
        <f>+JR69/JD69-1</f>
        <v>-1</v>
      </c>
      <c r="JS70" s="1670">
        <f>+JS69/JA69-1</f>
        <v>0.50575505723694536</v>
      </c>
      <c r="JT70" s="1670">
        <f>+JT69/IZ69-1</f>
        <v>0.25125900674052848</v>
      </c>
      <c r="JU70" s="1670">
        <f>+JU69/JB69-1</f>
        <v>0.36044997039668436</v>
      </c>
      <c r="JV70" s="1670">
        <f>+JV69/IX69-1</f>
        <v>0.30624934134260728</v>
      </c>
      <c r="JW70" s="1670">
        <f>+JW69/JC69-1</f>
        <v>0.38984638441363817</v>
      </c>
      <c r="JX70" s="1670">
        <f>+JX69/JD69-1</f>
        <v>0.47532853954872301</v>
      </c>
      <c r="JY70" s="1670">
        <f>+JY69/JA69-1</f>
        <v>0.44186921750039199</v>
      </c>
      <c r="JZ70" s="662"/>
      <c r="KA70" s="1274"/>
      <c r="KB70" s="1670"/>
      <c r="KC70" s="1670">
        <f>+KC69/IX69-1</f>
        <v>0.29096848983032975</v>
      </c>
      <c r="KD70" s="1670">
        <f>+KD69/JC69-1</f>
        <v>0.19426751592356695</v>
      </c>
      <c r="KE70" s="1670">
        <f>+KE69/JC69-1</f>
        <v>3.8591232671412623E-2</v>
      </c>
      <c r="KF70" s="1670">
        <f>+KF69/JB69-1</f>
        <v>-0.52764949674363526</v>
      </c>
      <c r="KG70" s="1670">
        <f>+KG69/JD69-1</f>
        <v>0.28936275725266558</v>
      </c>
      <c r="KH70" s="1670">
        <f>+KH69/JD69-1</f>
        <v>0.2397718819737169</v>
      </c>
      <c r="KI70" s="1274"/>
      <c r="KJ70" s="662"/>
      <c r="KK70" s="662">
        <f>KK69/IM69-1</f>
        <v>0.85414971521562255</v>
      </c>
      <c r="KL70" s="662">
        <f>KL69/IO69-1</f>
        <v>0.47383215098380393</v>
      </c>
      <c r="KM70" s="1670">
        <f>KM69/IR69-1</f>
        <v>0.37870737776582142</v>
      </c>
      <c r="KN70" s="662"/>
      <c r="KO70" s="1670">
        <v>8.1373344147066762E-2</v>
      </c>
      <c r="KP70" s="1670">
        <v>0.37206344956830195</v>
      </c>
      <c r="KQ70" s="1686">
        <v>0.22742711100649027</v>
      </c>
      <c r="KR70" s="1670">
        <v>-6.1224489795918324E-2</v>
      </c>
      <c r="KS70" s="1686">
        <v>-0.12232583653318707</v>
      </c>
      <c r="KT70" s="662">
        <f>+KT69/HG69-1</f>
        <v>-0.14880722114764666</v>
      </c>
      <c r="KU70" s="662">
        <f>+KU69/HL69-1</f>
        <v>-0.1728245285099812</v>
      </c>
      <c r="KV70" s="662" t="e">
        <f>+KV69/#REF!-1</f>
        <v>#REF!</v>
      </c>
      <c r="KW70" s="1686">
        <f>+KW69/HZ69-1</f>
        <v>-8.1184860120680158E-2</v>
      </c>
      <c r="KX70" s="662">
        <f>+KX69/GT69-1</f>
        <v>-0.15800061900340456</v>
      </c>
      <c r="KY70" s="662">
        <f>+KY69/GU69-1</f>
        <v>-1.9118969133952612E-2</v>
      </c>
      <c r="KZ70" s="1686">
        <f>+KZ69/GV69-1</f>
        <v>0.21697414370877288</v>
      </c>
      <c r="LA70" s="662">
        <f>+LA69/GP69-1</f>
        <v>0.20027434842249647</v>
      </c>
      <c r="LB70" s="662">
        <f>+LB69/GU69-1</f>
        <v>-1.1087803416242159E-2</v>
      </c>
      <c r="LC70" s="1686">
        <f>+LC69/GV69-1</f>
        <v>7.5875692264277372E-2</v>
      </c>
      <c r="LD70" s="1686">
        <f>+LD69/LC69-1</f>
        <v>3.2786885245901676E-2</v>
      </c>
      <c r="LE70" s="662">
        <f>+LE69/GB69-1</f>
        <v>0.32289780077619668</v>
      </c>
      <c r="LF70" s="662">
        <f>+LF69/GC69-1</f>
        <v>0.26848635235731999</v>
      </c>
      <c r="LG70" s="1686">
        <f>+LG69/GD69-1</f>
        <v>0.14107007015467832</v>
      </c>
    </row>
    <row r="71" spans="1:323" s="1832" customFormat="1" ht="12">
      <c r="A71" s="1814"/>
      <c r="B71" s="1815" t="s">
        <v>990</v>
      </c>
      <c r="C71" s="1816" t="s">
        <v>953</v>
      </c>
      <c r="D71" s="1817"/>
      <c r="E71" s="1818">
        <f t="shared" ref="E71:J71" si="114">E69/E5</f>
        <v>6.2453449896826656E-2</v>
      </c>
      <c r="F71" s="1818">
        <f t="shared" si="114"/>
        <v>5.5847091324864845E-2</v>
      </c>
      <c r="G71" s="1818">
        <f t="shared" si="114"/>
        <v>6.0898193903334619E-2</v>
      </c>
      <c r="H71" s="1818">
        <f t="shared" si="114"/>
        <v>6.3168167862879446E-2</v>
      </c>
      <c r="I71" s="1818">
        <f t="shared" si="114"/>
        <v>6.8110825378837406E-2</v>
      </c>
      <c r="J71" s="1818">
        <f t="shared" si="114"/>
        <v>6.424904049004905E-2</v>
      </c>
      <c r="K71" s="1819"/>
      <c r="L71" s="1820"/>
      <c r="M71" s="1820"/>
      <c r="N71" s="1820"/>
      <c r="O71" s="1820"/>
      <c r="P71" s="1820"/>
      <c r="Q71" s="1820"/>
      <c r="R71" s="1820"/>
      <c r="S71" s="1821"/>
      <c r="T71" s="1819">
        <f t="shared" ref="T71:AA71" si="115">+T69/T5</f>
        <v>0.10820604738154614</v>
      </c>
      <c r="U71" s="1819">
        <f t="shared" si="115"/>
        <v>9.811428497268114E-2</v>
      </c>
      <c r="V71" s="1819">
        <f t="shared" si="115"/>
        <v>0.11925470069942774</v>
      </c>
      <c r="W71" s="1819">
        <f t="shared" si="115"/>
        <v>6.4558863698443048E-2</v>
      </c>
      <c r="X71" s="1819">
        <f t="shared" si="115"/>
        <v>0.10901341087160339</v>
      </c>
      <c r="Y71" s="1819">
        <f t="shared" si="115"/>
        <v>0.10315816806777241</v>
      </c>
      <c r="Z71" s="1819">
        <f t="shared" si="115"/>
        <v>9.4425017979813008E-2</v>
      </c>
      <c r="AA71" s="1819">
        <f t="shared" si="115"/>
        <v>9.8691241433767687E-2</v>
      </c>
      <c r="AB71" s="1821"/>
      <c r="AC71" s="1819">
        <f t="shared" ref="AC71:AJ71" si="116">+AC69/AC5</f>
        <v>9.410673613289508E-2</v>
      </c>
      <c r="AD71" s="1819">
        <f t="shared" si="116"/>
        <v>7.6026994100173842E-2</v>
      </c>
      <c r="AE71" s="1819">
        <f t="shared" si="116"/>
        <v>9.5409064155385526E-2</v>
      </c>
      <c r="AF71" s="1819">
        <f t="shared" si="116"/>
        <v>7.0414415380696371E-2</v>
      </c>
      <c r="AG71" s="1819">
        <f t="shared" si="116"/>
        <v>8.8875343673808171E-2</v>
      </c>
      <c r="AH71" s="1819">
        <f t="shared" si="116"/>
        <v>8.5083416453741789E-2</v>
      </c>
      <c r="AI71" s="1819">
        <f t="shared" si="116"/>
        <v>8.3723524950325007E-2</v>
      </c>
      <c r="AJ71" s="1819">
        <f t="shared" si="116"/>
        <v>8.4374213415012861E-2</v>
      </c>
      <c r="AK71" s="1817"/>
      <c r="AL71" s="1819">
        <f t="shared" ref="AL71:AS71" si="117">+AL69/AL5</f>
        <v>8.6045228902371762E-2</v>
      </c>
      <c r="AM71" s="1819">
        <f t="shared" si="117"/>
        <v>6.4177673625905415E-2</v>
      </c>
      <c r="AN71" s="1819">
        <f t="shared" si="117"/>
        <v>9.1999070045501341E-2</v>
      </c>
      <c r="AO71" s="1819">
        <f t="shared" si="117"/>
        <v>7.3722052595292034E-2</v>
      </c>
      <c r="AP71" s="1819">
        <f t="shared" si="117"/>
        <v>8.1438414440866858E-2</v>
      </c>
      <c r="AQ71" s="1819">
        <f t="shared" si="117"/>
        <v>7.5055039916486543E-2</v>
      </c>
      <c r="AR71" s="1819">
        <f t="shared" si="117"/>
        <v>8.3345477438196217E-2</v>
      </c>
      <c r="AS71" s="1819">
        <f t="shared" si="117"/>
        <v>7.9485837476790416E-2</v>
      </c>
      <c r="AT71" s="1817"/>
      <c r="AU71" s="1819">
        <f>+AU69/AU5</f>
        <v>8.7059216184644614E-2</v>
      </c>
      <c r="AV71" s="1819">
        <f>+AV69/AV5</f>
        <v>8.2373429531036199E-2</v>
      </c>
      <c r="AW71" s="1819">
        <f>+AW69/AW5</f>
        <v>9.7517143057940028E-2</v>
      </c>
      <c r="AX71" s="1819">
        <v>0.10283451301294183</v>
      </c>
      <c r="AY71" s="1819">
        <f>+AY69/AY5</f>
        <v>7.5098403610633357E-2</v>
      </c>
      <c r="AZ71" s="1819">
        <f>+AZ69/AZ5</f>
        <v>9.1309571485782934E-2</v>
      </c>
      <c r="BA71" s="1819">
        <f>+BA69/BA5</f>
        <v>8.963760304621278E-2</v>
      </c>
      <c r="BB71" s="1822">
        <f>+BB69/BB5</f>
        <v>8.4679482724854857E-2</v>
      </c>
      <c r="BC71" s="1822">
        <f>+BC69/BC5</f>
        <v>8.7088425438690692E-2</v>
      </c>
      <c r="BD71" s="1823">
        <v>8.9687680107424395E-2</v>
      </c>
      <c r="BE71" s="1819">
        <f>+BE69/BE5</f>
        <v>8.5981650204483243E-2</v>
      </c>
      <c r="BF71" s="1817"/>
      <c r="BG71" s="1819">
        <f>+BG69/BG5</f>
        <v>8.963760304621278E-2</v>
      </c>
      <c r="BH71" s="1819">
        <f>+BH69/BH5</f>
        <v>8.4679482724854857E-2</v>
      </c>
      <c r="BI71" s="1819"/>
      <c r="BJ71" s="1817"/>
      <c r="BK71" s="1814">
        <v>7.5471698113207544E-2</v>
      </c>
      <c r="BL71" s="1814">
        <v>8.771929824561403E-2</v>
      </c>
      <c r="BM71" s="1814">
        <v>8.1818181818181818E-2</v>
      </c>
      <c r="BN71" s="1814"/>
      <c r="BO71" s="1817"/>
      <c r="BP71" s="1819">
        <f>+BP69/BP5</f>
        <v>8.8760157512575974E-2</v>
      </c>
      <c r="BQ71" s="1823"/>
      <c r="BR71" s="1819">
        <f>+BR69/BR5</f>
        <v>6.8879743114287004E-2</v>
      </c>
      <c r="BS71" s="1824"/>
      <c r="BT71" s="1822">
        <f>+BT69/BT5</f>
        <v>9.9711440007446708E-2</v>
      </c>
      <c r="BU71" s="1822">
        <f>+BU69/BU5</f>
        <v>8.0477334764248884E-2</v>
      </c>
      <c r="BV71" s="1822">
        <f>+BV69/BV5</f>
        <v>6.7713100767309672E-2</v>
      </c>
      <c r="BW71" s="1824"/>
      <c r="BX71" s="1822">
        <f>+BX69/BX5</f>
        <v>8.6709663776696977E-2</v>
      </c>
      <c r="BY71" s="1822">
        <f>+BY69/BY5</f>
        <v>7.8787363167148766E-2</v>
      </c>
      <c r="BZ71" s="1824"/>
      <c r="CA71" s="1824"/>
      <c r="CB71" s="1822">
        <f>+CB69/CB5</f>
        <v>9.116369603818418E-2</v>
      </c>
      <c r="CC71" s="1822">
        <f>+CC69/CC5</f>
        <v>8.5258854334144887E-2</v>
      </c>
      <c r="CD71" s="1822">
        <f>+CD69/CD5</f>
        <v>8.5250338294993233E-2</v>
      </c>
      <c r="CE71" s="1825">
        <f>+CE69/CE5</f>
        <v>8.2193584091599034E-2</v>
      </c>
      <c r="CF71" s="1817"/>
      <c r="CG71" s="1826">
        <f>+CG69/CG5</f>
        <v>5.5472246439988375E-2</v>
      </c>
      <c r="CH71" s="1825">
        <v>6.7363530778164926E-2</v>
      </c>
      <c r="CI71" s="1827"/>
      <c r="CJ71" s="1827">
        <f>+CJ69/CJ5</f>
        <v>6.2030630326554724E-2</v>
      </c>
      <c r="CK71" s="1827">
        <v>6.4281635249738928E-2</v>
      </c>
      <c r="CL71" s="1827">
        <f>+CL69/CL5</f>
        <v>8.2219101877275047E-2</v>
      </c>
      <c r="CM71" s="1827">
        <v>8.8149982014388492E-2</v>
      </c>
      <c r="CN71" s="1827">
        <v>6.5031237712438295E-2</v>
      </c>
      <c r="CO71" s="1827">
        <f>+CO69/CO5</f>
        <v>5.9019353382610169E-2</v>
      </c>
      <c r="CP71" s="1827">
        <f>+CP69/CP5</f>
        <v>6.7816186219433847E-2</v>
      </c>
      <c r="CQ71" s="1827">
        <v>7.0044405940424534E-2</v>
      </c>
      <c r="CR71" s="1827">
        <f>+CR69/CR5</f>
        <v>5.8910707669507227E-2</v>
      </c>
      <c r="CS71" s="1827">
        <v>6.0079442256272507E-2</v>
      </c>
      <c r="CT71" s="1827">
        <v>7.4481110504654141E-2</v>
      </c>
      <c r="CU71" s="1827">
        <f>+CU69/CU5</f>
        <v>7.1961721533134418E-2</v>
      </c>
      <c r="CV71" s="1827">
        <f>+CV69/CV5</f>
        <v>6.715252472670484E-2</v>
      </c>
      <c r="CW71" s="1828">
        <f>+CW69/CW5</f>
        <v>6.5771562113943541E-2</v>
      </c>
      <c r="CX71" s="704"/>
      <c r="CY71" s="1819">
        <f t="shared" ref="CY71:DK71" si="118">CY69/CY5</f>
        <v>6.6684032300078147E-2</v>
      </c>
      <c r="CZ71" s="1819">
        <f t="shared" si="118"/>
        <v>6.6369789439652924E-2</v>
      </c>
      <c r="DA71" s="1819" t="e">
        <f t="shared" si="118"/>
        <v>#REF!</v>
      </c>
      <c r="DB71" s="1819">
        <f t="shared" si="118"/>
        <v>6.6523776346510799E-2</v>
      </c>
      <c r="DC71" s="1819">
        <f t="shared" si="118"/>
        <v>9.4696795231997935E-2</v>
      </c>
      <c r="DD71" s="1819">
        <f t="shared" si="118"/>
        <v>8.6794700167731137E-2</v>
      </c>
      <c r="DE71" s="1819">
        <f t="shared" si="118"/>
        <v>6.373996493494509E-2</v>
      </c>
      <c r="DF71" s="1819">
        <f t="shared" si="118"/>
        <v>6.1259947234079064E-2</v>
      </c>
      <c r="DG71" s="1819">
        <f t="shared" si="118"/>
        <v>7.6835929597410479E-2</v>
      </c>
      <c r="DH71" s="1819">
        <f t="shared" si="118"/>
        <v>7.4012571713187841E-2</v>
      </c>
      <c r="DI71" s="1819">
        <f t="shared" si="118"/>
        <v>8.0951381028716587E-2</v>
      </c>
      <c r="DJ71" s="1819">
        <f t="shared" si="118"/>
        <v>7.9255812109407908E-2</v>
      </c>
      <c r="DK71" s="1819">
        <f t="shared" si="118"/>
        <v>7.3873657625314393E-2</v>
      </c>
      <c r="DL71" s="1829">
        <v>7.3114417650076965E-2</v>
      </c>
      <c r="DM71" s="1697"/>
      <c r="DN71" s="1819"/>
      <c r="DO71" s="1819"/>
      <c r="DP71" s="1830"/>
      <c r="DQ71" s="1830">
        <f>+DQ69/DQ5</f>
        <v>5.0396441694063043E-2</v>
      </c>
      <c r="DR71" s="1830">
        <f>+DR69/DR5</f>
        <v>7.3083400557607661E-2</v>
      </c>
      <c r="DS71" s="1831">
        <f>+DS69/DS5</f>
        <v>7.0000000000000007E-2</v>
      </c>
      <c r="DT71" s="1697"/>
      <c r="DU71" s="1819"/>
      <c r="DV71" s="1830">
        <f>+DV69/DV5</f>
        <v>6.3646559320676116E-2</v>
      </c>
      <c r="DW71" s="1830">
        <f>+DW69/DW5</f>
        <v>6.5104166666666671E-2</v>
      </c>
      <c r="DX71" s="1830">
        <f>DX69/DX5-1</f>
        <v>-0.92691659944239235</v>
      </c>
      <c r="DY71" s="1830">
        <f>+DY69/DY5</f>
        <v>7.0000000000000007E-2</v>
      </c>
      <c r="DZ71" s="1020"/>
      <c r="EB71" s="1830">
        <f>+EB69/EB5</f>
        <v>9.024303864712914E-2</v>
      </c>
      <c r="EC71" s="1830">
        <f>+EC69/EC5</f>
        <v>8.580529957906087E-2</v>
      </c>
      <c r="ED71" s="1829">
        <f>+ED69/ED5</f>
        <v>7.3107049608355096E-2</v>
      </c>
      <c r="EE71" s="1817"/>
      <c r="EF71" s="1814"/>
      <c r="EG71" s="1833">
        <f>EG69/EG5</f>
        <v>7.9189221833035034E-2</v>
      </c>
      <c r="EH71" s="1819">
        <f>EH69/EH5</f>
        <v>5.975910837161947E-2</v>
      </c>
      <c r="EI71" s="1819">
        <f>EI69/EI5</f>
        <v>6.8465915332059146E-2</v>
      </c>
      <c r="EJ71" s="1819">
        <v>6.9053839292274211E-2</v>
      </c>
      <c r="EK71" s="1819">
        <f t="shared" ref="EK71:EQ71" si="119">EK69/EK5</f>
        <v>7.3828599041244072E-2</v>
      </c>
      <c r="EL71" s="1819">
        <f t="shared" si="119"/>
        <v>7.5814603740973069E-2</v>
      </c>
      <c r="EM71" s="1819">
        <f t="shared" si="119"/>
        <v>9.6068470360056585E-2</v>
      </c>
      <c r="EN71" s="1819">
        <f t="shared" si="119"/>
        <v>8.9708368357910989E-2</v>
      </c>
      <c r="EO71" s="1819">
        <f t="shared" si="119"/>
        <v>8.2316389935825615E-2</v>
      </c>
      <c r="EP71" s="1819">
        <f t="shared" si="119"/>
        <v>8.222084705518351E-2</v>
      </c>
      <c r="EQ71" s="1819">
        <f t="shared" si="119"/>
        <v>5.9477361400961798E-2</v>
      </c>
      <c r="ER71" s="1819"/>
      <c r="ES71" s="1819">
        <f>ES69/ES5</f>
        <v>7.9983247493356335E-2</v>
      </c>
      <c r="ET71" s="1819"/>
      <c r="EU71" s="1829">
        <f>EU69/EU5</f>
        <v>7.7054338111937445E-2</v>
      </c>
      <c r="EV71" s="1834"/>
      <c r="EW71" s="1819">
        <v>7.706259048276394E-2</v>
      </c>
      <c r="EX71" s="1819">
        <f>EX69/EX5</f>
        <v>6.8622719814689703E-2</v>
      </c>
      <c r="EY71" s="1819">
        <v>7.2116464463758551E-2</v>
      </c>
      <c r="EZ71" s="1819">
        <f>EZ69/EZ5</f>
        <v>6.6094598087361081E-2</v>
      </c>
      <c r="FA71" s="1819">
        <v>7.0386412373848059E-2</v>
      </c>
      <c r="FB71" s="1819">
        <f>FB69/FB5</f>
        <v>6.7335530125175028E-2</v>
      </c>
      <c r="FC71" s="1819">
        <f>FC69/FC5</f>
        <v>8.6881877539838365E-2</v>
      </c>
      <c r="FD71" s="1835">
        <v>0.10666678810496857</v>
      </c>
      <c r="FE71" s="1836">
        <f>FE69/FE5</f>
        <v>7.4482684929494225E-2</v>
      </c>
      <c r="FF71" s="1732">
        <v>8.1721932858494883E-2</v>
      </c>
      <c r="FG71" s="1836">
        <f t="shared" ref="FG71:FQ71" si="120">FG69/FG5</f>
        <v>4.8668801361427705E-2</v>
      </c>
      <c r="FH71" s="1836">
        <f t="shared" si="120"/>
        <v>4.9430126066414386E-2</v>
      </c>
      <c r="FI71" s="1836">
        <f t="shared" si="120"/>
        <v>6.9715274389783879E-2</v>
      </c>
      <c r="FJ71" s="1819">
        <f t="shared" si="120"/>
        <v>6.9700185592210154E-2</v>
      </c>
      <c r="FK71" s="1829">
        <f t="shared" si="120"/>
        <v>6.8552483686859719E-2</v>
      </c>
      <c r="FL71" s="1819">
        <f t="shared" si="120"/>
        <v>6.8552483686859719E-2</v>
      </c>
      <c r="FM71" s="1830">
        <f t="shared" si="120"/>
        <v>7.1187256268107582E-2</v>
      </c>
      <c r="FN71" s="1830">
        <f t="shared" si="120"/>
        <v>6.9948186528497408E-2</v>
      </c>
      <c r="FO71" s="1830">
        <f t="shared" si="120"/>
        <v>7.6541220242536387E-2</v>
      </c>
      <c r="FP71" s="1830">
        <f t="shared" si="120"/>
        <v>8.1932713092664713E-2</v>
      </c>
      <c r="FQ71" s="1831">
        <f t="shared" si="120"/>
        <v>7.4999999999999997E-2</v>
      </c>
      <c r="FR71" s="1831"/>
      <c r="FS71" s="1819">
        <f>FS69/FS5</f>
        <v>6.7029116580016326E-2</v>
      </c>
      <c r="FT71" s="1819">
        <f>FT69/FT5</f>
        <v>6.2447127728948747E-2</v>
      </c>
      <c r="FU71" s="1819">
        <f>FU69/FU5</f>
        <v>6.0006026282810709E-2</v>
      </c>
      <c r="FV71" s="1819">
        <f>FV69/FV5</f>
        <v>5.1022045696174599E-2</v>
      </c>
      <c r="FW71" s="1819">
        <f>FW69/FW5</f>
        <v>6.3471908012431286E-2</v>
      </c>
      <c r="FX71" s="1819"/>
      <c r="FY71" s="1819">
        <f t="shared" ref="FY71:GD71" si="121">FY69/FY5</f>
        <v>5.8905274088704052E-2</v>
      </c>
      <c r="FZ71" s="1819">
        <f t="shared" si="121"/>
        <v>7.4997720434029358E-2</v>
      </c>
      <c r="GA71" s="1836">
        <f t="shared" si="121"/>
        <v>6.4670506107062237E-2</v>
      </c>
      <c r="GB71" s="1819">
        <f t="shared" si="121"/>
        <v>4.0708635707740436E-2</v>
      </c>
      <c r="GC71" s="1819">
        <f t="shared" si="121"/>
        <v>5.908715477511204E-2</v>
      </c>
      <c r="GD71" s="1829">
        <f t="shared" si="121"/>
        <v>5.8998065146709751E-2</v>
      </c>
      <c r="GE71" s="1836">
        <v>5.9230009871668314E-2</v>
      </c>
      <c r="GF71" s="1819">
        <v>8.3000000000000004E-2</v>
      </c>
      <c r="GG71" s="1819" t="e">
        <f>GG69/GG5</f>
        <v>#REF!</v>
      </c>
      <c r="GH71" s="1819" t="e">
        <f>GH69/GH5</f>
        <v>#REF!</v>
      </c>
      <c r="GI71" s="1819" t="e">
        <f>GI69/GI5</f>
        <v>#REF!</v>
      </c>
      <c r="GJ71" s="1837"/>
      <c r="GK71" s="1819">
        <f t="shared" ref="GK71:GV71" si="122">GK69/GK5</f>
        <v>6.0000000000000012E-2</v>
      </c>
      <c r="GL71" s="1819">
        <f t="shared" si="122"/>
        <v>5.9575686900304833E-2</v>
      </c>
      <c r="GM71" s="1819">
        <f t="shared" si="122"/>
        <v>5.7999999999999968E-2</v>
      </c>
      <c r="GN71" s="1819">
        <f t="shared" si="122"/>
        <v>5.8774463373612182E-2</v>
      </c>
      <c r="GO71" s="1819">
        <f t="shared" si="122"/>
        <v>5.8059192539791422E-2</v>
      </c>
      <c r="GP71" s="1819">
        <f t="shared" si="122"/>
        <v>5.8806624820388717E-2</v>
      </c>
      <c r="GQ71" s="1819">
        <f t="shared" si="122"/>
        <v>8.3000000000000018E-2</v>
      </c>
      <c r="GR71" s="1819">
        <f t="shared" si="122"/>
        <v>8.8470225783839451E-2</v>
      </c>
      <c r="GS71" s="1836">
        <f t="shared" si="122"/>
        <v>6.9726471656397934E-2</v>
      </c>
      <c r="GT71" s="1819">
        <f t="shared" si="122"/>
        <v>6.3270441483164103E-2</v>
      </c>
      <c r="GU71" s="1819">
        <f t="shared" si="122"/>
        <v>7.6647097195042396E-2</v>
      </c>
      <c r="GV71" s="1829">
        <f t="shared" si="122"/>
        <v>6.8141556758991514E-2</v>
      </c>
      <c r="GW71" s="1836">
        <v>7.0204664445502135E-2</v>
      </c>
      <c r="GX71" s="1819">
        <f>GX69/GX5</f>
        <v>6.3270441483164103E-2</v>
      </c>
      <c r="GY71" s="1819">
        <f>GY69/GY5</f>
        <v>7.6647097195042396E-2</v>
      </c>
      <c r="GZ71" s="1819">
        <f>GZ69/GZ5</f>
        <v>6.8141556758991514E-2</v>
      </c>
      <c r="HA71" s="1838"/>
      <c r="HB71" s="1819">
        <f>HB69/HB5</f>
        <v>8.0000000000000029E-2</v>
      </c>
      <c r="HC71" s="1819"/>
      <c r="HD71" s="1819">
        <f t="shared" ref="HD71:HR71" si="123">HD69/HD5</f>
        <v>9.950720969473846E-2</v>
      </c>
      <c r="HE71" s="1819">
        <f t="shared" si="123"/>
        <v>0.12119619794950839</v>
      </c>
      <c r="HF71" s="1819">
        <f t="shared" si="123"/>
        <v>7.8104542249974818E-2</v>
      </c>
      <c r="HG71" s="1819">
        <f t="shared" si="123"/>
        <v>9.783532727258612E-2</v>
      </c>
      <c r="HH71" s="1819">
        <f t="shared" si="123"/>
        <v>9.555788306327398E-2</v>
      </c>
      <c r="HI71" s="1819">
        <f t="shared" si="123"/>
        <v>8.9069422478069094E-2</v>
      </c>
      <c r="HJ71" s="1819">
        <f t="shared" si="123"/>
        <v>8.9075646762381444E-2</v>
      </c>
      <c r="HK71" s="1819">
        <f t="shared" si="123"/>
        <v>9.2605343327985243E-2</v>
      </c>
      <c r="HL71" s="1819">
        <f t="shared" si="123"/>
        <v>0.10996711370262391</v>
      </c>
      <c r="HM71" s="1819">
        <f t="shared" si="123"/>
        <v>0.10872158903551109</v>
      </c>
      <c r="HN71" s="1819">
        <f t="shared" si="123"/>
        <v>9.8161658999424958E-2</v>
      </c>
      <c r="HO71" s="1819">
        <f t="shared" si="123"/>
        <v>0.12199615865642309</v>
      </c>
      <c r="HP71" s="1836">
        <f t="shared" si="123"/>
        <v>9.2283019467115507E-2</v>
      </c>
      <c r="HQ71" s="1836">
        <f t="shared" si="123"/>
        <v>0.11335894985273752</v>
      </c>
      <c r="HR71" s="1819">
        <f t="shared" si="123"/>
        <v>7.2119741573362178E-2</v>
      </c>
      <c r="HS71" s="1819"/>
      <c r="HT71" s="1819">
        <f t="shared" ref="HT71:HZ71" si="124">HT69/HT5</f>
        <v>8.5668740679796365E-2</v>
      </c>
      <c r="HU71" s="1819">
        <f t="shared" si="124"/>
        <v>0.10529279279279279</v>
      </c>
      <c r="HV71" s="1819">
        <f t="shared" si="124"/>
        <v>8.7327040485160864E-2</v>
      </c>
      <c r="HW71" s="1819">
        <f t="shared" si="124"/>
        <v>9.4373617378913477E-2</v>
      </c>
      <c r="HX71" s="1819">
        <f t="shared" si="124"/>
        <v>7.2119741573362178E-2</v>
      </c>
      <c r="HY71" s="1819">
        <f t="shared" si="124"/>
        <v>8.5668740679796365E-2</v>
      </c>
      <c r="HZ71" s="1819">
        <f t="shared" si="124"/>
        <v>0.10697069894760314</v>
      </c>
      <c r="IA71" s="1819">
        <v>8.6373264297481767E-2</v>
      </c>
      <c r="IB71" s="1819">
        <f>IB69/IB5</f>
        <v>8.7327040485160864E-2</v>
      </c>
      <c r="IC71" s="1838"/>
      <c r="ID71" s="1819">
        <f t="shared" ref="ID71:IK71" si="125">ID69/ID5</f>
        <v>8.9178015599788926E-2</v>
      </c>
      <c r="IE71" s="1833">
        <f t="shared" si="125"/>
        <v>0.10041846006695361</v>
      </c>
      <c r="IF71" s="1819">
        <f t="shared" si="125"/>
        <v>7.3648944253839596E-2</v>
      </c>
      <c r="IG71" s="1819">
        <f t="shared" si="125"/>
        <v>8.678107661086934E-2</v>
      </c>
      <c r="IH71" s="1819">
        <f t="shared" si="125"/>
        <v>0.10272646236129468</v>
      </c>
      <c r="II71" s="1819">
        <f t="shared" si="125"/>
        <v>9.7926949654491613E-2</v>
      </c>
      <c r="IJ71" s="1819">
        <f t="shared" si="125"/>
        <v>9.2585892419534715E-2</v>
      </c>
      <c r="IK71" s="1830">
        <f t="shared" si="125"/>
        <v>9.2585892419534715E-2</v>
      </c>
      <c r="IL71" s="1819"/>
      <c r="IM71" s="1830">
        <f>IM69/IM5</f>
        <v>5.2634960063384653E-2</v>
      </c>
      <c r="IN71" s="1830">
        <f>IN69/IN5</f>
        <v>7.8231595260658551E-2</v>
      </c>
      <c r="IO71" s="1830">
        <f>IO69/IO5</f>
        <v>7.8231595260658551E-2</v>
      </c>
      <c r="IP71" s="1829">
        <f>IP69/IP5</f>
        <v>8.2263931727963036E-2</v>
      </c>
      <c r="IQ71" s="1819">
        <v>8.5626911314984705E-2</v>
      </c>
      <c r="IR71" s="1831">
        <f>IR69/IR5</f>
        <v>8.2263931727963036E-2</v>
      </c>
      <c r="IS71" s="1288"/>
      <c r="IT71" s="1830">
        <f>IT69/IT5</f>
        <v>9.1428906874538543E-2</v>
      </c>
      <c r="IU71" s="1830">
        <f>IU69/IU5</f>
        <v>0.10401737663269561</v>
      </c>
      <c r="IV71" s="1830">
        <f>IV69/IV5</f>
        <v>7.5136823509056302E-2</v>
      </c>
      <c r="IW71" s="1830">
        <v>7.0439007994544903E-2</v>
      </c>
      <c r="IX71" s="1830">
        <f>IX69/IX5</f>
        <v>8.9123696816004502E-2</v>
      </c>
      <c r="IY71" s="1830">
        <v>8.712060314936762E-2</v>
      </c>
      <c r="IZ71" s="1830">
        <f>IZ69/IZ5</f>
        <v>0.11485855143139366</v>
      </c>
      <c r="JA71" s="1830">
        <f>JA69/JA5</f>
        <v>9.8013297962270179E-2</v>
      </c>
      <c r="JB71" s="1830">
        <f>JB69/JB5</f>
        <v>7.644401799534728E-2</v>
      </c>
      <c r="JC71" s="1830">
        <f>JC69/JC5</f>
        <v>9.5815047162614547E-2</v>
      </c>
      <c r="JD71" s="1830">
        <f>JD69/JD5</f>
        <v>9.2545423671251487E-2</v>
      </c>
      <c r="JE71" s="1830">
        <v>9.1250866400563499E-2</v>
      </c>
      <c r="JF71" s="1830">
        <f>JF69/JF5</f>
        <v>7.644401799534728E-2</v>
      </c>
      <c r="JG71" s="1830">
        <f>JG69/JG5</f>
        <v>9.5815047162614547E-2</v>
      </c>
      <c r="JH71" s="1831">
        <f>JH69/JH5</f>
        <v>9.2545423671251487E-2</v>
      </c>
      <c r="JI71" s="1288"/>
      <c r="JJ71" s="1839">
        <f t="shared" ref="JJ71:JY71" si="126">JJ69/JJ5</f>
        <v>0.12077922077922078</v>
      </c>
      <c r="JK71" s="1830">
        <f>JK69/JK5</f>
        <v>9.9485420240137221E-2</v>
      </c>
      <c r="JL71" s="1830">
        <f t="shared" si="126"/>
        <v>0.11863537834701972</v>
      </c>
      <c r="JM71" s="1830">
        <f t="shared" si="126"/>
        <v>0.13446071021510156</v>
      </c>
      <c r="JN71" s="1830">
        <f t="shared" si="126"/>
        <v>0.14725242694864341</v>
      </c>
      <c r="JO71" s="1830" t="e">
        <f t="shared" si="126"/>
        <v>#DIV/0!</v>
      </c>
      <c r="JP71" s="1830">
        <f t="shared" si="126"/>
        <v>0.12697007109710928</v>
      </c>
      <c r="JQ71" s="1830" t="e">
        <f t="shared" si="126"/>
        <v>#DIV/0!</v>
      </c>
      <c r="JR71" s="1830" t="e">
        <f t="shared" si="126"/>
        <v>#DIV/0!</v>
      </c>
      <c r="JS71" s="1830">
        <f t="shared" si="126"/>
        <v>0.1339596371641662</v>
      </c>
      <c r="JT71" s="1830">
        <f t="shared" si="126"/>
        <v>0.12706530291109364</v>
      </c>
      <c r="JU71" s="1830">
        <f t="shared" si="126"/>
        <v>9.4094233462461402E-2</v>
      </c>
      <c r="JV71" s="1830">
        <f t="shared" si="126"/>
        <v>0.10883260675824585</v>
      </c>
      <c r="JW71" s="1830">
        <f t="shared" si="126"/>
        <v>0.12082569927934531</v>
      </c>
      <c r="JX71" s="1830">
        <f t="shared" si="126"/>
        <v>0.12382934443288242</v>
      </c>
      <c r="JY71" s="1830">
        <f t="shared" si="126"/>
        <v>0.12700350838420951</v>
      </c>
      <c r="JZ71" s="662"/>
      <c r="KA71" s="1274"/>
      <c r="KB71" s="1830"/>
      <c r="KC71" s="1830">
        <f t="shared" ref="KC71:KH71" si="127">KC69/KC5</f>
        <v>0.1084070796460177</v>
      </c>
      <c r="KD71" s="1830">
        <f t="shared" si="127"/>
        <v>0.10625</v>
      </c>
      <c r="KE71" s="1830">
        <f t="shared" si="127"/>
        <v>9.5954307472632075E-2</v>
      </c>
      <c r="KF71" s="1830">
        <f t="shared" si="127"/>
        <v>3.7072146169645263E-2</v>
      </c>
      <c r="KG71" s="1830">
        <f t="shared" si="127"/>
        <v>0.11158798283261803</v>
      </c>
      <c r="KH71" s="1830">
        <f t="shared" si="127"/>
        <v>0.1072961373390558</v>
      </c>
      <c r="KI71" s="1274"/>
      <c r="KJ71" s="662"/>
      <c r="KK71" s="1830">
        <f>KK69/KK5</f>
        <v>7.7451205315795288E-2</v>
      </c>
      <c r="KL71" s="1830">
        <f>KL69/KL5</f>
        <v>9.5722854907415458E-2</v>
      </c>
      <c r="KM71" s="1830">
        <f>KM69/KM5</f>
        <v>9.2550790067720087E-2</v>
      </c>
      <c r="KN71" s="662"/>
      <c r="KO71" s="1830">
        <v>8.247422680412371E-2</v>
      </c>
      <c r="KP71" s="1830"/>
      <c r="KQ71" s="1831"/>
      <c r="KR71" s="1830"/>
      <c r="KS71" s="1831"/>
      <c r="KT71" s="1830">
        <f t="shared" ref="KT71:LG71" si="128">KT69/KT5</f>
        <v>7.5130890052356014E-2</v>
      </c>
      <c r="KU71" s="1830">
        <f t="shared" si="128"/>
        <v>8.7463556851311949E-2</v>
      </c>
      <c r="KV71" s="1830">
        <f t="shared" si="128"/>
        <v>0.10164835164835165</v>
      </c>
      <c r="KW71" s="1831">
        <f t="shared" si="128"/>
        <v>9.4766619519094764E-2</v>
      </c>
      <c r="KX71" s="1830">
        <f t="shared" si="128"/>
        <v>4.896948969489695E-2</v>
      </c>
      <c r="KY71" s="1830">
        <f t="shared" si="128"/>
        <v>7.3586144258698055E-2</v>
      </c>
      <c r="KZ71" s="1831">
        <f t="shared" si="128"/>
        <v>8.098591549295775E-2</v>
      </c>
      <c r="LA71" s="1830">
        <f t="shared" si="128"/>
        <v>6.7632850241545889E-2</v>
      </c>
      <c r="LB71" s="1830">
        <f t="shared" si="128"/>
        <v>7.5342465753424653E-2</v>
      </c>
      <c r="LC71" s="1831">
        <f t="shared" si="128"/>
        <v>7.1596244131455405E-2</v>
      </c>
      <c r="LD71" s="1831">
        <f t="shared" si="128"/>
        <v>7.0000000000000007E-2</v>
      </c>
      <c r="LE71" s="1830">
        <f t="shared" si="128"/>
        <v>4.8189478049424139E-2</v>
      </c>
      <c r="LF71" s="1830">
        <f t="shared" si="128"/>
        <v>6.9188603911484056E-2</v>
      </c>
      <c r="LG71" s="1831">
        <f t="shared" si="128"/>
        <v>6.4285714285714279E-2</v>
      </c>
    </row>
    <row r="72" spans="1:323" s="498" customFormat="1">
      <c r="A72" s="477"/>
      <c r="B72" s="478" t="s">
        <v>1073</v>
      </c>
      <c r="C72" s="481" t="s">
        <v>952</v>
      </c>
      <c r="D72" s="480"/>
      <c r="E72" s="477"/>
      <c r="F72" s="477"/>
      <c r="G72" s="481"/>
      <c r="H72" s="477"/>
      <c r="I72" s="477"/>
      <c r="J72" s="481"/>
      <c r="K72" s="484"/>
      <c r="L72" s="484"/>
      <c r="M72" s="484"/>
      <c r="N72" s="484"/>
      <c r="O72" s="484"/>
      <c r="P72" s="484"/>
      <c r="Q72" s="484"/>
      <c r="R72" s="484"/>
      <c r="S72" s="485"/>
      <c r="T72" s="484"/>
      <c r="U72" s="484"/>
      <c r="V72" s="484"/>
      <c r="W72" s="484"/>
      <c r="X72" s="484"/>
      <c r="Y72" s="484"/>
      <c r="Z72" s="484"/>
      <c r="AA72" s="484"/>
      <c r="AB72" s="485"/>
      <c r="AC72" s="484"/>
      <c r="AD72" s="484"/>
      <c r="AE72" s="484"/>
      <c r="AF72" s="484"/>
      <c r="AG72" s="484"/>
      <c r="AH72" s="484"/>
      <c r="AI72" s="484"/>
      <c r="AJ72" s="484"/>
      <c r="AK72" s="480"/>
      <c r="AL72" s="484"/>
      <c r="AM72" s="484"/>
      <c r="AN72" s="484"/>
      <c r="AO72" s="484"/>
      <c r="AP72" s="484"/>
      <c r="AQ72" s="484"/>
      <c r="AR72" s="484"/>
      <c r="AS72" s="484"/>
      <c r="AT72" s="480"/>
      <c r="AU72" s="484"/>
      <c r="AV72" s="484"/>
      <c r="AW72" s="484"/>
      <c r="AX72" s="484"/>
      <c r="AY72" s="484"/>
      <c r="AZ72" s="486"/>
      <c r="BA72" s="484"/>
      <c r="BB72" s="507"/>
      <c r="BC72" s="507"/>
      <c r="BD72" s="508"/>
      <c r="BE72" s="484"/>
      <c r="BF72" s="480"/>
      <c r="BG72" s="484"/>
      <c r="BH72" s="484"/>
      <c r="BI72" s="484"/>
      <c r="BJ72" s="480"/>
      <c r="BK72" s="477"/>
      <c r="BL72" s="477"/>
      <c r="BM72" s="477"/>
      <c r="BN72" s="477"/>
      <c r="BO72" s="480"/>
      <c r="BP72" s="484"/>
      <c r="BQ72" s="508"/>
      <c r="BR72" s="484"/>
      <c r="BS72" s="555"/>
      <c r="BT72" s="613"/>
      <c r="BU72" s="613"/>
      <c r="BV72" s="484"/>
      <c r="BW72" s="508"/>
      <c r="BX72" s="484"/>
      <c r="BY72" s="484"/>
      <c r="BZ72" s="508"/>
      <c r="CA72" s="508"/>
      <c r="CB72" s="484"/>
      <c r="CC72" s="484"/>
      <c r="CD72" s="484"/>
      <c r="CE72" s="484"/>
      <c r="CF72" s="480"/>
      <c r="CG72" s="509"/>
      <c r="CH72" s="477"/>
      <c r="CI72" s="477"/>
      <c r="CJ72" s="477"/>
      <c r="CK72" s="477"/>
      <c r="CL72" s="477"/>
      <c r="CM72" s="477"/>
      <c r="CN72" s="477"/>
      <c r="CO72" s="477"/>
      <c r="CP72" s="477"/>
      <c r="CQ72" s="477"/>
      <c r="CR72" s="477"/>
      <c r="CS72" s="477"/>
      <c r="CT72" s="477"/>
      <c r="CU72" s="477"/>
      <c r="CV72" s="477"/>
      <c r="CW72" s="481"/>
      <c r="CX72" s="510"/>
      <c r="CY72" s="559"/>
      <c r="CZ72" s="559"/>
      <c r="DA72" s="510"/>
      <c r="DB72" s="559"/>
      <c r="DC72" s="510"/>
      <c r="DD72" s="510"/>
      <c r="DE72" s="510">
        <f t="shared" si="42"/>
        <v>0</v>
      </c>
      <c r="DF72" s="510"/>
      <c r="DG72" s="510"/>
      <c r="DH72" s="510"/>
      <c r="DI72" s="510">
        <f t="shared" si="3"/>
        <v>0</v>
      </c>
      <c r="DJ72" s="510"/>
      <c r="DK72" s="510"/>
      <c r="DL72" s="511"/>
      <c r="DM72" s="512"/>
      <c r="DN72" s="484"/>
      <c r="DO72" s="484"/>
      <c r="DP72" s="513"/>
      <c r="DQ72" s="513"/>
      <c r="DR72" s="513">
        <f>+DS72-DB72</f>
        <v>0</v>
      </c>
      <c r="DS72" s="514"/>
      <c r="DT72" s="512"/>
      <c r="DU72" s="484"/>
      <c r="DV72" s="484"/>
      <c r="DX72" s="513"/>
      <c r="DY72" s="513"/>
      <c r="DZ72" s="497"/>
      <c r="EC72" s="513"/>
      <c r="ED72" s="511"/>
      <c r="EE72" s="480"/>
      <c r="EF72" s="477"/>
      <c r="EG72" s="509"/>
      <c r="EH72" s="477"/>
      <c r="EI72" s="477"/>
      <c r="EJ72" s="477"/>
      <c r="EK72" s="477"/>
      <c r="EL72" s="477"/>
      <c r="EM72" s="477"/>
      <c r="EN72" s="477"/>
      <c r="EO72" s="477"/>
      <c r="EQ72" s="477"/>
      <c r="ES72" s="477"/>
      <c r="EU72" s="481"/>
      <c r="EV72" s="517"/>
      <c r="EW72" s="477"/>
      <c r="EX72" s="477"/>
      <c r="EY72" s="477"/>
      <c r="EZ72" s="477"/>
      <c r="FA72" s="477"/>
      <c r="FB72" s="477"/>
      <c r="FC72" s="477"/>
      <c r="FD72" s="482"/>
      <c r="FE72" s="477"/>
      <c r="FF72" s="482"/>
      <c r="FG72" s="482"/>
      <c r="FH72" s="477"/>
      <c r="FI72" s="477"/>
      <c r="FJ72" s="477"/>
      <c r="FK72" s="481"/>
      <c r="FL72" s="511"/>
      <c r="FM72" s="484"/>
      <c r="FN72" s="513"/>
      <c r="FO72" s="513"/>
      <c r="FP72" s="513">
        <f>+FQ72-FB72</f>
        <v>0</v>
      </c>
      <c r="FQ72" s="514"/>
      <c r="FR72" s="514"/>
      <c r="FS72" s="477"/>
      <c r="FT72" s="513"/>
      <c r="FU72" s="513"/>
      <c r="FV72" s="477"/>
      <c r="FW72" s="513"/>
      <c r="FX72" s="513"/>
      <c r="FY72" s="477"/>
      <c r="FZ72" s="477"/>
      <c r="GA72" s="477"/>
      <c r="GB72" s="477"/>
      <c r="GC72" s="477"/>
      <c r="GD72" s="481"/>
      <c r="GE72" s="477"/>
      <c r="GF72" s="477"/>
      <c r="GG72" s="477"/>
      <c r="GH72" s="513"/>
      <c r="GI72" s="513"/>
      <c r="GJ72" s="518"/>
      <c r="GK72" s="513"/>
      <c r="GL72" s="513"/>
      <c r="GM72" s="513"/>
      <c r="GN72" s="513"/>
      <c r="GO72" s="513"/>
      <c r="GP72" s="513"/>
      <c r="GQ72" s="513"/>
      <c r="GR72" s="477"/>
      <c r="GS72" s="477"/>
      <c r="GT72" s="477"/>
      <c r="GU72" s="477"/>
      <c r="GV72" s="481"/>
      <c r="GW72" s="477"/>
      <c r="GX72" s="513"/>
      <c r="GY72" s="513"/>
      <c r="GZ72" s="513"/>
      <c r="HA72" s="518"/>
      <c r="HB72" s="513"/>
      <c r="HC72" s="513"/>
      <c r="HD72" s="513"/>
      <c r="HE72" s="513"/>
      <c r="HF72" s="513"/>
      <c r="HG72" s="513"/>
      <c r="HH72" s="513"/>
      <c r="HI72" s="513"/>
      <c r="HJ72" s="513"/>
      <c r="HK72" s="513"/>
      <c r="HL72" s="513"/>
      <c r="HM72" s="513"/>
      <c r="HN72" s="477"/>
      <c r="HO72" s="477"/>
      <c r="HP72" s="477"/>
      <c r="HQ72" s="477"/>
      <c r="HR72" s="477"/>
      <c r="HS72" s="477"/>
      <c r="HT72" s="477"/>
      <c r="HU72" s="477"/>
      <c r="HV72" s="477"/>
      <c r="HW72" s="513"/>
      <c r="HX72" s="513"/>
      <c r="HY72" s="513"/>
      <c r="HZ72" s="477"/>
      <c r="IA72" s="513"/>
      <c r="IB72" s="513"/>
      <c r="IC72" s="518"/>
      <c r="ID72" s="513"/>
      <c r="IE72" s="519"/>
      <c r="IF72" s="513"/>
      <c r="IG72" s="513"/>
      <c r="IH72" s="513"/>
      <c r="II72" s="513"/>
      <c r="IJ72" s="513"/>
      <c r="IK72" s="513"/>
      <c r="IL72" s="513"/>
      <c r="IM72" s="513"/>
      <c r="IN72" s="513"/>
      <c r="IO72" s="513"/>
      <c r="IP72" s="514"/>
      <c r="IQ72" s="513"/>
      <c r="IR72" s="514"/>
      <c r="IS72" s="784"/>
      <c r="IT72" s="513"/>
      <c r="IU72" s="513"/>
      <c r="IV72" s="513"/>
      <c r="IW72" s="513"/>
      <c r="IX72" s="513"/>
      <c r="IY72" s="513"/>
      <c r="IZ72" s="513"/>
      <c r="JA72" s="513"/>
      <c r="JB72" s="513"/>
      <c r="JC72" s="513"/>
      <c r="JD72" s="513"/>
      <c r="JE72" s="513"/>
      <c r="JF72" s="513"/>
      <c r="JG72" s="513"/>
      <c r="JH72" s="514"/>
      <c r="JI72" s="784"/>
      <c r="JJ72" s="519"/>
      <c r="JK72" s="513"/>
      <c r="JL72" s="513"/>
      <c r="JM72" s="513">
        <f>+JM74-IV74</f>
        <v>7461</v>
      </c>
      <c r="JN72" s="513"/>
      <c r="JO72" s="513"/>
      <c r="JP72" s="513"/>
      <c r="JQ72" s="513"/>
      <c r="JR72" s="513"/>
      <c r="JS72" s="513"/>
      <c r="JT72" s="513"/>
      <c r="JU72" s="513"/>
      <c r="JV72" s="513"/>
      <c r="JW72" s="513"/>
      <c r="JX72" s="513"/>
      <c r="JY72" s="513"/>
      <c r="JZ72" s="713"/>
      <c r="KA72" s="517"/>
      <c r="KB72" s="513"/>
      <c r="KC72" s="513"/>
      <c r="KD72" s="513"/>
      <c r="KE72" s="513"/>
      <c r="KF72" s="513"/>
      <c r="KG72" s="513"/>
      <c r="KH72" s="513"/>
      <c r="KI72" s="517"/>
      <c r="KJ72" s="713"/>
      <c r="KK72" s="513"/>
      <c r="KL72" s="513"/>
      <c r="KM72" s="513"/>
      <c r="KN72" s="713"/>
      <c r="KO72" s="513"/>
      <c r="KP72" s="513"/>
      <c r="KQ72" s="514"/>
      <c r="KR72" s="513"/>
      <c r="KS72" s="514"/>
      <c r="KT72" s="513"/>
      <c r="KU72" s="513"/>
      <c r="KV72" s="513"/>
      <c r="KW72" s="514"/>
      <c r="KX72" s="513"/>
      <c r="KY72" s="513"/>
      <c r="KZ72" s="514"/>
      <c r="LA72" s="513"/>
      <c r="LB72" s="513"/>
      <c r="LC72" s="514"/>
      <c r="LD72" s="514"/>
      <c r="LE72" s="513"/>
      <c r="LF72" s="513"/>
      <c r="LG72" s="514"/>
    </row>
    <row r="73" spans="1:323" s="532" customFormat="1">
      <c r="A73" s="520"/>
      <c r="B73" s="521" t="s">
        <v>1033</v>
      </c>
      <c r="C73" s="522" t="s">
        <v>433</v>
      </c>
      <c r="D73" s="977"/>
      <c r="E73" s="978"/>
      <c r="F73" s="978"/>
      <c r="G73" s="979"/>
      <c r="H73" s="978"/>
      <c r="I73" s="978"/>
      <c r="J73" s="979"/>
      <c r="K73" s="524"/>
      <c r="L73" s="524"/>
      <c r="M73" s="524"/>
      <c r="N73" s="524"/>
      <c r="O73" s="524"/>
      <c r="P73" s="524"/>
      <c r="Q73" s="524"/>
      <c r="R73" s="524"/>
      <c r="S73" s="980"/>
      <c r="T73" s="524">
        <v>180</v>
      </c>
      <c r="U73" s="524">
        <f>+Y73-T73</f>
        <v>82</v>
      </c>
      <c r="V73" s="524">
        <f>+X73-Y73</f>
        <v>142</v>
      </c>
      <c r="W73" s="524">
        <f>+Z73-V73</f>
        <v>-14</v>
      </c>
      <c r="X73" s="524">
        <v>404</v>
      </c>
      <c r="Y73" s="524">
        <v>262</v>
      </c>
      <c r="Z73" s="524">
        <f>+AA73-Y73</f>
        <v>128</v>
      </c>
      <c r="AA73" s="524">
        <v>390</v>
      </c>
      <c r="AB73" s="980"/>
      <c r="AC73" s="524">
        <v>182</v>
      </c>
      <c r="AD73" s="524">
        <f>+AH73-AC73</f>
        <v>116</v>
      </c>
      <c r="AE73" s="524">
        <f>+AG73-AH73</f>
        <v>248</v>
      </c>
      <c r="AF73" s="524">
        <f>+AI73-AE73</f>
        <v>161</v>
      </c>
      <c r="AG73" s="524">
        <v>546</v>
      </c>
      <c r="AH73" s="524">
        <v>298</v>
      </c>
      <c r="AI73" s="524">
        <f>+AJ73-AH73</f>
        <v>409</v>
      </c>
      <c r="AJ73" s="524">
        <v>707</v>
      </c>
      <c r="AK73" s="977"/>
      <c r="AL73" s="524">
        <v>230</v>
      </c>
      <c r="AM73" s="524">
        <f>+AQ73-AL73</f>
        <v>266</v>
      </c>
      <c r="AN73" s="524">
        <f>+AP73-AQ73</f>
        <v>327</v>
      </c>
      <c r="AO73" s="524">
        <f>+AR73-AN73</f>
        <v>41</v>
      </c>
      <c r="AP73" s="524">
        <v>823</v>
      </c>
      <c r="AQ73" s="524">
        <v>496</v>
      </c>
      <c r="AR73" s="524">
        <f>+AS73-AQ73</f>
        <v>368</v>
      </c>
      <c r="AS73" s="524">
        <v>864</v>
      </c>
      <c r="AT73" s="977"/>
      <c r="AU73" s="524">
        <v>81</v>
      </c>
      <c r="AV73" s="524">
        <f>+BB73-AU73</f>
        <v>80</v>
      </c>
      <c r="AW73" s="524">
        <f>+BA73-BB73</f>
        <v>48</v>
      </c>
      <c r="AX73" s="524">
        <v>239</v>
      </c>
      <c r="AY73" s="524">
        <f>+BC73-AW73</f>
        <v>-160</v>
      </c>
      <c r="AZ73" s="524">
        <v>400</v>
      </c>
      <c r="BA73" s="524">
        <v>209</v>
      </c>
      <c r="BB73" s="526">
        <v>161</v>
      </c>
      <c r="BC73" s="526">
        <f>+BE73-BB73</f>
        <v>-112</v>
      </c>
      <c r="BD73" s="524">
        <v>400</v>
      </c>
      <c r="BE73" s="524">
        <v>49</v>
      </c>
      <c r="BF73" s="977"/>
      <c r="BG73" s="524">
        <f>+BH73-AW73</f>
        <v>-209</v>
      </c>
      <c r="BH73" s="524">
        <f>+BI73-BB73</f>
        <v>-161</v>
      </c>
      <c r="BI73" s="524"/>
      <c r="BJ73" s="977"/>
      <c r="BK73" s="520">
        <v>400</v>
      </c>
      <c r="BL73" s="520">
        <v>450</v>
      </c>
      <c r="BM73" s="520">
        <v>850</v>
      </c>
      <c r="BN73" s="520"/>
      <c r="BO73" s="977"/>
      <c r="BP73" s="524">
        <v>17</v>
      </c>
      <c r="BQ73" s="524">
        <v>50</v>
      </c>
      <c r="BR73" s="524">
        <f>+BY73-BP73</f>
        <v>-25</v>
      </c>
      <c r="BS73" s="524">
        <v>100</v>
      </c>
      <c r="BT73" s="524">
        <f t="shared" ref="BT73:BT74" si="129">+BX73-BY73</f>
        <v>26</v>
      </c>
      <c r="BU73" s="524">
        <v>-18</v>
      </c>
      <c r="BV73" s="524">
        <f>CC73-BT73</f>
        <v>-178</v>
      </c>
      <c r="BW73" s="524">
        <v>92</v>
      </c>
      <c r="BX73" s="524">
        <v>18</v>
      </c>
      <c r="BY73" s="524">
        <v>-8</v>
      </c>
      <c r="BZ73" s="524">
        <v>67</v>
      </c>
      <c r="CA73" s="524">
        <v>67</v>
      </c>
      <c r="CB73" s="524">
        <v>8</v>
      </c>
      <c r="CC73" s="524">
        <f>CE73-BY73</f>
        <v>-152</v>
      </c>
      <c r="CD73" s="524">
        <v>0</v>
      </c>
      <c r="CE73" s="524">
        <v>-160</v>
      </c>
      <c r="CF73" s="977"/>
      <c r="CG73" s="527">
        <v>-25</v>
      </c>
      <c r="CH73" s="520">
        <v>0</v>
      </c>
      <c r="CI73" s="520"/>
      <c r="CJ73" s="520">
        <f>CR73-CG73</f>
        <v>-56</v>
      </c>
      <c r="CK73" s="520">
        <v>125</v>
      </c>
      <c r="CL73" s="528">
        <f>CP73-CR73</f>
        <v>-168</v>
      </c>
      <c r="CM73" s="520">
        <v>-100</v>
      </c>
      <c r="CN73" s="520">
        <v>-151</v>
      </c>
      <c r="CO73" s="520">
        <f>CW73-CP73</f>
        <v>-520</v>
      </c>
      <c r="CP73" s="520">
        <v>-249</v>
      </c>
      <c r="CQ73" s="520">
        <v>-181</v>
      </c>
      <c r="CR73" s="520">
        <v>-81</v>
      </c>
      <c r="CS73" s="520">
        <v>100</v>
      </c>
      <c r="CT73" s="520">
        <v>-319</v>
      </c>
      <c r="CU73" s="520">
        <f t="shared" ref="CU73:CU74" si="130">CW73-CR73</f>
        <v>-688</v>
      </c>
      <c r="CV73" s="520">
        <v>-400</v>
      </c>
      <c r="CW73" s="522">
        <v>-769</v>
      </c>
      <c r="CX73" s="520"/>
      <c r="CY73" s="520">
        <v>-23</v>
      </c>
      <c r="CZ73" s="520">
        <f>+DB73-CY73</f>
        <v>-209</v>
      </c>
      <c r="DA73" s="542" t="e">
        <f>+CY73+#REF!</f>
        <v>#REF!</v>
      </c>
      <c r="DB73" s="542">
        <v>-232</v>
      </c>
      <c r="DC73" s="542">
        <f>+DG73-DB73</f>
        <v>104</v>
      </c>
      <c r="DD73" s="542">
        <v>0</v>
      </c>
      <c r="DE73" s="542">
        <f t="shared" si="42"/>
        <v>-43</v>
      </c>
      <c r="DF73" s="542">
        <f>DJ73-DC73</f>
        <v>-72</v>
      </c>
      <c r="DG73" s="542">
        <v>-128</v>
      </c>
      <c r="DH73" s="542">
        <f>DD73+DB73</f>
        <v>-232</v>
      </c>
      <c r="DI73" s="542">
        <f t="shared" si="3"/>
        <v>61</v>
      </c>
      <c r="DJ73" s="520">
        <f>DL73-DB73</f>
        <v>32</v>
      </c>
      <c r="DK73" s="520">
        <v>-171</v>
      </c>
      <c r="DL73" s="529">
        <v>-200</v>
      </c>
      <c r="DM73" s="529"/>
      <c r="DN73" s="524"/>
      <c r="DO73" s="524"/>
      <c r="DP73" s="981"/>
      <c r="DQ73" s="981">
        <f t="shared" ref="DQ73:DQ74" si="131">+DR73-DC73</f>
        <v>-72</v>
      </c>
      <c r="DR73" s="981">
        <f>+DS73-DB73</f>
        <v>32</v>
      </c>
      <c r="DS73" s="982">
        <v>-200</v>
      </c>
      <c r="DT73" s="529"/>
      <c r="DU73" s="524"/>
      <c r="DV73" s="524">
        <f>DW73-CY73</f>
        <v>23</v>
      </c>
      <c r="DW73" s="528">
        <v>0</v>
      </c>
      <c r="DX73" s="981">
        <v>0</v>
      </c>
      <c r="DY73" s="981">
        <v>0</v>
      </c>
      <c r="DZ73" s="977"/>
      <c r="EB73" s="528">
        <f>ED73-CP73</f>
        <v>349</v>
      </c>
      <c r="EC73" s="530">
        <f>ED73-CR73</f>
        <v>181</v>
      </c>
      <c r="ED73" s="529">
        <v>100</v>
      </c>
      <c r="EE73" s="977"/>
      <c r="EF73" s="520"/>
      <c r="EG73" s="527">
        <v>87</v>
      </c>
      <c r="EH73" s="520">
        <v>-10</v>
      </c>
      <c r="EI73" s="520">
        <f t="shared" ref="EI73:EI74" si="132">+EK73-EG73</f>
        <v>-109</v>
      </c>
      <c r="EJ73" s="520">
        <v>0</v>
      </c>
      <c r="EK73" s="520">
        <v>-22</v>
      </c>
      <c r="EL73" s="520">
        <f>+EG73+EJ73</f>
        <v>87</v>
      </c>
      <c r="EM73" s="520">
        <f>+EO73-EK73</f>
        <v>278</v>
      </c>
      <c r="EN73" s="520">
        <v>0</v>
      </c>
      <c r="EO73" s="520">
        <v>256</v>
      </c>
      <c r="EP73" s="520">
        <f>+EN73+EK73</f>
        <v>-22</v>
      </c>
      <c r="EQ73" s="520">
        <f>+EU73-EO73</f>
        <v>-66</v>
      </c>
      <c r="ER73" s="520"/>
      <c r="ES73" s="520">
        <f t="shared" ref="ES73:ES74" si="133">+EU73-EK73</f>
        <v>212</v>
      </c>
      <c r="ET73" s="520"/>
      <c r="EU73" s="522">
        <v>190</v>
      </c>
      <c r="EV73" s="983"/>
      <c r="EW73" s="520">
        <v>150</v>
      </c>
      <c r="EX73" s="520">
        <v>143</v>
      </c>
      <c r="EY73" s="520">
        <v>-43</v>
      </c>
      <c r="EZ73" s="520">
        <f t="shared" ref="EZ73:EZ74" si="134">+FB73-EX73</f>
        <v>155</v>
      </c>
      <c r="FA73" s="520">
        <v>100</v>
      </c>
      <c r="FB73" s="520">
        <v>298</v>
      </c>
      <c r="FC73" s="520">
        <f>+FE73-FB73</f>
        <v>56</v>
      </c>
      <c r="FD73" s="905">
        <v>2</v>
      </c>
      <c r="FE73" s="520">
        <v>354</v>
      </c>
      <c r="FF73" s="984">
        <v>300</v>
      </c>
      <c r="FG73" s="757">
        <f>FK73-FE73</f>
        <v>-66</v>
      </c>
      <c r="FH73" s="520">
        <f>+FL73-FE73</f>
        <v>-66</v>
      </c>
      <c r="FI73" s="520">
        <f>FK73-FB73</f>
        <v>-10</v>
      </c>
      <c r="FJ73" s="520">
        <f>+FL73-FB73</f>
        <v>-10</v>
      </c>
      <c r="FK73" s="522">
        <v>288</v>
      </c>
      <c r="FL73" s="529">
        <f>Segments!N37</f>
        <v>288</v>
      </c>
      <c r="FM73" s="524">
        <f>+FN73-EX73</f>
        <v>-43</v>
      </c>
      <c r="FN73" s="981">
        <v>100</v>
      </c>
      <c r="FO73" s="981">
        <f>+FQ73-FE73</f>
        <v>146</v>
      </c>
      <c r="FP73" s="981">
        <f>+FQ73-FB73</f>
        <v>202</v>
      </c>
      <c r="FQ73" s="982">
        <v>500</v>
      </c>
      <c r="FR73" s="982"/>
      <c r="FS73" s="520">
        <v>97</v>
      </c>
      <c r="FT73" s="981">
        <v>150</v>
      </c>
      <c r="FU73" s="981">
        <v>100</v>
      </c>
      <c r="FV73" s="520">
        <f>+FY73-FS73</f>
        <v>62</v>
      </c>
      <c r="FW73" s="981">
        <f>FU73+FS73</f>
        <v>197</v>
      </c>
      <c r="FX73" s="981"/>
      <c r="FY73" s="520">
        <v>159</v>
      </c>
      <c r="FZ73" s="520">
        <f>+GA73-FY73</f>
        <v>92</v>
      </c>
      <c r="GA73" s="520">
        <v>251</v>
      </c>
      <c r="GB73" s="520">
        <f>+GD73-GA73</f>
        <v>-93</v>
      </c>
      <c r="GC73" s="520">
        <f>+GD73-FY73</f>
        <v>-1</v>
      </c>
      <c r="GD73" s="522">
        <v>158</v>
      </c>
      <c r="GE73" s="520">
        <v>200</v>
      </c>
      <c r="GF73" s="520">
        <v>60</v>
      </c>
      <c r="GG73" s="520">
        <f>GH73-FZ73</f>
        <v>-93</v>
      </c>
      <c r="GH73" s="981">
        <f>GI73-FY73</f>
        <v>-1</v>
      </c>
      <c r="GI73" s="530">
        <f>Segments!O37</f>
        <v>158</v>
      </c>
      <c r="GJ73" s="534"/>
      <c r="GK73" s="981">
        <v>100</v>
      </c>
      <c r="GL73" s="981">
        <v>20</v>
      </c>
      <c r="GM73" s="981">
        <v>100</v>
      </c>
      <c r="GN73" s="981">
        <f>GL73+GM73</f>
        <v>120</v>
      </c>
      <c r="GO73" s="981">
        <f>+GP73-GL73</f>
        <v>-51</v>
      </c>
      <c r="GP73" s="981">
        <v>-31</v>
      </c>
      <c r="GQ73" s="981">
        <v>50</v>
      </c>
      <c r="GR73" s="520">
        <f>+GS73-GP73</f>
        <v>-178</v>
      </c>
      <c r="GS73" s="520">
        <v>-209</v>
      </c>
      <c r="GT73" s="520">
        <f>+GU73-GR73</f>
        <v>-462</v>
      </c>
      <c r="GU73" s="520">
        <f>+GV73-GP73</f>
        <v>-640</v>
      </c>
      <c r="GV73" s="522">
        <v>-671</v>
      </c>
      <c r="GW73" s="520">
        <v>-200</v>
      </c>
      <c r="GX73" s="981">
        <f>GY73-GR73</f>
        <v>-462</v>
      </c>
      <c r="GY73" s="981">
        <f>GZ73-GP73</f>
        <v>-640</v>
      </c>
      <c r="GZ73" s="981">
        <f>Segments!P37</f>
        <v>-671</v>
      </c>
      <c r="HA73" s="985"/>
      <c r="HB73" s="981"/>
      <c r="HC73" s="981"/>
      <c r="HD73" s="981">
        <v>213</v>
      </c>
      <c r="HE73" s="981">
        <v>213</v>
      </c>
      <c r="HF73" s="981">
        <f>+HI73-HD73</f>
        <v>4</v>
      </c>
      <c r="HG73" s="981">
        <f>+HL73-HE73</f>
        <v>4</v>
      </c>
      <c r="HH73" s="981">
        <f t="shared" ref="HH73:HH74" si="135">HM73-HE73</f>
        <v>4</v>
      </c>
      <c r="HI73" s="981">
        <v>217</v>
      </c>
      <c r="HJ73" s="981">
        <v>0</v>
      </c>
      <c r="HK73" s="981">
        <f>HD73+HI73</f>
        <v>430</v>
      </c>
      <c r="HL73" s="981">
        <v>217</v>
      </c>
      <c r="HM73" s="981">
        <v>217</v>
      </c>
      <c r="HN73" s="520">
        <f>+HP73-HI73</f>
        <v>-12</v>
      </c>
      <c r="HO73" s="520">
        <f>+HQ73-HM73</f>
        <v>-12</v>
      </c>
      <c r="HP73" s="520">
        <v>205</v>
      </c>
      <c r="HQ73" s="535">
        <v>205</v>
      </c>
      <c r="HR73" s="520">
        <f>+HT73-HN73</f>
        <v>-190</v>
      </c>
      <c r="HS73" s="520">
        <f>HU73-HO73</f>
        <v>-190</v>
      </c>
      <c r="HT73" s="520">
        <f>+HV73-HI73</f>
        <v>-202</v>
      </c>
      <c r="HU73" s="520">
        <f>HZ73-HM73</f>
        <v>-202</v>
      </c>
      <c r="HV73" s="520">
        <v>15</v>
      </c>
      <c r="HW73" s="981">
        <v>-100</v>
      </c>
      <c r="HX73" s="981">
        <f>HY73-HN73</f>
        <v>-190</v>
      </c>
      <c r="HY73" s="981">
        <f>IB73-HI73</f>
        <v>-202</v>
      </c>
      <c r="HZ73" s="520">
        <v>15</v>
      </c>
      <c r="IA73" s="981">
        <v>200</v>
      </c>
      <c r="IB73" s="981">
        <f>Segments!Q37</f>
        <v>15</v>
      </c>
      <c r="IC73" s="985"/>
      <c r="ID73" s="981">
        <v>100</v>
      </c>
      <c r="IE73" s="986">
        <v>132</v>
      </c>
      <c r="IF73" s="981">
        <f>IG73-IE73</f>
        <v>-32</v>
      </c>
      <c r="IG73" s="987">
        <v>100</v>
      </c>
      <c r="IH73" s="981">
        <f>+IJ73-IG73</f>
        <v>194</v>
      </c>
      <c r="II73" s="988">
        <v>50</v>
      </c>
      <c r="IJ73" s="988">
        <v>294</v>
      </c>
      <c r="IK73" s="981">
        <f>+IP73-IL73</f>
        <v>294</v>
      </c>
      <c r="IL73" s="981">
        <f>IN73-IH73</f>
        <v>-133</v>
      </c>
      <c r="IM73" s="981">
        <f>+IO73-IH73</f>
        <v>-133</v>
      </c>
      <c r="IN73" s="981">
        <f>IP73-IG73</f>
        <v>61</v>
      </c>
      <c r="IO73" s="981">
        <f>+IR73-IG73</f>
        <v>61</v>
      </c>
      <c r="IP73" s="982">
        <f>Segments!S37</f>
        <v>161</v>
      </c>
      <c r="IQ73" s="981">
        <v>200</v>
      </c>
      <c r="IR73" s="989">
        <v>161</v>
      </c>
      <c r="IS73" s="1292"/>
      <c r="IT73" s="990">
        <v>150</v>
      </c>
      <c r="IU73" s="990">
        <v>100</v>
      </c>
      <c r="IV73" s="540">
        <f>IX73-IU73</f>
        <v>146</v>
      </c>
      <c r="IW73" s="990">
        <v>100</v>
      </c>
      <c r="IX73" s="981">
        <v>246</v>
      </c>
      <c r="IY73" s="981">
        <v>200</v>
      </c>
      <c r="IZ73" s="991">
        <f>JA73-IX73</f>
        <v>-97</v>
      </c>
      <c r="JA73" s="981">
        <v>149</v>
      </c>
      <c r="JB73" s="530">
        <f>+JC73-IZ73</f>
        <v>-103</v>
      </c>
      <c r="JC73" s="530">
        <f>+JD73-IX73</f>
        <v>-200</v>
      </c>
      <c r="JD73" s="981">
        <v>46</v>
      </c>
      <c r="JE73" s="981">
        <v>396</v>
      </c>
      <c r="JF73" s="981">
        <f>JG73-IZ73</f>
        <v>-103</v>
      </c>
      <c r="JG73" s="981">
        <f>JH73-IX73</f>
        <v>-200</v>
      </c>
      <c r="JH73" s="982">
        <f>Segments!T37</f>
        <v>46</v>
      </c>
      <c r="JI73" s="1292"/>
      <c r="JJ73" s="1800">
        <v>100</v>
      </c>
      <c r="JK73" s="1801">
        <v>100</v>
      </c>
      <c r="JL73" s="1801">
        <v>133</v>
      </c>
      <c r="JM73" s="1801">
        <f t="shared" ref="JM73:JM74" si="136">+JP73-JL73</f>
        <v>32</v>
      </c>
      <c r="JN73" s="1801">
        <f t="shared" ref="JN73:JN74" si="137">JS73-JP73</f>
        <v>67</v>
      </c>
      <c r="JO73" s="1801"/>
      <c r="JP73" s="1801">
        <v>165</v>
      </c>
      <c r="JQ73" s="1801"/>
      <c r="JR73" s="1801"/>
      <c r="JS73" s="1801">
        <v>232</v>
      </c>
      <c r="JT73" s="1801">
        <v>50</v>
      </c>
      <c r="JU73" s="981">
        <f>+JW73-JN73</f>
        <v>68</v>
      </c>
      <c r="JV73" s="1138">
        <f>+JL73+JK73</f>
        <v>233</v>
      </c>
      <c r="JW73" s="1138">
        <f>+JX73-JP73</f>
        <v>135</v>
      </c>
      <c r="JX73" s="1138">
        <f>+Driver!AL184</f>
        <v>300</v>
      </c>
      <c r="JY73" s="1138">
        <f t="shared" ref="JY73:JY74" si="138">+JP73+JT73</f>
        <v>215</v>
      </c>
      <c r="JZ73" s="899">
        <f>+JX73-KG73</f>
        <v>100</v>
      </c>
      <c r="KA73" s="1277"/>
      <c r="KB73" s="990">
        <f>+KC73-JL73</f>
        <v>-33</v>
      </c>
      <c r="KC73" s="990">
        <v>100</v>
      </c>
      <c r="KD73" s="990">
        <f t="shared" ref="KD73:KD74" si="139">+KH73-KC73</f>
        <v>100</v>
      </c>
      <c r="KE73" s="990">
        <f>+KG73-JP73</f>
        <v>35</v>
      </c>
      <c r="KF73" s="990">
        <f>+KG73-JS73</f>
        <v>-32</v>
      </c>
      <c r="KG73" s="990">
        <v>200</v>
      </c>
      <c r="KH73" s="990">
        <v>200</v>
      </c>
      <c r="KI73" s="1277"/>
      <c r="KJ73" s="1647"/>
      <c r="KK73" s="981">
        <f>KL73-IZ73</f>
        <v>151</v>
      </c>
      <c r="KL73" s="530">
        <f>KM73-IX73</f>
        <v>54</v>
      </c>
      <c r="KM73" s="990">
        <v>300</v>
      </c>
      <c r="KN73" s="1647"/>
      <c r="KO73" s="990">
        <v>200</v>
      </c>
      <c r="KP73" s="981">
        <v>100</v>
      </c>
      <c r="KQ73" s="982">
        <v>300</v>
      </c>
      <c r="KR73" s="981">
        <v>100</v>
      </c>
      <c r="KS73" s="982">
        <v>200</v>
      </c>
      <c r="KT73" s="981">
        <f>+KU73-IE73</f>
        <v>-32</v>
      </c>
      <c r="KU73" s="981">
        <v>100</v>
      </c>
      <c r="KV73" s="981">
        <f>+KW73-KU73</f>
        <v>100</v>
      </c>
      <c r="KW73" s="982">
        <v>200</v>
      </c>
      <c r="KX73" s="981">
        <f>+KY73-HN73</f>
        <v>-5</v>
      </c>
      <c r="KY73" s="981">
        <f>+KZ73-HI73</f>
        <v>-17</v>
      </c>
      <c r="KZ73" s="982">
        <v>200</v>
      </c>
      <c r="LA73" s="981">
        <v>100</v>
      </c>
      <c r="LB73" s="981">
        <f>+LC73-LA73</f>
        <v>100</v>
      </c>
      <c r="LC73" s="982">
        <v>200</v>
      </c>
      <c r="LD73" s="982"/>
      <c r="LE73" s="981">
        <f>+LF73-GR73</f>
        <v>209</v>
      </c>
      <c r="LF73" s="981">
        <f>+LG73-GP73</f>
        <v>31</v>
      </c>
      <c r="LG73" s="982">
        <v>0</v>
      </c>
    </row>
    <row r="74" spans="1:323" s="532" customFormat="1">
      <c r="A74" s="520"/>
      <c r="B74" s="521" t="s">
        <v>1091</v>
      </c>
      <c r="C74" s="522" t="s">
        <v>432</v>
      </c>
      <c r="D74" s="523"/>
      <c r="E74" s="520"/>
      <c r="F74" s="520"/>
      <c r="G74" s="522"/>
      <c r="H74" s="520"/>
      <c r="I74" s="520"/>
      <c r="J74" s="522"/>
      <c r="K74" s="524"/>
      <c r="L74" s="524"/>
      <c r="M74" s="524"/>
      <c r="N74" s="524"/>
      <c r="O74" s="524"/>
      <c r="P74" s="524"/>
      <c r="Q74" s="524"/>
      <c r="R74" s="524"/>
      <c r="S74" s="525"/>
      <c r="T74" s="524">
        <v>2900</v>
      </c>
      <c r="U74" s="524">
        <f>+Y74-T74</f>
        <v>2916</v>
      </c>
      <c r="V74" s="524">
        <f>+X74-Y74</f>
        <v>3405</v>
      </c>
      <c r="W74" s="524">
        <f>+Z74-V74</f>
        <v>2907</v>
      </c>
      <c r="X74" s="524">
        <v>9221</v>
      </c>
      <c r="Y74" s="524">
        <v>5816</v>
      </c>
      <c r="Z74" s="524">
        <f>+AA74-Y74</f>
        <v>6312</v>
      </c>
      <c r="AA74" s="524">
        <v>12128</v>
      </c>
      <c r="AB74" s="525"/>
      <c r="AC74" s="524">
        <v>2101</v>
      </c>
      <c r="AD74" s="524">
        <f>+AH74-AC74</f>
        <v>2138</v>
      </c>
      <c r="AE74" s="524">
        <f>+AG74-AH74</f>
        <v>1616</v>
      </c>
      <c r="AF74" s="524">
        <f>+AI74-AE74</f>
        <v>1592</v>
      </c>
      <c r="AG74" s="524">
        <v>5855</v>
      </c>
      <c r="AH74" s="524">
        <v>4239</v>
      </c>
      <c r="AI74" s="524">
        <f>+AJ74-AH74</f>
        <v>3208</v>
      </c>
      <c r="AJ74" s="524">
        <v>7447</v>
      </c>
      <c r="AK74" s="523"/>
      <c r="AL74" s="524">
        <v>996</v>
      </c>
      <c r="AM74" s="524">
        <f>+AQ74-AL74</f>
        <v>1741</v>
      </c>
      <c r="AN74" s="524">
        <f>+AP74-AQ74</f>
        <v>2358</v>
      </c>
      <c r="AO74" s="524">
        <f>+AR74-AN74</f>
        <v>3191</v>
      </c>
      <c r="AP74" s="524">
        <v>5095</v>
      </c>
      <c r="AQ74" s="524">
        <v>2737</v>
      </c>
      <c r="AR74" s="524">
        <f>+AS74-AQ74</f>
        <v>5549</v>
      </c>
      <c r="AS74" s="524">
        <v>8286</v>
      </c>
      <c r="AT74" s="523"/>
      <c r="AU74" s="524">
        <v>2816</v>
      </c>
      <c r="AV74" s="524">
        <f>+BB74-AU74</f>
        <v>2943</v>
      </c>
      <c r="AW74" s="524">
        <f>+BA74-BB74</f>
        <v>3434</v>
      </c>
      <c r="AX74" s="524">
        <v>3241</v>
      </c>
      <c r="AY74" s="524">
        <f>+BC74-AW74</f>
        <v>3969</v>
      </c>
      <c r="AZ74" s="524">
        <v>9000</v>
      </c>
      <c r="BA74" s="524">
        <v>9193</v>
      </c>
      <c r="BB74" s="526">
        <v>5759</v>
      </c>
      <c r="BC74" s="526">
        <f>+BE74-BB74</f>
        <v>7403</v>
      </c>
      <c r="BD74" s="524">
        <v>13300</v>
      </c>
      <c r="BE74" s="524">
        <v>13162</v>
      </c>
      <c r="BF74" s="523"/>
      <c r="BG74" s="524">
        <f>+BH74-AW74</f>
        <v>-9193</v>
      </c>
      <c r="BH74" s="524">
        <f>+BI74-BB74</f>
        <v>-5759</v>
      </c>
      <c r="BI74" s="524"/>
      <c r="BJ74" s="523"/>
      <c r="BK74" s="520">
        <v>4800</v>
      </c>
      <c r="BL74" s="520">
        <v>4700</v>
      </c>
      <c r="BM74" s="520">
        <v>9500</v>
      </c>
      <c r="BN74" s="520"/>
      <c r="BO74" s="523"/>
      <c r="BP74" s="524">
        <v>3005</v>
      </c>
      <c r="BQ74" s="524">
        <v>3400</v>
      </c>
      <c r="BR74" s="524">
        <f>+BY74-BP74</f>
        <v>3201</v>
      </c>
      <c r="BS74" s="526">
        <v>3800</v>
      </c>
      <c r="BT74" s="526">
        <f t="shared" si="129"/>
        <v>3892</v>
      </c>
      <c r="BU74" s="526">
        <v>3302</v>
      </c>
      <c r="BV74" s="524">
        <f>CC74-BT74</f>
        <v>3029</v>
      </c>
      <c r="BW74" s="526">
        <v>10005.194085027726</v>
      </c>
      <c r="BX74" s="526">
        <v>10098</v>
      </c>
      <c r="BY74" s="524">
        <v>6206</v>
      </c>
      <c r="BZ74" s="524">
        <v>7005</v>
      </c>
      <c r="CA74" s="524">
        <v>6566</v>
      </c>
      <c r="CB74" s="524">
        <v>7194</v>
      </c>
      <c r="CC74" s="524">
        <f>CE74-BY74</f>
        <v>6921</v>
      </c>
      <c r="CD74" s="524">
        <v>13400</v>
      </c>
      <c r="CE74" s="524">
        <v>13127</v>
      </c>
      <c r="CF74" s="523"/>
      <c r="CG74" s="527">
        <v>2076</v>
      </c>
      <c r="CH74" s="520">
        <v>2497.5720000000001</v>
      </c>
      <c r="CI74" s="520">
        <f>CI77*102</f>
        <v>2546.8233694461355</v>
      </c>
      <c r="CJ74" s="542">
        <f>CR74-CG74</f>
        <v>3144</v>
      </c>
      <c r="CK74" s="542">
        <v>3023.5668956508525</v>
      </c>
      <c r="CL74" s="542">
        <f>CP74-CR74</f>
        <v>3467</v>
      </c>
      <c r="CM74" s="542">
        <v>3580</v>
      </c>
      <c r="CN74" s="542">
        <v>3113</v>
      </c>
      <c r="CO74" s="542">
        <f>CW74-CP74</f>
        <v>3475</v>
      </c>
      <c r="CP74" s="542">
        <v>8687</v>
      </c>
      <c r="CQ74" s="542">
        <v>8800</v>
      </c>
      <c r="CR74" s="520">
        <v>5220</v>
      </c>
      <c r="CS74" s="520">
        <v>5099.5668956508525</v>
      </c>
      <c r="CT74" s="520">
        <v>6580</v>
      </c>
      <c r="CU74" s="520">
        <f t="shared" si="130"/>
        <v>6942</v>
      </c>
      <c r="CV74" s="542">
        <v>11800</v>
      </c>
      <c r="CW74" s="992">
        <v>12162</v>
      </c>
      <c r="CX74" s="542"/>
      <c r="CY74" s="542">
        <v>2518</v>
      </c>
      <c r="CZ74" s="542">
        <f>+DB74-CY74</f>
        <v>3172</v>
      </c>
      <c r="DA74" s="542" t="e">
        <f>+DA77*DA17</f>
        <v>#REF!</v>
      </c>
      <c r="DB74" s="542">
        <v>5690</v>
      </c>
      <c r="DC74" s="542">
        <f>+DG74-DB74</f>
        <v>3615</v>
      </c>
      <c r="DD74" s="542">
        <f>DH74-DB74</f>
        <v>3443.2125057937337</v>
      </c>
      <c r="DE74" s="542">
        <f t="shared" si="42"/>
        <v>2837</v>
      </c>
      <c r="DF74" s="542">
        <f>DJ74-DC74</f>
        <v>2495</v>
      </c>
      <c r="DG74" s="542">
        <v>9305</v>
      </c>
      <c r="DH74" s="542">
        <f>DH77*DH17</f>
        <v>9133.2125057937337</v>
      </c>
      <c r="DI74" s="542">
        <f t="shared" si="3"/>
        <v>6452</v>
      </c>
      <c r="DJ74" s="520">
        <f>DL74-DB74</f>
        <v>6110</v>
      </c>
      <c r="DK74" s="520">
        <v>12142</v>
      </c>
      <c r="DL74" s="529">
        <v>11800</v>
      </c>
      <c r="DM74" s="529"/>
      <c r="DN74" s="524"/>
      <c r="DO74" s="524"/>
      <c r="DP74" s="530"/>
      <c r="DQ74" s="530">
        <f t="shared" si="131"/>
        <v>2895</v>
      </c>
      <c r="DR74" s="530">
        <f>+DS74-DB74</f>
        <v>6510</v>
      </c>
      <c r="DS74" s="531">
        <v>12200</v>
      </c>
      <c r="DT74" s="529"/>
      <c r="DU74" s="524"/>
      <c r="DV74" s="524">
        <f>DW74-CY74</f>
        <v>4082</v>
      </c>
      <c r="DW74" s="528">
        <v>6600</v>
      </c>
      <c r="DX74" s="530">
        <f>DY74-DB74</f>
        <v>6678.442622950819</v>
      </c>
      <c r="DY74" s="530">
        <f>DY77*DY17</f>
        <v>12368.442622950819</v>
      </c>
      <c r="DZ74" s="523"/>
      <c r="EB74" s="528">
        <f>ED74-CP74</f>
        <v>2213</v>
      </c>
      <c r="EC74" s="530">
        <f>ED74-CR74</f>
        <v>5680</v>
      </c>
      <c r="ED74" s="529">
        <v>10900</v>
      </c>
      <c r="EE74" s="523"/>
      <c r="EF74" s="520"/>
      <c r="EG74" s="527">
        <v>2592</v>
      </c>
      <c r="EH74" s="520">
        <f>EH77*EH17</f>
        <v>0</v>
      </c>
      <c r="EI74" s="520">
        <f t="shared" si="132"/>
        <v>2694</v>
      </c>
      <c r="EJ74" s="520">
        <f>EL74-EG74</f>
        <v>2916</v>
      </c>
      <c r="EK74" s="520">
        <v>5286</v>
      </c>
      <c r="EL74" s="520">
        <f>EL77*EL17</f>
        <v>5508</v>
      </c>
      <c r="EM74" s="520">
        <f>+EO74-EK74</f>
        <v>4057</v>
      </c>
      <c r="EN74" s="520">
        <f>EN77*EN17</f>
        <v>3220</v>
      </c>
      <c r="EO74" s="520">
        <v>9343</v>
      </c>
      <c r="EP74" s="520">
        <f>+EP77*115</f>
        <v>9200</v>
      </c>
      <c r="EQ74" s="520">
        <f>+EU74-EO74</f>
        <v>2467</v>
      </c>
      <c r="ER74" s="520"/>
      <c r="ES74" s="520">
        <f t="shared" si="133"/>
        <v>6524</v>
      </c>
      <c r="ET74" s="520"/>
      <c r="EU74" s="522">
        <v>11810</v>
      </c>
      <c r="EV74" s="533"/>
      <c r="EW74" s="520">
        <v>2688</v>
      </c>
      <c r="EX74" s="520">
        <v>2419</v>
      </c>
      <c r="EY74" s="520">
        <v>3321.8150000000005</v>
      </c>
      <c r="EZ74" s="520">
        <f t="shared" si="134"/>
        <v>3109</v>
      </c>
      <c r="FA74" s="520">
        <v>5740.8150000000005</v>
      </c>
      <c r="FB74" s="520">
        <v>5528</v>
      </c>
      <c r="FC74" s="520">
        <f>+FE74-FB74</f>
        <v>2885</v>
      </c>
      <c r="FD74" s="477">
        <v>2997</v>
      </c>
      <c r="FE74" s="520">
        <v>8413</v>
      </c>
      <c r="FF74" s="757">
        <v>8525</v>
      </c>
      <c r="FG74" s="757">
        <f>FK74-FE74</f>
        <v>1563</v>
      </c>
      <c r="FH74" s="520">
        <f>+FL74-FE74</f>
        <v>1563</v>
      </c>
      <c r="FI74" s="520">
        <f>FK74-FB74</f>
        <v>4448</v>
      </c>
      <c r="FJ74" s="520">
        <f>+FL74-FB74</f>
        <v>4448</v>
      </c>
      <c r="FK74" s="522">
        <v>9976</v>
      </c>
      <c r="FL74" s="529">
        <f>Segments!N38</f>
        <v>9976</v>
      </c>
      <c r="FM74" s="524">
        <f>+FN74-EX74</f>
        <v>3181</v>
      </c>
      <c r="FN74" s="530">
        <v>5600</v>
      </c>
      <c r="FO74" s="530">
        <f>+FQ74-FE74</f>
        <v>3387</v>
      </c>
      <c r="FP74" s="530">
        <f>+FQ74-FB74</f>
        <v>6272</v>
      </c>
      <c r="FQ74" s="531">
        <v>11800</v>
      </c>
      <c r="FR74" s="531"/>
      <c r="FS74" s="520">
        <v>2352</v>
      </c>
      <c r="FT74" s="530">
        <f>FT76*FT10</f>
        <v>2132.3505894962491</v>
      </c>
      <c r="FU74" s="530">
        <f>FW74-FS74</f>
        <v>2724.5</v>
      </c>
      <c r="FV74" s="597">
        <f>+FY74-FS74</f>
        <v>2176</v>
      </c>
      <c r="FW74" s="530">
        <f>FW76*FW10</f>
        <v>5076.5</v>
      </c>
      <c r="FX74" s="530"/>
      <c r="FY74" s="520">
        <v>4528</v>
      </c>
      <c r="FZ74" s="520">
        <f>+GA74-FY74</f>
        <v>2250</v>
      </c>
      <c r="GA74" s="520">
        <v>6778</v>
      </c>
      <c r="GB74" s="520">
        <f>+GD74-GA74</f>
        <v>2804</v>
      </c>
      <c r="GC74" s="520">
        <f>+GD74-FY74</f>
        <v>5054</v>
      </c>
      <c r="GD74" s="522">
        <v>9582</v>
      </c>
      <c r="GE74" s="520">
        <v>9100</v>
      </c>
      <c r="GF74" s="520">
        <f>GF76*GF10</f>
        <v>2436.9589281626927</v>
      </c>
      <c r="GG74" s="520">
        <f>GH74-FZ74</f>
        <v>2804</v>
      </c>
      <c r="GH74" s="981">
        <f>GI74-FY74</f>
        <v>5054</v>
      </c>
      <c r="GI74" s="530">
        <f>Segments!O38</f>
        <v>9582</v>
      </c>
      <c r="GJ74" s="534"/>
      <c r="GK74" s="530">
        <v>2700</v>
      </c>
      <c r="GL74" s="530">
        <v>2624</v>
      </c>
      <c r="GM74" s="530">
        <v>2700</v>
      </c>
      <c r="GN74" s="530">
        <f>GM74+GL74</f>
        <v>5324</v>
      </c>
      <c r="GO74" s="530">
        <f>+GP74-GL74</f>
        <v>2613</v>
      </c>
      <c r="GP74" s="530">
        <v>5237</v>
      </c>
      <c r="GQ74" s="530">
        <v>2700</v>
      </c>
      <c r="GR74" s="520">
        <f>+GS74-GP74</f>
        <v>3445</v>
      </c>
      <c r="GS74" s="520">
        <v>8682</v>
      </c>
      <c r="GT74" s="520">
        <f>+GU74-GR74</f>
        <v>3511</v>
      </c>
      <c r="GU74" s="520">
        <f>+GV74-GP74</f>
        <v>6956</v>
      </c>
      <c r="GV74" s="522">
        <v>12193</v>
      </c>
      <c r="GW74" s="520">
        <v>13000</v>
      </c>
      <c r="GX74" s="530">
        <f>GY74-GR74</f>
        <v>3511</v>
      </c>
      <c r="GY74" s="530">
        <f>GZ74-GP74</f>
        <v>6956</v>
      </c>
      <c r="GZ74" s="530">
        <f>Segments!P38</f>
        <v>12193</v>
      </c>
      <c r="HA74" s="534"/>
      <c r="HB74" s="530"/>
      <c r="HC74" s="530"/>
      <c r="HD74" s="530">
        <v>4599</v>
      </c>
      <c r="HE74" s="530">
        <v>4599</v>
      </c>
      <c r="HF74" s="530">
        <f>+HI74-HD74</f>
        <v>3247</v>
      </c>
      <c r="HG74" s="530">
        <f>+HL74-HE74</f>
        <v>3247</v>
      </c>
      <c r="HH74" s="530">
        <f t="shared" si="135"/>
        <v>3247</v>
      </c>
      <c r="HI74" s="530">
        <v>7846</v>
      </c>
      <c r="HJ74" s="530">
        <f>HK74-HD74</f>
        <v>7789.3044636130435</v>
      </c>
      <c r="HK74" s="530">
        <f>HK77*HK17</f>
        <v>12388.304463613043</v>
      </c>
      <c r="HL74" s="530">
        <v>7846</v>
      </c>
      <c r="HM74" s="530">
        <v>7846</v>
      </c>
      <c r="HN74" s="520">
        <f>+HP74-HI74</f>
        <v>3844</v>
      </c>
      <c r="HO74" s="520">
        <f>+HQ74-HM74</f>
        <v>3844</v>
      </c>
      <c r="HP74" s="520">
        <v>11690</v>
      </c>
      <c r="HQ74" s="535">
        <v>11690</v>
      </c>
      <c r="HR74" s="520">
        <f>+HT74-HN74</f>
        <v>4413</v>
      </c>
      <c r="HS74" s="520">
        <f>HU74-HO74</f>
        <v>4413</v>
      </c>
      <c r="HT74" s="520">
        <f>+HV74-HI74</f>
        <v>8257</v>
      </c>
      <c r="HU74" s="520">
        <f>HZ74-HM74</f>
        <v>8257</v>
      </c>
      <c r="HV74" s="520">
        <v>16103</v>
      </c>
      <c r="HW74" s="530">
        <f>HW77*HW17</f>
        <v>3462.9143069272982</v>
      </c>
      <c r="HX74" s="530">
        <f>HY74-HN74</f>
        <v>4413</v>
      </c>
      <c r="HY74" s="530">
        <f>IB74-HI74</f>
        <v>8257</v>
      </c>
      <c r="HZ74" s="520">
        <v>16103</v>
      </c>
      <c r="IA74" s="530">
        <v>15900</v>
      </c>
      <c r="IB74" s="530">
        <f>Segments!Q38</f>
        <v>16103</v>
      </c>
      <c r="IC74" s="534"/>
      <c r="ID74" s="530">
        <f>ID77*ID17</f>
        <v>3410</v>
      </c>
      <c r="IE74" s="536">
        <v>2912</v>
      </c>
      <c r="IF74" s="530">
        <f>IG74-IE74</f>
        <v>1801</v>
      </c>
      <c r="IG74" s="537">
        <v>4713</v>
      </c>
      <c r="IH74" s="530">
        <f>+IJ74-IG74</f>
        <v>3110</v>
      </c>
      <c r="II74" s="538">
        <v>2400</v>
      </c>
      <c r="IJ74" s="538">
        <v>7823</v>
      </c>
      <c r="IK74" s="530">
        <f>+IP74-IL74</f>
        <v>7823</v>
      </c>
      <c r="IL74" s="981">
        <f>IN74-IH74</f>
        <v>2234</v>
      </c>
      <c r="IM74" s="981">
        <f>+IO74-IH74</f>
        <v>2234</v>
      </c>
      <c r="IN74" s="530">
        <f>IP74-IG74</f>
        <v>5344</v>
      </c>
      <c r="IO74" s="530">
        <f>+IR74-IG74</f>
        <v>5344</v>
      </c>
      <c r="IP74" s="531">
        <f>Segments!S38</f>
        <v>10057</v>
      </c>
      <c r="IQ74" s="530">
        <v>10100</v>
      </c>
      <c r="IR74" s="539">
        <v>10057</v>
      </c>
      <c r="IS74" s="1283"/>
      <c r="IT74" s="530">
        <f>IT77*IT17</f>
        <v>3953.6350691619195</v>
      </c>
      <c r="IU74" s="540">
        <v>6400</v>
      </c>
      <c r="IV74" s="540">
        <f>IX74-IU74</f>
        <v>4554</v>
      </c>
      <c r="IW74" s="530">
        <v>3357.8650827398374</v>
      </c>
      <c r="IX74" s="981">
        <v>10954</v>
      </c>
      <c r="IY74" s="981">
        <v>9757.8650827398378</v>
      </c>
      <c r="IZ74" s="991">
        <f>JA74-IX74</f>
        <v>7056</v>
      </c>
      <c r="JA74" s="981">
        <v>18010</v>
      </c>
      <c r="JB74" s="530">
        <f>+JC74-IZ74</f>
        <v>8103</v>
      </c>
      <c r="JC74" s="530">
        <f>+JD74-IX74</f>
        <v>15159</v>
      </c>
      <c r="JD74" s="981">
        <v>26113</v>
      </c>
      <c r="JE74" s="981">
        <v>15911.807999999999</v>
      </c>
      <c r="JF74" s="981">
        <f>JG74-IZ74</f>
        <v>8103</v>
      </c>
      <c r="JG74" s="981">
        <f>JH74-IX74</f>
        <v>15159</v>
      </c>
      <c r="JH74" s="531">
        <f>Segments!T38</f>
        <v>26113</v>
      </c>
      <c r="JI74" s="1283"/>
      <c r="JJ74" s="986">
        <f>ROUND(JJ77*JJ17,-2)</f>
        <v>10800</v>
      </c>
      <c r="JK74" s="981">
        <f>ROUND(JK77*JK17,-2)</f>
        <v>7400</v>
      </c>
      <c r="JL74" s="981">
        <v>9195</v>
      </c>
      <c r="JM74" s="981">
        <f t="shared" si="136"/>
        <v>12015</v>
      </c>
      <c r="JN74" s="981">
        <f t="shared" si="137"/>
        <v>10181</v>
      </c>
      <c r="JO74" s="981"/>
      <c r="JP74" s="981">
        <v>21210</v>
      </c>
      <c r="JQ74" s="981"/>
      <c r="JR74" s="981"/>
      <c r="JS74" s="981">
        <v>31391</v>
      </c>
      <c r="JT74" s="981">
        <f>ROUND(JT77*JT17,-2)</f>
        <v>9400</v>
      </c>
      <c r="JU74" s="981">
        <f>+JW74-JN74</f>
        <v>8709</v>
      </c>
      <c r="JV74" s="1730">
        <f>ROUND(JV77*JV17,-2)</f>
        <v>16100</v>
      </c>
      <c r="JW74" s="1730">
        <f>+JX74-JP74</f>
        <v>18890</v>
      </c>
      <c r="JX74" s="1730">
        <f>+Driver!AL187</f>
        <v>40100</v>
      </c>
      <c r="JY74" s="1730">
        <f t="shared" si="138"/>
        <v>30610</v>
      </c>
      <c r="JZ74" s="899">
        <f>+JX74-KG74</f>
        <v>4900</v>
      </c>
      <c r="KA74" s="1277"/>
      <c r="KB74" s="990">
        <f>+KC74-JL74</f>
        <v>7705</v>
      </c>
      <c r="KC74" s="990">
        <v>16900</v>
      </c>
      <c r="KD74" s="990">
        <f t="shared" si="139"/>
        <v>16300</v>
      </c>
      <c r="KE74" s="990">
        <f>+KG74-JP74</f>
        <v>13990</v>
      </c>
      <c r="KF74" s="990">
        <f>+KG74-JS74</f>
        <v>3809</v>
      </c>
      <c r="KG74" s="990">
        <v>35200</v>
      </c>
      <c r="KH74" s="990">
        <v>33200</v>
      </c>
      <c r="KI74" s="1271"/>
      <c r="KJ74" s="899"/>
      <c r="KK74" s="981">
        <f>KL74-IZ74</f>
        <v>5890</v>
      </c>
      <c r="KL74" s="530">
        <f>KM74-IX74</f>
        <v>12946</v>
      </c>
      <c r="KM74" s="993">
        <v>23900</v>
      </c>
      <c r="KN74" s="899"/>
      <c r="KO74" s="993">
        <v>6700</v>
      </c>
      <c r="KP74" s="530">
        <v>11000</v>
      </c>
      <c r="KQ74" s="531">
        <v>17700</v>
      </c>
      <c r="KR74" s="530">
        <v>6587</v>
      </c>
      <c r="KS74" s="531">
        <v>11300</v>
      </c>
      <c r="KT74" s="530">
        <f>+KU74-IE74</f>
        <v>2788</v>
      </c>
      <c r="KU74" s="530">
        <v>5700</v>
      </c>
      <c r="KV74" s="530">
        <f>+KW74-KU74</f>
        <v>7800</v>
      </c>
      <c r="KW74" s="531">
        <v>13500</v>
      </c>
      <c r="KX74" s="530">
        <f>+KY74-HN74</f>
        <v>2210</v>
      </c>
      <c r="KY74" s="530">
        <f>+KZ74-HI74</f>
        <v>6054</v>
      </c>
      <c r="KZ74" s="531">
        <v>13900</v>
      </c>
      <c r="LA74" s="530">
        <v>6200</v>
      </c>
      <c r="LB74" s="530">
        <f>+LC74-LA74</f>
        <v>6700</v>
      </c>
      <c r="LC74" s="531">
        <v>12900</v>
      </c>
      <c r="LD74" s="531"/>
      <c r="LE74" s="530">
        <f>+LF74-GR74</f>
        <v>2418</v>
      </c>
      <c r="LF74" s="530">
        <f>+LG74-GP74</f>
        <v>5863</v>
      </c>
      <c r="LG74" s="531">
        <v>11100</v>
      </c>
    </row>
    <row r="75" spans="1:323" s="765" customFormat="1" ht="12">
      <c r="A75" s="180"/>
      <c r="B75" s="644"/>
      <c r="C75" s="1676" t="s">
        <v>1444</v>
      </c>
      <c r="D75" s="463"/>
      <c r="E75" s="180"/>
      <c r="F75" s="180"/>
      <c r="G75" s="596"/>
      <c r="H75" s="180"/>
      <c r="I75" s="180"/>
      <c r="J75" s="596"/>
      <c r="K75" s="759"/>
      <c r="L75" s="759"/>
      <c r="M75" s="759"/>
      <c r="N75" s="759"/>
      <c r="O75" s="759"/>
      <c r="P75" s="759"/>
      <c r="Q75" s="759"/>
      <c r="R75" s="759"/>
      <c r="S75" s="760"/>
      <c r="T75" s="759"/>
      <c r="U75" s="759"/>
      <c r="V75" s="759"/>
      <c r="W75" s="759"/>
      <c r="X75" s="759"/>
      <c r="Y75" s="759"/>
      <c r="Z75" s="759"/>
      <c r="AA75" s="759"/>
      <c r="AB75" s="760"/>
      <c r="AC75" s="759"/>
      <c r="AD75" s="759"/>
      <c r="AE75" s="759"/>
      <c r="AF75" s="759"/>
      <c r="AG75" s="759"/>
      <c r="AH75" s="759"/>
      <c r="AI75" s="759"/>
      <c r="AJ75" s="759"/>
      <c r="AK75" s="463"/>
      <c r="AL75" s="759"/>
      <c r="AM75" s="759"/>
      <c r="AN75" s="759"/>
      <c r="AO75" s="759"/>
      <c r="AP75" s="759"/>
      <c r="AQ75" s="759"/>
      <c r="AR75" s="759"/>
      <c r="AS75" s="759"/>
      <c r="AT75" s="463"/>
      <c r="AU75" s="609"/>
      <c r="AV75" s="609"/>
      <c r="AW75" s="609"/>
      <c r="AX75" s="609"/>
      <c r="AY75" s="609"/>
      <c r="AZ75" s="609"/>
      <c r="BA75" s="609"/>
      <c r="BB75" s="612"/>
      <c r="BC75" s="612"/>
      <c r="BD75" s="609"/>
      <c r="BE75" s="609"/>
      <c r="BF75" s="463"/>
      <c r="BG75" s="759"/>
      <c r="BH75" s="759"/>
      <c r="BI75" s="759"/>
      <c r="BJ75" s="463"/>
      <c r="BK75" s="180"/>
      <c r="BL75" s="180"/>
      <c r="BM75" s="180"/>
      <c r="BN75" s="180"/>
      <c r="BO75" s="463"/>
      <c r="BP75" s="609"/>
      <c r="BQ75" s="759"/>
      <c r="BR75" s="609"/>
      <c r="BS75" s="759"/>
      <c r="BT75" s="609"/>
      <c r="BU75" s="609"/>
      <c r="BV75" s="761"/>
      <c r="BW75" s="759"/>
      <c r="BX75" s="612"/>
      <c r="BY75" s="612"/>
      <c r="BZ75" s="759"/>
      <c r="CA75" s="759"/>
      <c r="CB75" s="761"/>
      <c r="CC75" s="761"/>
      <c r="CD75" s="761"/>
      <c r="CE75" s="761"/>
      <c r="CF75" s="463"/>
      <c r="CG75" s="762"/>
      <c r="CH75" s="763"/>
      <c r="CI75" s="763"/>
      <c r="CJ75" s="492"/>
      <c r="CK75" s="492"/>
      <c r="CL75" s="492"/>
      <c r="CM75" s="492"/>
      <c r="CN75" s="492"/>
      <c r="CO75" s="492"/>
      <c r="CP75" s="492"/>
      <c r="CQ75" s="180"/>
      <c r="CR75" s="764"/>
      <c r="CS75" s="180"/>
      <c r="CT75" s="618"/>
      <c r="CU75" s="618"/>
      <c r="CV75" s="702"/>
      <c r="CW75" s="703"/>
      <c r="CX75" s="492"/>
      <c r="CY75" s="492"/>
      <c r="CZ75" s="492"/>
      <c r="DA75" s="492"/>
      <c r="DB75" s="492"/>
      <c r="DC75" s="492"/>
      <c r="DD75" s="704"/>
      <c r="DE75" s="704"/>
      <c r="DF75" s="704"/>
      <c r="DG75" s="492"/>
      <c r="DH75" s="704"/>
      <c r="DI75" s="492"/>
      <c r="DJ75" s="492"/>
      <c r="DK75" s="492"/>
      <c r="DL75" s="494"/>
      <c r="DM75" s="494"/>
      <c r="DN75" s="612"/>
      <c r="DO75" s="612"/>
      <c r="DP75" s="503"/>
      <c r="DQ75" s="503"/>
      <c r="DR75" s="503"/>
      <c r="DS75" s="501"/>
      <c r="DT75" s="494"/>
      <c r="DU75" s="612"/>
      <c r="DV75" s="612"/>
      <c r="DW75" s="492"/>
      <c r="DX75" s="503"/>
      <c r="DY75" s="503"/>
      <c r="DZ75" s="463"/>
      <c r="EB75" s="492"/>
      <c r="EC75" s="503"/>
      <c r="ED75" s="626"/>
      <c r="EE75" s="463"/>
      <c r="EF75" s="180"/>
      <c r="EG75" s="701"/>
      <c r="EH75" s="618"/>
      <c r="EI75" s="618"/>
      <c r="EJ75" s="618"/>
      <c r="EK75" s="618"/>
      <c r="EL75" s="618"/>
      <c r="EM75" s="618"/>
      <c r="EN75" s="618"/>
      <c r="EO75" s="618"/>
      <c r="EP75" s="618"/>
      <c r="EQ75" s="618"/>
      <c r="ER75" s="618"/>
      <c r="ES75" s="618"/>
      <c r="ET75" s="618"/>
      <c r="EU75" s="620"/>
      <c r="EV75" s="501"/>
      <c r="EW75" s="482"/>
      <c r="EX75" s="482"/>
      <c r="EY75" s="482"/>
      <c r="EZ75" s="482"/>
      <c r="FA75" s="482"/>
      <c r="FB75" s="482"/>
      <c r="FC75" s="482"/>
      <c r="FD75" s="743"/>
      <c r="FE75" s="482"/>
      <c r="FF75" s="743"/>
      <c r="FG75" s="766"/>
      <c r="FH75" s="482"/>
      <c r="FI75" s="482"/>
      <c r="FJ75" s="482"/>
      <c r="FK75" s="620"/>
      <c r="FL75" s="494"/>
      <c r="FM75" s="612"/>
      <c r="FN75" s="503"/>
      <c r="FO75" s="624"/>
      <c r="FP75" s="624"/>
      <c r="FQ75" s="501"/>
      <c r="FR75" s="501"/>
      <c r="FS75" s="482"/>
      <c r="FT75" s="503"/>
      <c r="FU75" s="503"/>
      <c r="FV75" s="482"/>
      <c r="FW75" s="503"/>
      <c r="FX75" s="503"/>
      <c r="FY75" s="482"/>
      <c r="FZ75" s="482"/>
      <c r="GA75" s="482"/>
      <c r="GB75" s="482"/>
      <c r="GC75" s="482"/>
      <c r="GD75" s="483"/>
      <c r="GE75" s="482"/>
      <c r="GF75" s="482"/>
      <c r="GG75" s="482"/>
      <c r="GH75" s="503"/>
      <c r="GI75" s="503"/>
      <c r="GJ75" s="504"/>
      <c r="GK75" s="503"/>
      <c r="GL75" s="503"/>
      <c r="GM75" s="503"/>
      <c r="GN75" s="503"/>
      <c r="GO75" s="503"/>
      <c r="GP75" s="503"/>
      <c r="GQ75" s="503"/>
      <c r="GR75" s="482"/>
      <c r="GS75" s="482"/>
      <c r="GT75" s="661"/>
      <c r="GU75" s="482"/>
      <c r="GV75" s="483"/>
      <c r="GW75" s="482"/>
      <c r="GX75" s="503"/>
      <c r="GY75" s="503"/>
      <c r="GZ75" s="503"/>
      <c r="HA75" s="504"/>
      <c r="HB75" s="503"/>
      <c r="HC75" s="503"/>
      <c r="HD75" s="503"/>
      <c r="HE75" s="503"/>
      <c r="HF75" s="503"/>
      <c r="HG75" s="503"/>
      <c r="HH75" s="503"/>
      <c r="HI75" s="503"/>
      <c r="HJ75" s="503"/>
      <c r="HK75" s="503"/>
      <c r="HL75" s="503"/>
      <c r="HM75" s="503"/>
      <c r="HN75" s="482"/>
      <c r="HO75" s="482"/>
      <c r="HP75" s="482"/>
      <c r="HQ75" s="482"/>
      <c r="HR75" s="618"/>
      <c r="HS75" s="618"/>
      <c r="HT75" s="618"/>
      <c r="HU75" s="618"/>
      <c r="HV75" s="482"/>
      <c r="HW75" s="503"/>
      <c r="HX75" s="503"/>
      <c r="HY75" s="503"/>
      <c r="HZ75" s="482"/>
      <c r="IA75" s="503"/>
      <c r="IB75" s="503"/>
      <c r="IC75" s="504"/>
      <c r="ID75" s="503"/>
      <c r="IE75" s="506"/>
      <c r="IF75" s="503"/>
      <c r="IG75" s="503"/>
      <c r="IH75" s="503"/>
      <c r="II75" s="503"/>
      <c r="IJ75" s="503"/>
      <c r="IK75" s="503"/>
      <c r="IL75" s="503"/>
      <c r="IM75" s="503"/>
      <c r="IN75" s="503"/>
      <c r="IO75" s="503"/>
      <c r="IP75" s="501"/>
      <c r="IQ75" s="503"/>
      <c r="IR75" s="501"/>
      <c r="IS75" s="506"/>
      <c r="IT75" s="503"/>
      <c r="IU75" s="503"/>
      <c r="IV75" s="503"/>
      <c r="IW75" s="503"/>
      <c r="IX75" s="503"/>
      <c r="IY75" s="503"/>
      <c r="IZ75" s="503"/>
      <c r="JA75" s="503"/>
      <c r="JB75" s="503"/>
      <c r="JC75" s="503"/>
      <c r="JD75" s="503"/>
      <c r="JE75" s="503"/>
      <c r="JF75" s="503"/>
      <c r="JG75" s="503"/>
      <c r="JH75" s="501"/>
      <c r="JI75" s="506"/>
      <c r="JJ75" s="995">
        <f>+JJ74/IU74-1</f>
        <v>0.6875</v>
      </c>
      <c r="JK75" s="495">
        <f>+JK74/IV74-1</f>
        <v>0.62494510320597274</v>
      </c>
      <c r="JL75" s="495">
        <f>+JL74/IU74-1</f>
        <v>0.43671875000000004</v>
      </c>
      <c r="JM75" s="495">
        <f>+JM74/IV74-1</f>
        <v>1.6383399209486167</v>
      </c>
      <c r="JN75" s="495">
        <f>+JN74/IZ74-1</f>
        <v>0.44288548752834478</v>
      </c>
      <c r="JO75" s="495">
        <f>+JO74/JB74-1</f>
        <v>-1</v>
      </c>
      <c r="JP75" s="495">
        <f>+JP74/IX74-1</f>
        <v>0.93627898484571848</v>
      </c>
      <c r="JQ75" s="495">
        <f>+JQ74/JC74-1</f>
        <v>-1</v>
      </c>
      <c r="JR75" s="495">
        <f>+JR74/JD74-1</f>
        <v>-1</v>
      </c>
      <c r="JS75" s="1670">
        <f>+JS76/JA76-1</f>
        <v>0.45962474774809259</v>
      </c>
      <c r="JT75" s="495">
        <f>+JT74/IZ74-1</f>
        <v>0.33219954648526073</v>
      </c>
      <c r="JU75" s="495">
        <f>+JU74/JB74-1</f>
        <v>7.4787115883006239E-2</v>
      </c>
      <c r="JV75" s="1670">
        <f>+JV74/IX74-1</f>
        <v>0.46978272777067742</v>
      </c>
      <c r="JW75" s="1670">
        <f>+JW74/JC74-1</f>
        <v>0.24612441453921763</v>
      </c>
      <c r="JX75" s="1670">
        <f>+JX74/JD74-1</f>
        <v>0.53563359246352382</v>
      </c>
      <c r="JY75" s="1670">
        <f>+JY74/JA74-1</f>
        <v>0.69961132704053308</v>
      </c>
      <c r="JZ75" s="503"/>
      <c r="KA75" s="501"/>
      <c r="KB75" s="495"/>
      <c r="KC75" s="495">
        <f>+KC74/IX74-1</f>
        <v>0.54281540989592836</v>
      </c>
      <c r="KD75" s="495">
        <f>+KD74/JC74-1</f>
        <v>7.5268817204301008E-2</v>
      </c>
      <c r="KE75" s="495">
        <f>+KE74/JC74-1</f>
        <v>-7.7115904743056962E-2</v>
      </c>
      <c r="KF75" s="495">
        <f>+KF74/JB74-1</f>
        <v>-0.52992718746143397</v>
      </c>
      <c r="KG75" s="495">
        <f>+KG74/JD74-1</f>
        <v>0.34798759238693378</v>
      </c>
      <c r="KH75" s="495">
        <f>+KH74/JD74-1</f>
        <v>0.2713973882740397</v>
      </c>
      <c r="KI75" s="501"/>
      <c r="KJ75" s="503"/>
      <c r="KK75" s="503"/>
      <c r="KL75" s="503"/>
      <c r="KM75" s="495"/>
      <c r="KN75" s="503"/>
      <c r="KO75" s="495"/>
      <c r="KP75" s="495"/>
      <c r="KQ75" s="496"/>
      <c r="KR75" s="495"/>
      <c r="KS75" s="496"/>
      <c r="KT75" s="503"/>
      <c r="KU75" s="495"/>
      <c r="KV75" s="503"/>
      <c r="KW75" s="501"/>
      <c r="KX75" s="503"/>
      <c r="KY75" s="624"/>
      <c r="KZ75" s="501"/>
      <c r="LA75" s="495"/>
      <c r="LB75" s="503"/>
      <c r="LC75" s="501"/>
      <c r="LD75" s="501"/>
      <c r="LE75" s="624"/>
      <c r="LF75" s="624"/>
      <c r="LG75" s="501"/>
    </row>
    <row r="76" spans="1:323" s="1019" customFormat="1" ht="12">
      <c r="A76" s="1007"/>
      <c r="B76" s="863" t="s">
        <v>990</v>
      </c>
      <c r="C76" s="1008" t="s">
        <v>944</v>
      </c>
      <c r="D76" s="1009"/>
      <c r="E76" s="1007"/>
      <c r="F76" s="1007"/>
      <c r="G76" s="1008"/>
      <c r="H76" s="1007"/>
      <c r="I76" s="1007"/>
      <c r="J76" s="1008"/>
      <c r="K76" s="1010"/>
      <c r="L76" s="1010"/>
      <c r="M76" s="1010"/>
      <c r="N76" s="1010"/>
      <c r="O76" s="1010"/>
      <c r="P76" s="1010"/>
      <c r="Q76" s="1010"/>
      <c r="R76" s="1010"/>
      <c r="S76" s="1011"/>
      <c r="T76" s="1678">
        <f t="shared" ref="T76:AA76" si="140">+T74/T10</f>
        <v>0.20567375886524822</v>
      </c>
      <c r="U76" s="1678">
        <f t="shared" si="140"/>
        <v>0.21422274463708493</v>
      </c>
      <c r="V76" s="1678">
        <f t="shared" si="140"/>
        <v>0.21178007214827715</v>
      </c>
      <c r="W76" s="1678">
        <f t="shared" si="140"/>
        <v>0.18833819241982508</v>
      </c>
      <c r="X76" s="1678">
        <f t="shared" si="140"/>
        <v>0.21057319022607901</v>
      </c>
      <c r="Y76" s="1678">
        <f t="shared" si="140"/>
        <v>0.2098729792147806</v>
      </c>
      <c r="Z76" s="1678">
        <f t="shared" si="140"/>
        <v>0.20029828959477042</v>
      </c>
      <c r="AA76" s="1678">
        <f t="shared" si="140"/>
        <v>0.20477838750527649</v>
      </c>
      <c r="AB76" s="1011"/>
      <c r="AC76" s="1678">
        <f t="shared" ref="AC76:AJ76" si="141">+AC74/AC10</f>
        <v>0.18023505190014583</v>
      </c>
      <c r="AD76" s="1678">
        <f t="shared" si="141"/>
        <v>0.17447364125999673</v>
      </c>
      <c r="AE76" s="1678">
        <f t="shared" si="141"/>
        <v>0.13423041780878811</v>
      </c>
      <c r="AF76" s="1678">
        <f t="shared" si="141"/>
        <v>0.11178990239449477</v>
      </c>
      <c r="AG76" s="1678">
        <f t="shared" si="141"/>
        <v>0.16286509040333796</v>
      </c>
      <c r="AH76" s="1678">
        <f t="shared" si="141"/>
        <v>0.17728242231608882</v>
      </c>
      <c r="AI76" s="1678">
        <f t="shared" si="141"/>
        <v>0.12207001522070016</v>
      </c>
      <c r="AJ76" s="1678">
        <f t="shared" si="141"/>
        <v>0.14837321432129266</v>
      </c>
      <c r="AK76" s="1009"/>
      <c r="AL76" s="1678">
        <f t="shared" ref="AL76:AS76" si="142">+AL74/AL10</f>
        <v>8.1559122174909932E-2</v>
      </c>
      <c r="AM76" s="1678">
        <f t="shared" si="142"/>
        <v>0.13180407298054356</v>
      </c>
      <c r="AN76" s="1678">
        <f t="shared" si="142"/>
        <v>0.16232961586121439</v>
      </c>
      <c r="AO76" s="1678">
        <f t="shared" si="142"/>
        <v>0.18118328412446061</v>
      </c>
      <c r="AP76" s="1678">
        <f t="shared" si="142"/>
        <v>0.12754399579442763</v>
      </c>
      <c r="AQ76" s="1678">
        <f t="shared" si="142"/>
        <v>0.10766688957948153</v>
      </c>
      <c r="AR76" s="1678">
        <f t="shared" si="142"/>
        <v>0.17266164664882694</v>
      </c>
      <c r="AS76" s="1678">
        <f t="shared" si="142"/>
        <v>0.14395663579978804</v>
      </c>
      <c r="AT76" s="1009"/>
      <c r="AU76" s="1678">
        <f>+AU74/AU10</f>
        <v>0.20571261596902624</v>
      </c>
      <c r="AV76" s="1678">
        <f>+AV74/AV10</f>
        <v>0.19854280510018216</v>
      </c>
      <c r="AW76" s="1678">
        <f>+AW74/AW10</f>
        <v>0.17298876630900206</v>
      </c>
      <c r="AX76" s="1678">
        <v>0.18427336820559473</v>
      </c>
      <c r="AY76" s="1678">
        <f>+AY74/AY10</f>
        <v>0.17808587966078879</v>
      </c>
      <c r="AZ76" s="1678">
        <f>+AZ74/AZ10</f>
        <v>0.19522776572668113</v>
      </c>
      <c r="BA76" s="1678">
        <f>+BA74/BA10</f>
        <v>0.19008332816409237</v>
      </c>
      <c r="BB76" s="1679">
        <f>+BB74/BB10</f>
        <v>0.20198512906846242</v>
      </c>
      <c r="BC76" s="1679">
        <f>+BC74/BC10</f>
        <v>0.17568465518059709</v>
      </c>
      <c r="BD76" s="1680">
        <v>0.18538160090790751</v>
      </c>
      <c r="BE76" s="1678">
        <f>+BE74/BE10</f>
        <v>0.18629865534324133</v>
      </c>
      <c r="BF76" s="1009"/>
      <c r="BG76" s="1678">
        <f>+BG74/BG10</f>
        <v>0.19008332816409237</v>
      </c>
      <c r="BH76" s="1678">
        <f>+BH74/BH10</f>
        <v>0.20198512906846242</v>
      </c>
      <c r="BI76" s="1678"/>
      <c r="BJ76" s="1009"/>
      <c r="BK76" s="1007">
        <v>0.16</v>
      </c>
      <c r="BL76" s="1007">
        <v>0.15666666666666668</v>
      </c>
      <c r="BM76" s="1007">
        <v>0.15833333333333333</v>
      </c>
      <c r="BN76" s="1007"/>
      <c r="BO76" s="1009"/>
      <c r="BP76" s="1695">
        <f>+BP74/BP10</f>
        <v>0.17945655419528217</v>
      </c>
      <c r="BQ76" s="1014"/>
      <c r="BR76" s="1695">
        <f>+BR74/BR10</f>
        <v>0.17291486603284356</v>
      </c>
      <c r="BS76" s="1014"/>
      <c r="BT76" s="1695">
        <f>+BT74/AW74-1</f>
        <v>0.1333721607454863</v>
      </c>
      <c r="BU76" s="1695">
        <f>+BU74/AX74-1</f>
        <v>1.8821351434742395E-2</v>
      </c>
      <c r="BV76" s="1679">
        <f>+BV74/BV10</f>
        <v>0.16688705234159779</v>
      </c>
      <c r="BW76" s="1014"/>
      <c r="BX76" s="1679">
        <f>+BX74/BX10</f>
        <v>0.17631652465428133</v>
      </c>
      <c r="BY76" s="1679">
        <f>+BY74/BY10</f>
        <v>0.17602178290835863</v>
      </c>
      <c r="BZ76" s="1014"/>
      <c r="CA76" s="1014"/>
      <c r="CB76" s="1679">
        <f>+CB74/CB10</f>
        <v>0.18101300858012731</v>
      </c>
      <c r="CC76" s="1679">
        <f>+CC74/CC10</f>
        <v>0.17231420390887589</v>
      </c>
      <c r="CD76" s="1679">
        <f>+CD74/CD10</f>
        <v>0.17866666666666667</v>
      </c>
      <c r="CE76" s="1682">
        <f>+CE74/CE10</f>
        <v>0.17404736018668293</v>
      </c>
      <c r="CF76" s="1009"/>
      <c r="CG76" s="1731">
        <f>+CG74/CG10</f>
        <v>0.12527910204574255</v>
      </c>
      <c r="CH76" s="1007"/>
      <c r="CI76" s="1007"/>
      <c r="CJ76" s="1682">
        <f>CJ74/CJ10</f>
        <v>0.14105612634034725</v>
      </c>
      <c r="CK76" s="1007">
        <v>0.14337468731664274</v>
      </c>
      <c r="CL76" s="1682">
        <f>CL74/CL10</f>
        <v>0.13580633789024246</v>
      </c>
      <c r="CM76" s="1682">
        <v>0.16690097195199927</v>
      </c>
      <c r="CN76" s="1682">
        <v>0.14958435442794676</v>
      </c>
      <c r="CO76" s="1682">
        <f>CO74/CO10</f>
        <v>0.16046361285555966</v>
      </c>
      <c r="CP76" s="1682">
        <f>CP74/CP10</f>
        <v>0.13491434872416097</v>
      </c>
      <c r="CQ76" s="1682">
        <f>CQ74/CQ10</f>
        <v>0.14591315864591806</v>
      </c>
      <c r="CR76" s="1682">
        <f>CR74/CR10</f>
        <v>0.13432835820895522</v>
      </c>
      <c r="CS76" s="1682">
        <v>0.13541225023829867</v>
      </c>
      <c r="CT76" s="1682">
        <v>0.13541225023829867</v>
      </c>
      <c r="CU76" s="1682">
        <v>0.13541225023829867</v>
      </c>
      <c r="CV76" s="1682">
        <v>0.13849765258215962</v>
      </c>
      <c r="CW76" s="1683">
        <f>+CW74/CW10</f>
        <v>0.1413446452437678</v>
      </c>
      <c r="CX76" s="704"/>
      <c r="CY76" s="1682">
        <f t="shared" ref="CY76:DK76" si="143">CY74/CY10</f>
        <v>0.12962009677751468</v>
      </c>
      <c r="CZ76" s="1682">
        <f t="shared" si="143"/>
        <v>0.15088236693145601</v>
      </c>
      <c r="DA76" s="1682" t="e">
        <f t="shared" si="143"/>
        <v>#REF!</v>
      </c>
      <c r="DB76" s="1682">
        <f t="shared" si="143"/>
        <v>0.14067096837993523</v>
      </c>
      <c r="DC76" s="1682">
        <f t="shared" si="143"/>
        <v>0.17257017376360512</v>
      </c>
      <c r="DD76" s="1682">
        <f t="shared" si="143"/>
        <v>0.15730660399227767</v>
      </c>
      <c r="DE76" s="1682">
        <f t="shared" si="143"/>
        <v>0.17787949087717098</v>
      </c>
      <c r="DF76" s="1682">
        <f t="shared" si="143"/>
        <v>0.14419464832687973</v>
      </c>
      <c r="DG76" s="1682">
        <f t="shared" si="143"/>
        <v>0.15155463622001075</v>
      </c>
      <c r="DH76" s="1682">
        <f t="shared" si="143"/>
        <v>0.14651222899953406</v>
      </c>
      <c r="DI76" s="1682">
        <f t="shared" si="143"/>
        <v>0.17486516518958181</v>
      </c>
      <c r="DJ76" s="1682">
        <f t="shared" si="143"/>
        <v>0.15973438602912343</v>
      </c>
      <c r="DK76" s="1682">
        <f t="shared" si="143"/>
        <v>0.15698290797197012</v>
      </c>
      <c r="DL76" s="1686">
        <v>0.14993646759847523</v>
      </c>
      <c r="DM76" s="1274"/>
      <c r="DN76" s="1670"/>
      <c r="DO76" s="1670"/>
      <c r="DP76" s="1682"/>
      <c r="DQ76" s="1682">
        <f>DQ74/DQ10</f>
        <v>0.12695697934482306</v>
      </c>
      <c r="DR76" s="1682">
        <f>DR74/DR10</f>
        <v>0.14879659893488148</v>
      </c>
      <c r="DS76" s="1686">
        <f>+DS74/DS10</f>
        <v>0.14489311163895488</v>
      </c>
      <c r="DT76" s="1274"/>
      <c r="DU76" s="1670"/>
      <c r="DV76" s="1670"/>
      <c r="DW76" s="1266">
        <f>+DW74/DW10</f>
        <v>0.15277777777777779</v>
      </c>
      <c r="DX76" s="1670">
        <f>+DX74/DX10</f>
        <v>0.14074398058946744</v>
      </c>
      <c r="DY76" s="1670">
        <f>+DY74/DY10</f>
        <v>0.14071038251366119</v>
      </c>
      <c r="DZ76" s="1020"/>
      <c r="EB76" s="1670">
        <f>+EB74/EB10</f>
        <v>0.19565025196711167</v>
      </c>
      <c r="EC76" s="1670">
        <f>+EC74/EC10</f>
        <v>0.15418023887079263</v>
      </c>
      <c r="ED76" s="1686">
        <f>+ED74/ED10</f>
        <v>0.14398943196829592</v>
      </c>
      <c r="EE76" s="1009"/>
      <c r="EF76" s="1007"/>
      <c r="EG76" s="1681">
        <f t="shared" ref="EG76:EQ76" si="144">EG74/EG10</f>
        <v>0.16296762024520592</v>
      </c>
      <c r="EH76" s="1670" t="e">
        <f t="shared" si="144"/>
        <v>#DIV/0!</v>
      </c>
      <c r="EI76" s="1670">
        <f t="shared" si="144"/>
        <v>0.16193796585717721</v>
      </c>
      <c r="EJ76" s="1670">
        <f t="shared" si="144"/>
        <v>0.16472992600766656</v>
      </c>
      <c r="EK76" s="1670">
        <f t="shared" si="144"/>
        <v>0.1624412279893058</v>
      </c>
      <c r="EL76" s="1670">
        <f t="shared" si="144"/>
        <v>0.16389588185007223</v>
      </c>
      <c r="EM76" s="1670">
        <f t="shared" si="144"/>
        <v>0.16792913613974089</v>
      </c>
      <c r="EN76" s="1670">
        <f t="shared" si="144"/>
        <v>0.16948300343446496</v>
      </c>
      <c r="EO76" s="1670">
        <f t="shared" si="144"/>
        <v>0.1647795414462081</v>
      </c>
      <c r="EP76" s="1670">
        <f t="shared" si="144"/>
        <v>0.16419114133520807</v>
      </c>
      <c r="EQ76" s="1670">
        <f t="shared" si="144"/>
        <v>0.15102540557086011</v>
      </c>
      <c r="ER76" s="1670"/>
      <c r="ES76" s="1670">
        <f>ES74/ES10</f>
        <v>0.16111028794389293</v>
      </c>
      <c r="ET76" s="1670"/>
      <c r="EU76" s="1686">
        <f>EU74/EU10</f>
        <v>0.16170329294174027</v>
      </c>
      <c r="EV76" s="1274"/>
      <c r="EW76" s="1670">
        <v>0.16501276471295831</v>
      </c>
      <c r="EX76" s="1670">
        <f>EX74/EX10</f>
        <v>0.14311069040998639</v>
      </c>
      <c r="EY76" s="1670">
        <v>0.17234996520897483</v>
      </c>
      <c r="EZ76" s="1670">
        <f>EZ74/EZ10</f>
        <v>0.15388041971886754</v>
      </c>
      <c r="FA76" s="1670">
        <v>0.15868835486036145</v>
      </c>
      <c r="FB76" s="1670">
        <f>FB74/FB10</f>
        <v>0.14897458700514726</v>
      </c>
      <c r="FC76" s="1670">
        <f>FC74/FC10</f>
        <v>0.14458253984163577</v>
      </c>
      <c r="FD76" s="696">
        <v>0.19853533553686067</v>
      </c>
      <c r="FE76" s="1670">
        <f>FE74/FE10</f>
        <v>0.14743870594626804</v>
      </c>
      <c r="FF76" s="1732">
        <v>0.16330619997286663</v>
      </c>
      <c r="FG76" s="1670">
        <f t="shared" ref="FG76:FQ76" si="145">FG74/FG10</f>
        <v>9.7766935635203597E-2</v>
      </c>
      <c r="FH76" s="1670">
        <f t="shared" si="145"/>
        <v>9.7766935635203597E-2</v>
      </c>
      <c r="FI76" s="1670">
        <f t="shared" si="145"/>
        <v>0.12375838179238197</v>
      </c>
      <c r="FJ76" s="1670">
        <f t="shared" si="145"/>
        <v>0.12375838179238197</v>
      </c>
      <c r="FK76" s="1686">
        <f t="shared" si="145"/>
        <v>0.13656773628299201</v>
      </c>
      <c r="FL76" s="1670">
        <f t="shared" si="145"/>
        <v>0.13656773628299201</v>
      </c>
      <c r="FM76" s="1682">
        <f t="shared" si="145"/>
        <v>0.17197383359463697</v>
      </c>
      <c r="FN76" s="1682">
        <f t="shared" si="145"/>
        <v>0.15819209039548024</v>
      </c>
      <c r="FO76" s="1670">
        <f t="shared" si="145"/>
        <v>0.18171575728311604</v>
      </c>
      <c r="FP76" s="1682">
        <f t="shared" si="145"/>
        <v>0.16251651853963153</v>
      </c>
      <c r="FQ76" s="1686">
        <f t="shared" si="145"/>
        <v>0.15587846763540292</v>
      </c>
      <c r="FR76" s="1686"/>
      <c r="FS76" s="1670">
        <f>FS74/FS10</f>
        <v>0.12395256916996047</v>
      </c>
      <c r="FT76" s="1670">
        <v>0.12</v>
      </c>
      <c r="FU76" s="1671">
        <f>FU74/FU10</f>
        <v>0.13571606475716064</v>
      </c>
      <c r="FV76" s="1670">
        <f>FV74/FV10</f>
        <v>9.9834832079280608E-2</v>
      </c>
      <c r="FW76" s="1670">
        <v>0.13</v>
      </c>
      <c r="FX76" s="1670"/>
      <c r="FY76" s="1670">
        <f t="shared" ref="FY76:GD76" si="146">FY74/FY10</f>
        <v>0.11105933138750583</v>
      </c>
      <c r="FZ76" s="1670">
        <f t="shared" si="146"/>
        <v>0.10956369302687963</v>
      </c>
      <c r="GA76" s="1670">
        <f t="shared" si="146"/>
        <v>0.11055833754709903</v>
      </c>
      <c r="GB76" s="1670">
        <f t="shared" si="146"/>
        <v>0.12473864495751591</v>
      </c>
      <c r="GC76" s="1670">
        <f t="shared" si="146"/>
        <v>0.11749389747762408</v>
      </c>
      <c r="GD76" s="1686">
        <f t="shared" si="146"/>
        <v>0.11436278137158952</v>
      </c>
      <c r="GE76" s="1670">
        <v>0.10990338164251208</v>
      </c>
      <c r="GF76" s="1670">
        <v>0.12</v>
      </c>
      <c r="GG76" s="1670">
        <f>GG74/GG10</f>
        <v>0.12473864495751591</v>
      </c>
      <c r="GH76" s="1670">
        <f>GH74/GH10</f>
        <v>0.11749389747762408</v>
      </c>
      <c r="GI76" s="1670">
        <f>GI74/GI10</f>
        <v>0.11436278137158952</v>
      </c>
      <c r="GJ76" s="1690"/>
      <c r="GK76" s="1670">
        <f t="shared" ref="GK76:GV76" si="147">GK74/GK10</f>
        <v>0.1347411311179427</v>
      </c>
      <c r="GL76" s="1670">
        <f t="shared" si="147"/>
        <v>0.13278680228733364</v>
      </c>
      <c r="GM76" s="1670">
        <f t="shared" si="147"/>
        <v>0.12618421939966135</v>
      </c>
      <c r="GN76" s="1670">
        <f t="shared" si="147"/>
        <v>0.12848819888925353</v>
      </c>
      <c r="GO76" s="1670">
        <f t="shared" si="147"/>
        <v>0.11824064437304856</v>
      </c>
      <c r="GP76" s="1670">
        <f t="shared" si="147"/>
        <v>0.12510750119445771</v>
      </c>
      <c r="GQ76" s="1670">
        <f t="shared" si="147"/>
        <v>0.12127801746645787</v>
      </c>
      <c r="GR76" s="1670">
        <f t="shared" si="147"/>
        <v>0.14545684850532004</v>
      </c>
      <c r="GS76" s="1670">
        <f t="shared" si="147"/>
        <v>0.13246063712925668</v>
      </c>
      <c r="GT76" s="1670">
        <f t="shared" si="147"/>
        <v>0.14973558512453089</v>
      </c>
      <c r="GU76" s="1670">
        <f t="shared" si="147"/>
        <v>0.14758550454043962</v>
      </c>
      <c r="GV76" s="1686">
        <f t="shared" si="147"/>
        <v>0.13701231571377204</v>
      </c>
      <c r="GW76" s="1670">
        <v>0.14084507042253522</v>
      </c>
      <c r="GX76" s="1670">
        <f>GX74/GX10</f>
        <v>0.14973558512453089</v>
      </c>
      <c r="GY76" s="1670">
        <f>GY74/GY10</f>
        <v>0.14758550454043962</v>
      </c>
      <c r="GZ76" s="1670">
        <f>GZ74/GZ10</f>
        <v>0.13701231571377204</v>
      </c>
      <c r="HA76" s="1690"/>
      <c r="HB76" s="1670">
        <f>HB74/HB10</f>
        <v>0</v>
      </c>
      <c r="HC76" s="1670"/>
      <c r="HD76" s="1670">
        <f t="shared" ref="HD76:HI76" si="148">HD74/HD10</f>
        <v>0.19419812515834811</v>
      </c>
      <c r="HE76" s="1670">
        <f t="shared" si="148"/>
        <v>0.19419812515834811</v>
      </c>
      <c r="HF76" s="1670">
        <f t="shared" si="148"/>
        <v>0.1556269171779141</v>
      </c>
      <c r="HG76" s="1670">
        <f t="shared" si="148"/>
        <v>0.15600516956690777</v>
      </c>
      <c r="HH76" s="1670">
        <f t="shared" si="148"/>
        <v>0.1556269171779141</v>
      </c>
      <c r="HI76" s="1670">
        <f t="shared" si="148"/>
        <v>0.17613253715260629</v>
      </c>
      <c r="HJ76" s="1670">
        <f>HI74/HI10</f>
        <v>0.17613253715260629</v>
      </c>
      <c r="HK76" s="1670">
        <f t="shared" ref="HK76:HR76" si="149">HK74/HK10</f>
        <v>0.18232930053641833</v>
      </c>
      <c r="HL76" s="1670">
        <f t="shared" si="149"/>
        <v>0.17633278350515466</v>
      </c>
      <c r="HM76" s="1670">
        <f t="shared" si="149"/>
        <v>0.17613253715260629</v>
      </c>
      <c r="HN76" s="1670">
        <f t="shared" si="149"/>
        <v>0.18030864487077256</v>
      </c>
      <c r="HO76" s="1670">
        <f t="shared" si="149"/>
        <v>0.18030864487077256</v>
      </c>
      <c r="HP76" s="1670">
        <f t="shared" si="149"/>
        <v>0.17748424808320049</v>
      </c>
      <c r="HQ76" s="1670">
        <f t="shared" si="149"/>
        <v>0.17748424808320049</v>
      </c>
      <c r="HR76" s="1670">
        <f t="shared" si="149"/>
        <v>0.15683974837402709</v>
      </c>
      <c r="HS76" s="1670"/>
      <c r="HT76" s="1670">
        <f t="shared" ref="HT76:HZ76" si="150">HT74/HT10</f>
        <v>0.16695648657392428</v>
      </c>
      <c r="HU76" s="1670">
        <f t="shared" si="150"/>
        <v>0.16696323856513123</v>
      </c>
      <c r="HV76" s="1670">
        <f t="shared" si="150"/>
        <v>0.17130486585391799</v>
      </c>
      <c r="HW76" s="1670">
        <f t="shared" si="150"/>
        <v>0.15505608152959063</v>
      </c>
      <c r="HX76" s="1670">
        <f t="shared" si="150"/>
        <v>0.15683974837402709</v>
      </c>
      <c r="HY76" s="1670">
        <f t="shared" si="150"/>
        <v>0.16695648657392428</v>
      </c>
      <c r="HZ76" s="1670">
        <f t="shared" si="150"/>
        <v>0.17130851063829788</v>
      </c>
      <c r="IA76" s="1670">
        <v>0.17245119305856832</v>
      </c>
      <c r="IB76" s="1670">
        <f>IB74/IB10</f>
        <v>0.17130486585391799</v>
      </c>
      <c r="IC76" s="1690"/>
      <c r="ID76" s="1670">
        <f t="shared" ref="ID76:IP76" si="151">ID74/ID10</f>
        <v>0.14535420785894196</v>
      </c>
      <c r="IE76" s="1671">
        <f t="shared" si="151"/>
        <v>0.12053479034728258</v>
      </c>
      <c r="IF76" s="1670">
        <f t="shared" si="151"/>
        <v>6.9539364454226038E-2</v>
      </c>
      <c r="IG76" s="1670">
        <f t="shared" si="151"/>
        <v>9.4150785089296418E-2</v>
      </c>
      <c r="IH76" s="1670">
        <f t="shared" si="151"/>
        <v>0.10532019370788039</v>
      </c>
      <c r="II76" s="1670">
        <f t="shared" si="151"/>
        <v>8.2758620689655171E-2</v>
      </c>
      <c r="IJ76" s="1670">
        <f t="shared" si="151"/>
        <v>9.8294947667332599E-2</v>
      </c>
      <c r="IK76" s="1670">
        <f t="shared" si="151"/>
        <v>9.8294947667332599E-2</v>
      </c>
      <c r="IL76" s="1670">
        <f t="shared" si="151"/>
        <v>6.4542224019876929E-2</v>
      </c>
      <c r="IM76" s="1670">
        <f t="shared" si="151"/>
        <v>6.4542224019876929E-2</v>
      </c>
      <c r="IN76" s="1670">
        <f t="shared" si="151"/>
        <v>8.3315144523089399E-2</v>
      </c>
      <c r="IO76" s="1670">
        <f t="shared" si="151"/>
        <v>8.3315144523089399E-2</v>
      </c>
      <c r="IP76" s="1686">
        <f t="shared" si="151"/>
        <v>8.8064798598949209E-2</v>
      </c>
      <c r="IQ76" s="1670">
        <v>9.369202226345083E-2</v>
      </c>
      <c r="IR76" s="1686">
        <f>IR74/IR10</f>
        <v>8.8064798598949209E-2</v>
      </c>
      <c r="IS76" s="1288"/>
      <c r="IT76" s="1670">
        <f>IT74/IT10</f>
        <v>0.10901170665748627</v>
      </c>
      <c r="IU76" s="1670">
        <f>IU74/IU10</f>
        <v>0.15384615384615385</v>
      </c>
      <c r="IV76" s="1670">
        <f>IV74/IV10</f>
        <v>9.7046413502109699E-2</v>
      </c>
      <c r="IW76" s="1670">
        <v>8.1339177301150672E-2</v>
      </c>
      <c r="IX76" s="1670">
        <f>IX74/IX10</f>
        <v>0.12373765899283826</v>
      </c>
      <c r="IY76" s="1670">
        <v>0.11629629391085543</v>
      </c>
      <c r="IZ76" s="1670">
        <f>IZ74/IZ10</f>
        <v>0.17471833601584746</v>
      </c>
      <c r="JA76" s="1670">
        <f>JA74/JA10</f>
        <v>0.13970879133665862</v>
      </c>
      <c r="JB76" s="1670">
        <f>JB74/JB10</f>
        <v>0.16381942057699694</v>
      </c>
      <c r="JC76" s="1670">
        <f>JC74/JC10</f>
        <v>0.16871827976137477</v>
      </c>
      <c r="JD76" s="1670">
        <f>JD74/JD10</f>
        <v>0.14639465392938433</v>
      </c>
      <c r="JE76" s="1670"/>
      <c r="JF76" s="1670"/>
      <c r="JG76" s="1670">
        <f>JG74/JG10</f>
        <v>0.16871827976137477</v>
      </c>
      <c r="JH76" s="1686">
        <f>JH74/JH10</f>
        <v>0.14639465392938433</v>
      </c>
      <c r="JI76" s="1288"/>
      <c r="JJ76" s="1733">
        <f t="shared" ref="JJ76:JY76" si="152">JJ74/JJ10</f>
        <v>0.20809248554913296</v>
      </c>
      <c r="JK76" s="1641">
        <f>JK74/JK10</f>
        <v>0.1434108527131783</v>
      </c>
      <c r="JL76" s="1641">
        <f t="shared" si="152"/>
        <v>0.19370944636386619</v>
      </c>
      <c r="JM76" s="1641">
        <f t="shared" si="152"/>
        <v>0.20501663680573329</v>
      </c>
      <c r="JN76" s="1641">
        <f t="shared" si="152"/>
        <v>0.21271128011198628</v>
      </c>
      <c r="JO76" s="1641" t="e">
        <f t="shared" si="152"/>
        <v>#DIV/0!</v>
      </c>
      <c r="JP76" s="1641">
        <f t="shared" si="152"/>
        <v>0.1999566336390976</v>
      </c>
      <c r="JQ76" s="1641" t="e">
        <f t="shared" si="152"/>
        <v>#DIV/0!</v>
      </c>
      <c r="JR76" s="1641" t="e">
        <f t="shared" si="152"/>
        <v>#DIV/0!</v>
      </c>
      <c r="JS76" s="1641">
        <f t="shared" si="152"/>
        <v>0.20392240931296124</v>
      </c>
      <c r="JT76" s="1641">
        <f t="shared" si="152"/>
        <v>0.17636022514071295</v>
      </c>
      <c r="JU76" s="1641">
        <f t="shared" si="152"/>
        <v>0.14795120956781735</v>
      </c>
      <c r="JV76" s="1641">
        <f t="shared" si="152"/>
        <v>0.16251463641135383</v>
      </c>
      <c r="JW76" s="1641">
        <f t="shared" si="152"/>
        <v>0.17699363797352122</v>
      </c>
      <c r="JX76" s="1641">
        <f t="shared" si="152"/>
        <v>0.18843984962406016</v>
      </c>
      <c r="JY76" s="1641">
        <f t="shared" si="152"/>
        <v>0.1920651553274394</v>
      </c>
      <c r="JZ76" s="1090"/>
      <c r="KA76" s="1734"/>
      <c r="KB76" s="1641"/>
      <c r="KC76" s="1641">
        <f t="shared" ref="KC76:KH76" si="153">KC74/KC10</f>
        <v>0.1717479674796748</v>
      </c>
      <c r="KD76" s="1641">
        <f t="shared" si="153"/>
        <v>0.16122650840751732</v>
      </c>
      <c r="KE76" s="1641">
        <f t="shared" si="153"/>
        <v>0.14974257976816124</v>
      </c>
      <c r="KF76" s="1641">
        <f t="shared" si="153"/>
        <v>8.3596699148450526E-2</v>
      </c>
      <c r="KG76" s="1670">
        <f t="shared" si="153"/>
        <v>0.17644110275689223</v>
      </c>
      <c r="KH76" s="1670">
        <f t="shared" si="153"/>
        <v>0.16641604010025063</v>
      </c>
      <c r="KI76" s="1274"/>
      <c r="KJ76" s="662"/>
      <c r="KK76" s="1670"/>
      <c r="KL76" s="1670">
        <f>KL74/KL10</f>
        <v>0.13559712591909839</v>
      </c>
      <c r="KM76" s="1735">
        <f>KM74/KM10</f>
        <v>0.12989130434782609</v>
      </c>
      <c r="KN76" s="662"/>
      <c r="KO76" s="1735">
        <v>9.6960926193921854E-2</v>
      </c>
      <c r="KP76" s="1670">
        <v>0.1390644753476612</v>
      </c>
      <c r="KQ76" s="1686">
        <v>0.1194331983805668</v>
      </c>
      <c r="KR76" s="1670">
        <v>0.11137601028034223</v>
      </c>
      <c r="KS76" s="1686">
        <v>0.10347985347985347</v>
      </c>
      <c r="KT76" s="1682">
        <f t="shared" ref="KT76:LG76" si="154">KT74/KT10</f>
        <v>0.11453925475535105</v>
      </c>
      <c r="KU76" s="1682">
        <f t="shared" si="154"/>
        <v>0.11752577319587629</v>
      </c>
      <c r="KV76" s="1682">
        <f t="shared" si="154"/>
        <v>0.14417744916820702</v>
      </c>
      <c r="KW76" s="1686">
        <f t="shared" si="154"/>
        <v>0.13157894736842105</v>
      </c>
      <c r="KX76" s="1682">
        <f t="shared" si="154"/>
        <v>8.4885730747071245E-2</v>
      </c>
      <c r="KY76" s="1682">
        <f t="shared" si="154"/>
        <v>0.12784558854584618</v>
      </c>
      <c r="KZ76" s="1686">
        <f t="shared" si="154"/>
        <v>0.15125136017410229</v>
      </c>
      <c r="LA76" s="1682">
        <f t="shared" si="154"/>
        <v>0.13507625272331156</v>
      </c>
      <c r="LB76" s="1682">
        <f t="shared" si="154"/>
        <v>0.1375770020533881</v>
      </c>
      <c r="LC76" s="1686">
        <f t="shared" si="154"/>
        <v>0.13636363636363635</v>
      </c>
      <c r="LD76" s="1686" t="e">
        <f t="shared" si="154"/>
        <v>#DIV/0!</v>
      </c>
      <c r="LE76" s="1682">
        <f t="shared" si="154"/>
        <v>0.10397316821465429</v>
      </c>
      <c r="LF76" s="1682">
        <f t="shared" si="154"/>
        <v>0.12490413293566255</v>
      </c>
      <c r="LG76" s="1686">
        <f t="shared" si="154"/>
        <v>0.125</v>
      </c>
    </row>
    <row r="77" spans="1:323" s="498" customFormat="1">
      <c r="A77" s="477"/>
      <c r="B77" s="478" t="s">
        <v>1060</v>
      </c>
      <c r="C77" s="481" t="s">
        <v>1423</v>
      </c>
      <c r="D77" s="480"/>
      <c r="E77" s="477"/>
      <c r="F77" s="477"/>
      <c r="G77" s="481"/>
      <c r="H77" s="477"/>
      <c r="I77" s="477"/>
      <c r="J77" s="481"/>
      <c r="K77" s="484"/>
      <c r="L77" s="484"/>
      <c r="M77" s="484"/>
      <c r="N77" s="484"/>
      <c r="O77" s="484"/>
      <c r="P77" s="484"/>
      <c r="Q77" s="484"/>
      <c r="R77" s="484"/>
      <c r="S77" s="485"/>
      <c r="T77" s="484"/>
      <c r="U77" s="484"/>
      <c r="V77" s="484"/>
      <c r="W77" s="484"/>
      <c r="X77" s="484"/>
      <c r="Y77" s="484">
        <v>64</v>
      </c>
      <c r="Z77" s="484">
        <f>+AA77-Y77</f>
        <v>66</v>
      </c>
      <c r="AA77" s="484">
        <v>130</v>
      </c>
      <c r="AB77" s="485"/>
      <c r="AC77" s="484">
        <v>24</v>
      </c>
      <c r="AD77" s="484">
        <f>+AH77-AC77</f>
        <v>26</v>
      </c>
      <c r="AE77" s="484">
        <v>21.8</v>
      </c>
      <c r="AF77" s="484">
        <f>+AI77-AE77</f>
        <v>18.2</v>
      </c>
      <c r="AG77" s="484">
        <v>72</v>
      </c>
      <c r="AH77" s="484">
        <v>50</v>
      </c>
      <c r="AI77" s="484">
        <f>+AJ77-AH77</f>
        <v>40</v>
      </c>
      <c r="AJ77" s="484">
        <v>90</v>
      </c>
      <c r="AK77" s="480"/>
      <c r="AL77" s="484">
        <v>12</v>
      </c>
      <c r="AM77" s="484">
        <f>+AQ77-AL77</f>
        <v>24</v>
      </c>
      <c r="AN77" s="484">
        <f>+AP77-AQ77</f>
        <v>31</v>
      </c>
      <c r="AO77" s="484">
        <f>+AR77-AN77</f>
        <v>34</v>
      </c>
      <c r="AP77" s="484">
        <v>67</v>
      </c>
      <c r="AQ77" s="484">
        <v>36</v>
      </c>
      <c r="AR77" s="484">
        <f>+AS77-AQ77</f>
        <v>65</v>
      </c>
      <c r="AS77" s="484">
        <v>101</v>
      </c>
      <c r="AT77" s="480"/>
      <c r="AU77" s="584">
        <v>35</v>
      </c>
      <c r="AV77" s="484">
        <f>+BB77-AU77</f>
        <v>39</v>
      </c>
      <c r="AW77" s="584">
        <f>+BA77-BB77</f>
        <v>32.203789279112755</v>
      </c>
      <c r="AX77" s="584">
        <v>-74</v>
      </c>
      <c r="AY77" s="584">
        <f>+BC77-AW77</f>
        <v>33.796210720887245</v>
      </c>
      <c r="AZ77" s="584"/>
      <c r="BA77" s="584">
        <f>+BA74/BA17</f>
        <v>106.20378927911275</v>
      </c>
      <c r="BB77" s="625">
        <v>74</v>
      </c>
      <c r="BC77" s="507">
        <f>+BE77-BB77</f>
        <v>66</v>
      </c>
      <c r="BD77" s="508">
        <v>140.5001105047543</v>
      </c>
      <c r="BE77" s="584">
        <v>140</v>
      </c>
      <c r="BF77" s="480"/>
      <c r="BG77" s="484">
        <f>+BH77-AW77</f>
        <v>19.796210720887245</v>
      </c>
      <c r="BH77" s="484">
        <f>+BI77-BB77</f>
        <v>52</v>
      </c>
      <c r="BI77" s="484">
        <v>126</v>
      </c>
      <c r="BJ77" s="480"/>
      <c r="BK77" s="477">
        <v>58</v>
      </c>
      <c r="BL77" s="477">
        <v>58</v>
      </c>
      <c r="BM77" s="477">
        <v>116</v>
      </c>
      <c r="BN77" s="477"/>
      <c r="BO77" s="480"/>
      <c r="BP77" s="584">
        <f>BP74/BP17</f>
        <v>30.482856563197405</v>
      </c>
      <c r="BQ77" s="508"/>
      <c r="BR77" s="484">
        <f>+BY77-BP77</f>
        <v>33.517143436802598</v>
      </c>
      <c r="BS77" s="508">
        <v>32.203789279112755</v>
      </c>
      <c r="BT77" s="484">
        <f>BX77-BY77</f>
        <v>32</v>
      </c>
      <c r="BU77" s="484">
        <v>35</v>
      </c>
      <c r="BV77" s="484">
        <f>CC77-BT77</f>
        <v>32</v>
      </c>
      <c r="BW77" s="508">
        <v>96.203789279112755</v>
      </c>
      <c r="BX77" s="484">
        <v>96</v>
      </c>
      <c r="BY77" s="584">
        <v>64</v>
      </c>
      <c r="BZ77" s="508"/>
      <c r="CA77" s="508">
        <v>67</v>
      </c>
      <c r="CB77" s="484">
        <v>67.145057291349787</v>
      </c>
      <c r="CC77" s="484">
        <f>CE77-BY77</f>
        <v>64</v>
      </c>
      <c r="CD77" s="484">
        <v>131.14505729134979</v>
      </c>
      <c r="CE77" s="484">
        <v>128</v>
      </c>
      <c r="CF77" s="480"/>
      <c r="CG77" s="586">
        <f>CG74/CG17</f>
        <v>20.483473112974842</v>
      </c>
      <c r="CH77" s="567">
        <v>24.486000000000001</v>
      </c>
      <c r="CI77" s="567">
        <f>BP77+CI81</f>
        <v>24.968856563197406</v>
      </c>
      <c r="CJ77" s="567">
        <f>CR77-CG77</f>
        <v>27.209537394106015</v>
      </c>
      <c r="CK77" s="567">
        <v>26.517143436802598</v>
      </c>
      <c r="CL77" s="567">
        <f>CP77-CR77</f>
        <v>24.362397588473229</v>
      </c>
      <c r="CM77" s="567">
        <v>25.356371722715775</v>
      </c>
      <c r="CN77" s="567">
        <v>26.019050722830144</v>
      </c>
      <c r="CO77" s="567">
        <f>CW77-CP77</f>
        <v>28.944591904445915</v>
      </c>
      <c r="CP77" s="567">
        <f>CP74/CP17</f>
        <v>72.055408095554085</v>
      </c>
      <c r="CQ77" s="567">
        <v>73.049382229796635</v>
      </c>
      <c r="CR77" s="567">
        <f>CR74/CR17</f>
        <v>47.693010507080857</v>
      </c>
      <c r="CS77" s="567">
        <v>47.00061654977744</v>
      </c>
      <c r="CT77" s="567">
        <v>50.381448311303373</v>
      </c>
      <c r="CU77" s="567">
        <f>CW77-CR77</f>
        <v>53.306989492919143</v>
      </c>
      <c r="CV77" s="567">
        <v>98.07445881838423</v>
      </c>
      <c r="CW77" s="996">
        <v>101</v>
      </c>
      <c r="CX77" s="997"/>
      <c r="CY77" s="997">
        <v>21</v>
      </c>
      <c r="CZ77" s="997">
        <f>+DB77-CY77</f>
        <v>26</v>
      </c>
      <c r="DA77" s="567" t="e">
        <f>+DA81+CR77</f>
        <v>#REF!</v>
      </c>
      <c r="DB77" s="567">
        <v>47</v>
      </c>
      <c r="DC77" s="567">
        <f>+DG77-DB77</f>
        <v>30</v>
      </c>
      <c r="DD77" s="567">
        <f>DD81+CL77</f>
        <v>27.862397588473229</v>
      </c>
      <c r="DE77" s="567">
        <f t="shared" si="42"/>
        <v>30.813887408985963</v>
      </c>
      <c r="DF77" s="567">
        <f>DJ77-DC77</f>
        <v>25.503582245358729</v>
      </c>
      <c r="DG77" s="567">
        <v>77</v>
      </c>
      <c r="DH77" s="567">
        <f>DD77+DB77</f>
        <v>74.862397588473229</v>
      </c>
      <c r="DI77" s="567">
        <f t="shared" si="3"/>
        <v>60.813887408985963</v>
      </c>
      <c r="DJ77" s="997">
        <f>DL77-DB77</f>
        <v>55.503582245358729</v>
      </c>
      <c r="DK77" s="997">
        <f>+DK74/DK17</f>
        <v>107.81388740898596</v>
      </c>
      <c r="DL77" s="998">
        <v>102.50358224535873</v>
      </c>
      <c r="DM77" s="999"/>
      <c r="DN77" s="1000"/>
      <c r="DO77" s="1000"/>
      <c r="DP77" s="574"/>
      <c r="DQ77" s="574">
        <f>+DR77-DC77</f>
        <v>24</v>
      </c>
      <c r="DR77" s="574">
        <f>+DS77-DB77</f>
        <v>54</v>
      </c>
      <c r="DS77" s="570">
        <v>101</v>
      </c>
      <c r="DT77" s="999"/>
      <c r="DU77" s="1000"/>
      <c r="DV77" s="590">
        <f>DW77-CY77</f>
        <v>34</v>
      </c>
      <c r="DW77" s="567">
        <v>55</v>
      </c>
      <c r="DX77" s="574">
        <f>DY77-DB77</f>
        <v>56</v>
      </c>
      <c r="DY77" s="574">
        <v>103</v>
      </c>
      <c r="DZ77" s="497"/>
      <c r="EB77" s="567">
        <f>ED77-CP77</f>
        <v>34.944591904445915</v>
      </c>
      <c r="EC77" s="574">
        <f>ED77-CR77</f>
        <v>59.306989492919143</v>
      </c>
      <c r="ED77" s="998">
        <v>107</v>
      </c>
      <c r="EE77" s="480"/>
      <c r="EF77" s="477"/>
      <c r="EG77" s="509">
        <v>25</v>
      </c>
      <c r="EH77" s="477">
        <v>23</v>
      </c>
      <c r="EI77" s="477">
        <f t="shared" ref="EI77" si="155">+EK77-EG77</f>
        <v>27</v>
      </c>
      <c r="EJ77" s="477">
        <v>29</v>
      </c>
      <c r="EK77" s="477">
        <v>52</v>
      </c>
      <c r="EL77" s="477">
        <f>EJ77+EG77</f>
        <v>54</v>
      </c>
      <c r="EM77" s="477">
        <f>+EO77-EK77</f>
        <v>28</v>
      </c>
      <c r="EN77" s="477">
        <v>28</v>
      </c>
      <c r="EO77" s="477">
        <v>80</v>
      </c>
      <c r="EP77" s="477">
        <f>EN77+EK77</f>
        <v>80</v>
      </c>
      <c r="EQ77" s="477">
        <f>+EU77-EO77</f>
        <v>25</v>
      </c>
      <c r="ER77" s="751">
        <f>ET77-EM77</f>
        <v>-28</v>
      </c>
      <c r="ES77" s="734">
        <f>+EU77-EK77</f>
        <v>53</v>
      </c>
      <c r="ET77" s="751"/>
      <c r="EU77" s="481">
        <v>105</v>
      </c>
      <c r="EV77" s="570"/>
      <c r="EW77" s="477">
        <v>24</v>
      </c>
      <c r="EX77" s="477">
        <v>22</v>
      </c>
      <c r="EY77" s="477">
        <v>29</v>
      </c>
      <c r="EZ77" s="477">
        <f>+FB77-EX77</f>
        <v>27</v>
      </c>
      <c r="FA77" s="477">
        <v>51</v>
      </c>
      <c r="FB77" s="477">
        <v>49</v>
      </c>
      <c r="FC77" s="510">
        <f>+FE77-FB77</f>
        <v>25</v>
      </c>
      <c r="FD77" s="180">
        <v>28.466826326059959</v>
      </c>
      <c r="FE77" s="510">
        <v>74</v>
      </c>
      <c r="FF77" s="180">
        <v>77.5</v>
      </c>
      <c r="FG77" s="510">
        <f>FK77-FE77</f>
        <v>20</v>
      </c>
      <c r="FH77" s="180">
        <f>+FL77-FE77</f>
        <v>19.374163643029021</v>
      </c>
      <c r="FI77" s="180">
        <f>FK77-FB77</f>
        <v>45</v>
      </c>
      <c r="FJ77" s="477">
        <f>+FL77-FB77</f>
        <v>44.374163643029021</v>
      </c>
      <c r="FK77" s="481">
        <v>94</v>
      </c>
      <c r="FL77" s="998">
        <f>'maruchan inc'!Y84/1000</f>
        <v>93.374163643029021</v>
      </c>
      <c r="FM77" s="1000">
        <f>+FN77-EX77</f>
        <v>28</v>
      </c>
      <c r="FN77" s="574">
        <v>50</v>
      </c>
      <c r="FO77" s="1001">
        <f>FP77-FC77</f>
        <v>31</v>
      </c>
      <c r="FP77" s="1001">
        <f>+FQ77-FB77</f>
        <v>56</v>
      </c>
      <c r="FQ77" s="570">
        <v>105</v>
      </c>
      <c r="FR77" s="570"/>
      <c r="FS77" s="592">
        <f>+FS74/FS17</f>
        <v>21.294703485740154</v>
      </c>
      <c r="FT77" s="756"/>
      <c r="FU77" s="574"/>
      <c r="FV77" s="592">
        <f>+FV74/FV17</f>
        <v>18.685651465511025</v>
      </c>
      <c r="FW77" s="574"/>
      <c r="FX77" s="574"/>
      <c r="FY77" s="592">
        <f>+FY74/FY17</f>
        <v>39.86617362211657</v>
      </c>
      <c r="FZ77" s="592">
        <f>+FZ74/FZ17</f>
        <v>20.266618627274365</v>
      </c>
      <c r="GA77" s="592">
        <f>+GA74/GA17</f>
        <v>61.052062691406952</v>
      </c>
      <c r="GB77" s="592">
        <f>+GB74/GB17</f>
        <v>25.273672550041976</v>
      </c>
      <c r="GC77" s="477">
        <f>GD77-FY77</f>
        <v>46.458150702207753</v>
      </c>
      <c r="GD77" s="594">
        <f>+GD74/GD17</f>
        <v>86.324324324324323</v>
      </c>
      <c r="GE77" s="510">
        <v>82.3204607300692</v>
      </c>
      <c r="GF77" s="477"/>
      <c r="GG77" s="477">
        <f>GH77-FZ77</f>
        <v>25.70969647371869</v>
      </c>
      <c r="GH77" s="574">
        <f>GI77-FY77</f>
        <v>45.976315100993055</v>
      </c>
      <c r="GI77" s="574">
        <f>'maruchan inc'!Z84/1000</f>
        <v>85.842488723109625</v>
      </c>
      <c r="GJ77" s="1002"/>
      <c r="GK77" s="574"/>
      <c r="GL77" s="574">
        <f>+GL74/GL17</f>
        <v>24.352668213457076</v>
      </c>
      <c r="GM77" s="574"/>
      <c r="GN77" s="574"/>
      <c r="GO77" s="574">
        <f>+GO74/GO17</f>
        <v>24.173971175592492</v>
      </c>
      <c r="GP77" s="574">
        <f>+GP74/GP17</f>
        <v>48.522190308533304</v>
      </c>
      <c r="GQ77" s="574"/>
      <c r="GR77" s="592">
        <f>+GR74/GR17</f>
        <v>30.620527251721345</v>
      </c>
      <c r="GS77" s="592">
        <f>+GS74/GS17</f>
        <v>79.258718276428695</v>
      </c>
      <c r="GT77" s="592">
        <f>+GT74/GT17</f>
        <v>32.868344538148548</v>
      </c>
      <c r="GU77" s="477">
        <f>GV77-GP77</f>
        <v>63.535524974988427</v>
      </c>
      <c r="GV77" s="481">
        <f>+GV74/GV17</f>
        <v>112.05771528352173</v>
      </c>
      <c r="GW77" s="592">
        <v>118.63084802650718</v>
      </c>
      <c r="GX77" s="574">
        <f>GY77-GR77</f>
        <v>33.298902860260682</v>
      </c>
      <c r="GY77" s="574">
        <f>GZ77-GP77</f>
        <v>63.919430111982031</v>
      </c>
      <c r="GZ77" s="574">
        <f>'maruchan inc'!AA84/1000</f>
        <v>112.44162042051533</v>
      </c>
      <c r="HA77" s="1002"/>
      <c r="HB77" s="574"/>
      <c r="HC77" s="574"/>
      <c r="HD77" s="574">
        <f>+HD74/HD17</f>
        <v>42.697985330981339</v>
      </c>
      <c r="HE77" s="574">
        <f>+HE74/HE17</f>
        <v>42.697985330981339</v>
      </c>
      <c r="HF77" s="574">
        <f>+HF74/HF17</f>
        <v>31.32009445012562</v>
      </c>
      <c r="HG77" s="574">
        <f>+HG74/HG17</f>
        <v>31.309206892716674</v>
      </c>
      <c r="HH77" s="574">
        <f>HM77-HE77</f>
        <v>31.460804839150981</v>
      </c>
      <c r="HI77" s="574">
        <f>+HI74/HI17</f>
        <v>74.172811495556815</v>
      </c>
      <c r="HJ77" s="574">
        <f>GO77+HI81</f>
        <v>49.824592362616002</v>
      </c>
      <c r="HK77" s="574">
        <f>HI77+HD77</f>
        <v>116.87079682653815</v>
      </c>
      <c r="HL77" s="574">
        <f t="shared" ref="HL77:HR77" si="156">+HL74/HL17</f>
        <v>74.15879017013232</v>
      </c>
      <c r="HM77" s="574">
        <f t="shared" si="156"/>
        <v>74.15879017013232</v>
      </c>
      <c r="HN77" s="592">
        <f t="shared" si="156"/>
        <v>38.744847065648045</v>
      </c>
      <c r="HO77" s="592">
        <f t="shared" si="156"/>
        <v>38.827143225039578</v>
      </c>
      <c r="HP77" s="592">
        <f t="shared" si="156"/>
        <v>112.94685990338164</v>
      </c>
      <c r="HQ77" s="592">
        <f t="shared" si="156"/>
        <v>112.94685990338164</v>
      </c>
      <c r="HR77" s="592">
        <f t="shared" si="156"/>
        <v>33.419913952060192</v>
      </c>
      <c r="HS77" s="592"/>
      <c r="HT77" s="477">
        <f>HV77-HI77</f>
        <v>71.279270520521223</v>
      </c>
      <c r="HU77" s="477">
        <f>HZ77-HM77</f>
        <v>71.306431148747535</v>
      </c>
      <c r="HV77" s="477">
        <f>+HV74/HV17</f>
        <v>145.45208201607804</v>
      </c>
      <c r="HW77" s="574">
        <f>GR77+HW81</f>
        <v>33.620527251721342</v>
      </c>
      <c r="HX77" s="574">
        <f>HY77-HN77</f>
        <v>31.927210958940748</v>
      </c>
      <c r="HY77" s="574">
        <f>IB77-HI77</f>
        <v>70.672058024588793</v>
      </c>
      <c r="HZ77" s="477">
        <f>+HZ74/HZ17</f>
        <v>145.46522131887986</v>
      </c>
      <c r="IA77" s="574">
        <v>147.18589954975201</v>
      </c>
      <c r="IB77" s="574">
        <f>'maruchan inc'!AB84/1000</f>
        <v>144.84486952014561</v>
      </c>
      <c r="IC77" s="1002"/>
      <c r="ID77" s="574">
        <v>31</v>
      </c>
      <c r="IE77" s="575">
        <f t="shared" ref="IE77:IK77" si="157">+IE74/IE17</f>
        <v>26.326733568393454</v>
      </c>
      <c r="IF77" s="574">
        <f t="shared" si="157"/>
        <v>15.89558216138126</v>
      </c>
      <c r="IG77" s="574">
        <f t="shared" si="157"/>
        <v>42.099151406878072</v>
      </c>
      <c r="IH77" s="574">
        <f t="shared" si="157"/>
        <v>25.803447458430696</v>
      </c>
      <c r="II77" s="574">
        <f t="shared" si="157"/>
        <v>21.238938053097346</v>
      </c>
      <c r="IJ77" s="574">
        <f t="shared" si="157"/>
        <v>68.0201721589427</v>
      </c>
      <c r="IK77" s="574">
        <f t="shared" si="157"/>
        <v>68.020103785794163</v>
      </c>
      <c r="IL77" s="574">
        <f>IN77-IH77</f>
        <v>14.687712779790751</v>
      </c>
      <c r="IM77" s="574">
        <f>+IM74/IM17</f>
        <v>15.55467598879034</v>
      </c>
      <c r="IN77" s="574">
        <f>+IN74/IN17</f>
        <v>40.491160238221447</v>
      </c>
      <c r="IO77" s="574">
        <f>IR77-IG77</f>
        <v>39.900848593121928</v>
      </c>
      <c r="IP77" s="570">
        <f>'maruchan inc'!AD84/1000</f>
        <v>82</v>
      </c>
      <c r="IQ77" s="574">
        <v>88.23757660142617</v>
      </c>
      <c r="IR77" s="1003">
        <v>82</v>
      </c>
      <c r="IS77" s="1293"/>
      <c r="IT77" s="574">
        <f>IT81+IE77</f>
        <v>29.2861856974957</v>
      </c>
      <c r="IU77" s="1004">
        <v>47</v>
      </c>
      <c r="IV77" s="574">
        <f>IV81+IF77</f>
        <v>28.89558216138126</v>
      </c>
      <c r="IW77" s="574">
        <v>23.984750590998839</v>
      </c>
      <c r="IX77" s="574">
        <v>76</v>
      </c>
      <c r="IY77" s="574">
        <v>70.984750590998843</v>
      </c>
      <c r="IZ77" s="574">
        <f>JA77-IX77</f>
        <v>60</v>
      </c>
      <c r="JA77" s="574">
        <v>136</v>
      </c>
      <c r="JB77" s="574">
        <f>+JC77-IZ77</f>
        <v>60</v>
      </c>
      <c r="JC77" s="574">
        <f>+JD77-IX77</f>
        <v>120</v>
      </c>
      <c r="JD77" s="574">
        <v>196</v>
      </c>
      <c r="JE77" s="574">
        <v>120.544</v>
      </c>
      <c r="JF77" s="574">
        <f>JG77-IZ77</f>
        <v>60</v>
      </c>
      <c r="JG77" s="574">
        <f>JH77-IX77</f>
        <v>120</v>
      </c>
      <c r="JH77" s="570">
        <f>'maruchan inc'!AF84/1000</f>
        <v>196</v>
      </c>
      <c r="JI77" s="1293"/>
      <c r="JJ77" s="1802">
        <f>JJ81+IU77</f>
        <v>79.367681498829057</v>
      </c>
      <c r="JK77" s="1803">
        <f>JK81+IV77</f>
        <v>51.812631341709121</v>
      </c>
      <c r="JL77" s="1803">
        <v>63</v>
      </c>
      <c r="JM77" s="1803">
        <f>+JP77-JL77</f>
        <v>79</v>
      </c>
      <c r="JN77" s="1803">
        <f t="shared" ref="JN77" si="158">JS77-JP77</f>
        <v>79.328350842557967</v>
      </c>
      <c r="JO77" s="1803"/>
      <c r="JP77" s="1803">
        <v>142</v>
      </c>
      <c r="JQ77" s="1803"/>
      <c r="JR77" s="1803"/>
      <c r="JS77" s="1803">
        <f>+JS74/JS17</f>
        <v>221.32835084255797</v>
      </c>
      <c r="JT77" s="1803">
        <f>JT81+IZ77</f>
        <v>66.620506851098455</v>
      </c>
      <c r="JU77" s="1803">
        <f>JU81+JB77</f>
        <v>55.442219395571477</v>
      </c>
      <c r="JV77" s="1029">
        <f>+JL77+JK77</f>
        <v>114.81263134170912</v>
      </c>
      <c r="JW77" s="1029">
        <f>+JN77+JU77</f>
        <v>134.77057023812944</v>
      </c>
      <c r="JX77" s="1029">
        <f>+JP77+JW77</f>
        <v>276.77057023812944</v>
      </c>
      <c r="JY77" s="1029">
        <f t="shared" ref="JY77" si="159">+JP77+JT77</f>
        <v>208.62050685109847</v>
      </c>
      <c r="JZ77" s="1029"/>
      <c r="KA77" s="1030"/>
      <c r="KB77" s="1029"/>
      <c r="KC77" s="1029">
        <v>127</v>
      </c>
      <c r="KD77" s="1029">
        <f t="shared" ref="KD77" si="160">+KH77-KC77</f>
        <v>123</v>
      </c>
      <c r="KE77" s="1029">
        <f>+KG77-JP77</f>
        <v>123</v>
      </c>
      <c r="KF77" s="1029">
        <f>+KG77-JS77</f>
        <v>43.671649157442033</v>
      </c>
      <c r="KG77" s="1029">
        <v>265</v>
      </c>
      <c r="KH77" s="1029">
        <v>250</v>
      </c>
      <c r="KI77" s="1003"/>
      <c r="KJ77" s="1004"/>
      <c r="KK77" s="981">
        <f>KL77-IZ77</f>
        <v>30</v>
      </c>
      <c r="KL77" s="1001">
        <f>KM77-IX77</f>
        <v>90</v>
      </c>
      <c r="KM77" s="579">
        <v>166</v>
      </c>
      <c r="KN77" s="1004"/>
      <c r="KO77" s="579">
        <v>54.918032786885249</v>
      </c>
      <c r="KP77" s="1001">
        <v>90.163934426229503</v>
      </c>
      <c r="KQ77" s="570">
        <v>145</v>
      </c>
      <c r="KR77" s="574">
        <v>60.900848593121928</v>
      </c>
      <c r="KS77" s="570">
        <v>103</v>
      </c>
      <c r="KT77" s="574">
        <f>KU77-IE77</f>
        <v>25.673266431606546</v>
      </c>
      <c r="KU77" s="574">
        <v>52</v>
      </c>
      <c r="KV77" s="574">
        <f>KW77-KU77</f>
        <v>71</v>
      </c>
      <c r="KW77" s="570">
        <v>123</v>
      </c>
      <c r="KX77" s="574">
        <f>KY77-HN77</f>
        <v>16.08234143879514</v>
      </c>
      <c r="KY77" s="574">
        <f>KZ77-HI77</f>
        <v>54.827188504443185</v>
      </c>
      <c r="KZ77" s="570">
        <v>129</v>
      </c>
      <c r="LA77" s="574">
        <v>57</v>
      </c>
      <c r="LB77" s="574">
        <f>LC77-LA77</f>
        <v>63</v>
      </c>
      <c r="LC77" s="570">
        <v>120</v>
      </c>
      <c r="LD77" s="570"/>
      <c r="LE77" s="574">
        <f>LF77-GR77</f>
        <v>20.857282439745351</v>
      </c>
      <c r="LF77" s="574">
        <f>LG77-GP77</f>
        <v>51.477809691466696</v>
      </c>
      <c r="LG77" s="570">
        <v>100</v>
      </c>
    </row>
    <row r="78" spans="1:323" s="498" customFormat="1" ht="12">
      <c r="A78" s="477"/>
      <c r="B78" s="2360" t="s">
        <v>1443</v>
      </c>
      <c r="C78" s="1676" t="s">
        <v>1444</v>
      </c>
      <c r="D78" s="480"/>
      <c r="E78" s="477"/>
      <c r="F78" s="477"/>
      <c r="G78" s="481"/>
      <c r="H78" s="477"/>
      <c r="I78" s="477"/>
      <c r="J78" s="481"/>
      <c r="K78" s="484"/>
      <c r="L78" s="484"/>
      <c r="M78" s="484"/>
      <c r="N78" s="484"/>
      <c r="O78" s="484"/>
      <c r="P78" s="484"/>
      <c r="Q78" s="484"/>
      <c r="R78" s="484"/>
      <c r="S78" s="485"/>
      <c r="T78" s="484"/>
      <c r="U78" s="484"/>
      <c r="V78" s="484"/>
      <c r="W78" s="484"/>
      <c r="X78" s="484"/>
      <c r="Y78" s="484"/>
      <c r="Z78" s="484"/>
      <c r="AA78" s="484"/>
      <c r="AB78" s="485"/>
      <c r="AC78" s="484"/>
      <c r="AD78" s="484"/>
      <c r="AE78" s="484"/>
      <c r="AF78" s="484"/>
      <c r="AG78" s="484"/>
      <c r="AH78" s="484"/>
      <c r="AI78" s="484"/>
      <c r="AJ78" s="484"/>
      <c r="AK78" s="480"/>
      <c r="AL78" s="484"/>
      <c r="AM78" s="484"/>
      <c r="AN78" s="484"/>
      <c r="AO78" s="484"/>
      <c r="AP78" s="484"/>
      <c r="AQ78" s="484"/>
      <c r="AR78" s="484"/>
      <c r="AS78" s="484"/>
      <c r="AT78" s="480"/>
      <c r="AU78" s="584"/>
      <c r="AV78" s="484"/>
      <c r="AW78" s="584"/>
      <c r="AX78" s="584"/>
      <c r="AY78" s="584"/>
      <c r="AZ78" s="584"/>
      <c r="BA78" s="584"/>
      <c r="BB78" s="625"/>
      <c r="BC78" s="507"/>
      <c r="BD78" s="508"/>
      <c r="BE78" s="584"/>
      <c r="BF78" s="480"/>
      <c r="BG78" s="484"/>
      <c r="BH78" s="484"/>
      <c r="BI78" s="484"/>
      <c r="BJ78" s="480"/>
      <c r="BK78" s="477"/>
      <c r="BL78" s="477"/>
      <c r="BM78" s="477"/>
      <c r="BN78" s="477"/>
      <c r="BO78" s="480"/>
      <c r="BP78" s="584"/>
      <c r="BQ78" s="508"/>
      <c r="BR78" s="484"/>
      <c r="BS78" s="508"/>
      <c r="BT78" s="484"/>
      <c r="BU78" s="484"/>
      <c r="BV78" s="484"/>
      <c r="BW78" s="508"/>
      <c r="BX78" s="484"/>
      <c r="BY78" s="584"/>
      <c r="BZ78" s="508"/>
      <c r="CA78" s="508"/>
      <c r="CB78" s="484"/>
      <c r="CC78" s="484"/>
      <c r="CD78" s="484"/>
      <c r="CE78" s="484"/>
      <c r="CF78" s="480"/>
      <c r="CG78" s="586"/>
      <c r="CH78" s="567"/>
      <c r="CI78" s="567"/>
      <c r="CJ78" s="567"/>
      <c r="CK78" s="567"/>
      <c r="CL78" s="567"/>
      <c r="CM78" s="567"/>
      <c r="CN78" s="567"/>
      <c r="CO78" s="567"/>
      <c r="CP78" s="567"/>
      <c r="CQ78" s="567"/>
      <c r="CR78" s="567"/>
      <c r="CS78" s="567"/>
      <c r="CT78" s="567"/>
      <c r="CU78" s="567"/>
      <c r="CV78" s="567"/>
      <c r="CW78" s="996"/>
      <c r="CX78" s="997"/>
      <c r="CY78" s="997"/>
      <c r="CZ78" s="997"/>
      <c r="DA78" s="567"/>
      <c r="DB78" s="567"/>
      <c r="DC78" s="567"/>
      <c r="DD78" s="567"/>
      <c r="DE78" s="567"/>
      <c r="DF78" s="567"/>
      <c r="DG78" s="567"/>
      <c r="DH78" s="567"/>
      <c r="DI78" s="567"/>
      <c r="DJ78" s="997"/>
      <c r="DK78" s="997"/>
      <c r="DL78" s="998"/>
      <c r="DM78" s="999"/>
      <c r="DN78" s="1000"/>
      <c r="DO78" s="1000"/>
      <c r="DP78" s="574"/>
      <c r="DQ78" s="574"/>
      <c r="DR78" s="574"/>
      <c r="DS78" s="570"/>
      <c r="DT78" s="999"/>
      <c r="DU78" s="1000"/>
      <c r="DV78" s="590"/>
      <c r="DW78" s="567"/>
      <c r="DX78" s="574"/>
      <c r="DY78" s="574"/>
      <c r="DZ78" s="497"/>
      <c r="EB78" s="567"/>
      <c r="EC78" s="574"/>
      <c r="ED78" s="998"/>
      <c r="EE78" s="480"/>
      <c r="EF78" s="477"/>
      <c r="EG78" s="509"/>
      <c r="EH78" s="477"/>
      <c r="EI78" s="477"/>
      <c r="EJ78" s="477"/>
      <c r="EK78" s="477"/>
      <c r="EL78" s="477"/>
      <c r="EM78" s="477"/>
      <c r="EN78" s="477"/>
      <c r="EO78" s="477"/>
      <c r="EP78" s="477"/>
      <c r="EQ78" s="477"/>
      <c r="ER78" s="751"/>
      <c r="ES78" s="734"/>
      <c r="ET78" s="751"/>
      <c r="EU78" s="481"/>
      <c r="EV78" s="570"/>
      <c r="EW78" s="477"/>
      <c r="EX78" s="477"/>
      <c r="EY78" s="477"/>
      <c r="EZ78" s="477"/>
      <c r="FA78" s="477"/>
      <c r="FB78" s="477"/>
      <c r="FC78" s="510"/>
      <c r="FD78" s="180"/>
      <c r="FE78" s="510"/>
      <c r="FF78" s="180"/>
      <c r="FG78" s="510"/>
      <c r="FH78" s="180"/>
      <c r="FI78" s="180"/>
      <c r="FJ78" s="477"/>
      <c r="FK78" s="481"/>
      <c r="FL78" s="998"/>
      <c r="FM78" s="1000"/>
      <c r="FN78" s="574"/>
      <c r="FO78" s="1001"/>
      <c r="FP78" s="1001"/>
      <c r="FQ78" s="570"/>
      <c r="FR78" s="570"/>
      <c r="FS78" s="592"/>
      <c r="FT78" s="756"/>
      <c r="FU78" s="574"/>
      <c r="FV78" s="592"/>
      <c r="FW78" s="574"/>
      <c r="FX78" s="574"/>
      <c r="FY78" s="592"/>
      <c r="FZ78" s="592"/>
      <c r="GA78" s="592"/>
      <c r="GB78" s="592"/>
      <c r="GC78" s="477"/>
      <c r="GD78" s="594"/>
      <c r="GE78" s="510"/>
      <c r="GF78" s="477"/>
      <c r="GG78" s="477"/>
      <c r="GH78" s="574"/>
      <c r="GI78" s="574"/>
      <c r="GJ78" s="1002"/>
      <c r="GK78" s="574"/>
      <c r="GL78" s="574"/>
      <c r="GM78" s="574"/>
      <c r="GN78" s="574"/>
      <c r="GO78" s="574"/>
      <c r="GP78" s="574"/>
      <c r="GQ78" s="574"/>
      <c r="GR78" s="592"/>
      <c r="GS78" s="592"/>
      <c r="GT78" s="592"/>
      <c r="GU78" s="477"/>
      <c r="GV78" s="481"/>
      <c r="GW78" s="592"/>
      <c r="GX78" s="574"/>
      <c r="GY78" s="574"/>
      <c r="GZ78" s="574"/>
      <c r="HA78" s="1002"/>
      <c r="HB78" s="574"/>
      <c r="HC78" s="574"/>
      <c r="HD78" s="574"/>
      <c r="HE78" s="574"/>
      <c r="HF78" s="574"/>
      <c r="HG78" s="574"/>
      <c r="HH78" s="574"/>
      <c r="HI78" s="574"/>
      <c r="HJ78" s="574"/>
      <c r="HK78" s="574"/>
      <c r="HL78" s="574"/>
      <c r="HM78" s="574"/>
      <c r="HN78" s="592"/>
      <c r="HO78" s="592"/>
      <c r="HP78" s="592"/>
      <c r="HQ78" s="592"/>
      <c r="HR78" s="592"/>
      <c r="HS78" s="592"/>
      <c r="HT78" s="477"/>
      <c r="HU78" s="477"/>
      <c r="HV78" s="477"/>
      <c r="HW78" s="574"/>
      <c r="HX78" s="574"/>
      <c r="HY78" s="574"/>
      <c r="HZ78" s="477"/>
      <c r="IA78" s="574"/>
      <c r="IB78" s="574"/>
      <c r="IC78" s="1002"/>
      <c r="ID78" s="574"/>
      <c r="IE78" s="575"/>
      <c r="IF78" s="574"/>
      <c r="IG78" s="574"/>
      <c r="IH78" s="574"/>
      <c r="II78" s="574"/>
      <c r="IJ78" s="574"/>
      <c r="IK78" s="574"/>
      <c r="IL78" s="574"/>
      <c r="IM78" s="574"/>
      <c r="IN78" s="574"/>
      <c r="IO78" s="574"/>
      <c r="IP78" s="570"/>
      <c r="IQ78" s="574"/>
      <c r="IR78" s="1003"/>
      <c r="IS78" s="1293"/>
      <c r="IT78" s="574"/>
      <c r="IU78" s="1004"/>
      <c r="IV78" s="574"/>
      <c r="IW78" s="574"/>
      <c r="IX78" s="574"/>
      <c r="IY78" s="574"/>
      <c r="IZ78" s="574"/>
      <c r="JA78" s="574"/>
      <c r="JB78" s="574"/>
      <c r="JC78" s="574"/>
      <c r="JD78" s="574"/>
      <c r="JE78" s="574"/>
      <c r="JF78" s="574"/>
      <c r="JG78" s="574"/>
      <c r="JH78" s="570"/>
      <c r="JI78" s="1293"/>
      <c r="JJ78" s="1671">
        <f>+JJ77/IU77-1</f>
        <v>0.68867407444317141</v>
      </c>
      <c r="JK78" s="1670">
        <f>+JK77/IV77-1</f>
        <v>0.79309871842472646</v>
      </c>
      <c r="JL78" s="1670">
        <f>+JL77/IU77-1</f>
        <v>0.34042553191489366</v>
      </c>
      <c r="JM78" s="1670">
        <f t="shared" ref="JM78" si="161">+JM77/IV77-1</f>
        <v>1.7339819477865701</v>
      </c>
      <c r="JN78" s="1670">
        <f>+JN77/IZ77-1</f>
        <v>0.32213918070929948</v>
      </c>
      <c r="JO78" s="1670">
        <f>+JO77/JB77-1</f>
        <v>-1</v>
      </c>
      <c r="JP78" s="1670">
        <f>+JP77/IX77-1</f>
        <v>0.86842105263157898</v>
      </c>
      <c r="JQ78" s="1670">
        <f>+JQ77/JC77-1</f>
        <v>-1</v>
      </c>
      <c r="JR78" s="1670">
        <f>+JR77/JD77-1</f>
        <v>-1</v>
      </c>
      <c r="JS78" s="1670">
        <f>+JS77/JA77-1</f>
        <v>0.62741434443057331</v>
      </c>
      <c r="JT78" s="1670">
        <f>+JT77/IZ77-1</f>
        <v>0.11034178085164092</v>
      </c>
      <c r="JU78" s="1670">
        <f>+JU77/JB77-1</f>
        <v>-7.5963010073808679E-2</v>
      </c>
      <c r="JV78" s="1670">
        <f>+JV77/IX77-1</f>
        <v>0.51069251765406731</v>
      </c>
      <c r="JW78" s="1670">
        <f>+JW77/JC77-1</f>
        <v>0.1230880853177454</v>
      </c>
      <c r="JX78" s="1670">
        <f>+JX77/JD77-1</f>
        <v>0.4120947461129052</v>
      </c>
      <c r="JY78" s="1670">
        <f>+JY77/JA77-1</f>
        <v>0.53397431508160631</v>
      </c>
      <c r="JZ78" s="1029"/>
      <c r="KA78" s="1030"/>
      <c r="KB78" s="1029"/>
      <c r="KC78" s="1029"/>
      <c r="KD78" s="1029"/>
      <c r="KE78" s="1029"/>
      <c r="KF78" s="495">
        <f>+KF77/JB77-1</f>
        <v>-0.27213918070929943</v>
      </c>
      <c r="KG78" s="495">
        <f>+KG77/JD77-1</f>
        <v>0.3520408163265305</v>
      </c>
      <c r="KH78" s="1029"/>
      <c r="KI78" s="1003"/>
      <c r="KJ78" s="1004"/>
      <c r="KK78" s="981"/>
      <c r="KL78" s="1001"/>
      <c r="KM78" s="579"/>
      <c r="KN78" s="1004"/>
      <c r="KO78" s="579"/>
      <c r="KP78" s="1001"/>
      <c r="KQ78" s="570"/>
      <c r="KR78" s="574"/>
      <c r="KS78" s="570"/>
      <c r="KT78" s="574"/>
      <c r="KU78" s="574"/>
      <c r="KV78" s="574"/>
      <c r="KW78" s="570"/>
      <c r="KX78" s="574"/>
      <c r="KY78" s="574"/>
      <c r="KZ78" s="570"/>
      <c r="LA78" s="574"/>
      <c r="LB78" s="574"/>
      <c r="LC78" s="570"/>
      <c r="LD78" s="570"/>
      <c r="LE78" s="574"/>
      <c r="LF78" s="574"/>
      <c r="LG78" s="570"/>
    </row>
    <row r="79" spans="1:323" s="1019" customFormat="1" ht="12">
      <c r="A79" s="1007"/>
      <c r="B79" s="863" t="s">
        <v>1074</v>
      </c>
      <c r="C79" s="1008" t="s">
        <v>944</v>
      </c>
      <c r="D79" s="1009"/>
      <c r="E79" s="1007"/>
      <c r="F79" s="1007"/>
      <c r="G79" s="1008"/>
      <c r="H79" s="1007"/>
      <c r="I79" s="1007"/>
      <c r="J79" s="1008"/>
      <c r="K79" s="1010"/>
      <c r="L79" s="1010"/>
      <c r="M79" s="1010"/>
      <c r="N79" s="1010"/>
      <c r="O79" s="1010"/>
      <c r="P79" s="1010"/>
      <c r="Q79" s="1010"/>
      <c r="R79" s="1010"/>
      <c r="S79" s="1011"/>
      <c r="T79" s="1010"/>
      <c r="U79" s="1010"/>
      <c r="V79" s="1010"/>
      <c r="W79" s="1010"/>
      <c r="X79" s="1010"/>
      <c r="Y79" s="1010"/>
      <c r="Z79" s="1010"/>
      <c r="AA79" s="1010"/>
      <c r="AB79" s="1011"/>
      <c r="AC79" s="1010"/>
      <c r="AD79" s="1010"/>
      <c r="AE79" s="1010"/>
      <c r="AF79" s="1010"/>
      <c r="AG79" s="1010"/>
      <c r="AH79" s="1010"/>
      <c r="AI79" s="1010"/>
      <c r="AJ79" s="1010"/>
      <c r="AK79" s="1009"/>
      <c r="AL79" s="1010"/>
      <c r="AM79" s="1010"/>
      <c r="AN79" s="1010"/>
      <c r="AO79" s="1010"/>
      <c r="AP79" s="1010"/>
      <c r="AQ79" s="1010"/>
      <c r="AR79" s="1010"/>
      <c r="AS79" s="1010"/>
      <c r="AT79" s="1009"/>
      <c r="AU79" s="1695">
        <f>AU77/AU18</f>
        <v>0.20348837209302326</v>
      </c>
      <c r="AV79" s="1695">
        <f>AV77/AV18</f>
        <v>0.2</v>
      </c>
      <c r="AW79" s="1695">
        <f>AW77/AW18</f>
        <v>0.16860622659221339</v>
      </c>
      <c r="AX79" s="709"/>
      <c r="AY79" s="1695">
        <f>AY77/AY18</f>
        <v>0.17510990010822408</v>
      </c>
      <c r="AZ79" s="709"/>
      <c r="BA79" s="1695">
        <f>BA77/BA18</f>
        <v>0.18998888958696378</v>
      </c>
      <c r="BB79" s="1695">
        <f>BB77/BB18</f>
        <v>0.20163487738419619</v>
      </c>
      <c r="BC79" s="1695">
        <f>BC77/BC18</f>
        <v>0.171875</v>
      </c>
      <c r="BD79" s="1014"/>
      <c r="BE79" s="1695">
        <f>BE77/BE18</f>
        <v>0.18641810918774968</v>
      </c>
      <c r="BF79" s="1009"/>
      <c r="BG79" s="1010"/>
      <c r="BH79" s="1010"/>
      <c r="BI79" s="1010"/>
      <c r="BJ79" s="1009"/>
      <c r="BK79" s="1007"/>
      <c r="BL79" s="1007"/>
      <c r="BM79" s="1007"/>
      <c r="BN79" s="1007"/>
      <c r="BO79" s="1009"/>
      <c r="BP79" s="1695">
        <f>BP77/BP18</f>
        <v>0.17945655419528217</v>
      </c>
      <c r="BQ79" s="1014"/>
      <c r="BR79" s="1695">
        <f>BR77/BR18</f>
        <v>0.17526250457446474</v>
      </c>
      <c r="BS79" s="1695" t="e">
        <f>BS77/BS18</f>
        <v>#DIV/0!</v>
      </c>
      <c r="BT79" s="1695">
        <f>BT77/BT18</f>
        <v>0.17522210099467489</v>
      </c>
      <c r="BU79" s="1695">
        <f>BU77/BU18</f>
        <v>0.18504811250925243</v>
      </c>
      <c r="BV79" s="1695">
        <f>BV77/BV18</f>
        <v>0.16889423623574387</v>
      </c>
      <c r="BW79" s="1014"/>
      <c r="BX79" s="1695">
        <f>BX77/BX18</f>
        <v>0.17662243330074032</v>
      </c>
      <c r="BY79" s="1695">
        <f>BY77/BY18</f>
        <v>0.17733102646283005</v>
      </c>
      <c r="BZ79" s="1014"/>
      <c r="CA79" s="1014"/>
      <c r="CB79" s="1695"/>
      <c r="CC79" s="1695">
        <f>CC77/CC18</f>
        <v>0.17199998789538423</v>
      </c>
      <c r="CD79" s="1695"/>
      <c r="CE79" s="1750">
        <f>CE77/CE18</f>
        <v>0.17462482946793997</v>
      </c>
      <c r="CF79" s="1009"/>
      <c r="CG79" s="1751">
        <f>CG77/CG18</f>
        <v>0.12527910204574255</v>
      </c>
      <c r="CH79" s="1750">
        <v>0.14784446322907863</v>
      </c>
      <c r="CI79" s="1750"/>
      <c r="CJ79" s="1682">
        <f>CJ77/CJ18</f>
        <v>0.14205278837770793</v>
      </c>
      <c r="CK79" s="1007">
        <v>0.14443668772747023</v>
      </c>
      <c r="CL79" s="1682">
        <f>CL77/CL18</f>
        <v>0.13607644077862799</v>
      </c>
      <c r="CM79" s="1682">
        <v>0.14313778114871847</v>
      </c>
      <c r="CN79" s="1682">
        <v>0.14313778114871847</v>
      </c>
      <c r="CO79" s="1682">
        <v>0.14313778114871847</v>
      </c>
      <c r="CP79" s="1682">
        <f>CP77/CP18</f>
        <v>0.13491434872416097</v>
      </c>
      <c r="CQ79" s="1682">
        <v>0.14313778114871847</v>
      </c>
      <c r="CR79" s="1682">
        <f>CR77/CR18</f>
        <v>0.13432835820895522</v>
      </c>
      <c r="CS79" s="1682">
        <v>0.13541225023829867</v>
      </c>
      <c r="CT79" s="1682">
        <v>0.14185184913860324</v>
      </c>
      <c r="CU79" s="1682">
        <f>CU77/CU18</f>
        <v>0.14762450429429538</v>
      </c>
      <c r="CV79" s="1682">
        <v>0.13809074731073739</v>
      </c>
      <c r="CW79" s="1683">
        <f>CW77/CW18</f>
        <v>0.14103259922133768</v>
      </c>
      <c r="CX79" s="704"/>
      <c r="CY79" s="1682">
        <f t="shared" ref="CY79:DK79" si="162">CY77/CY18</f>
        <v>0.13236075362915681</v>
      </c>
      <c r="CZ79" s="1682">
        <f t="shared" si="162"/>
        <v>0.14554202126378765</v>
      </c>
      <c r="DA79" s="1682" t="e">
        <f t="shared" si="162"/>
        <v>#REF!</v>
      </c>
      <c r="DB79" s="1682">
        <f t="shared" si="162"/>
        <v>0.13934188731489036</v>
      </c>
      <c r="DC79" s="1682">
        <f t="shared" si="162"/>
        <v>0.17432537496116396</v>
      </c>
      <c r="DD79" s="1682">
        <f t="shared" si="162"/>
        <v>0.1604388963207998</v>
      </c>
      <c r="DE79" s="1682">
        <f t="shared" si="162"/>
        <v>0.17370155690950734</v>
      </c>
      <c r="DF79" s="1682">
        <f t="shared" si="162"/>
        <v>0.14576484452546207</v>
      </c>
      <c r="DG79" s="1682">
        <f t="shared" si="162"/>
        <v>0.15116064302816098</v>
      </c>
      <c r="DH79" s="1682">
        <f t="shared" si="162"/>
        <v>0.14651222899953406</v>
      </c>
      <c r="DI79" s="1682">
        <f t="shared" si="162"/>
        <v>0.17400873261386288</v>
      </c>
      <c r="DJ79" s="1682">
        <f t="shared" si="162"/>
        <v>0.15992694042130656</v>
      </c>
      <c r="DK79" s="1682">
        <f t="shared" si="162"/>
        <v>0.15698290797197009</v>
      </c>
      <c r="DL79" s="1752">
        <v>0.14978114142928559</v>
      </c>
      <c r="DM79" s="1753"/>
      <c r="DN79" s="1754"/>
      <c r="DO79" s="1754"/>
      <c r="DP79" s="1641"/>
      <c r="DQ79" s="1641">
        <f>DQ77/DQ18</f>
        <v>0.12460532085637512</v>
      </c>
      <c r="DR79" s="1641">
        <f>DR77/DR18</f>
        <v>0.14806685013595569</v>
      </c>
      <c r="DS79" s="1274">
        <f>DS77/DS18</f>
        <v>0.14387464387464388</v>
      </c>
      <c r="DT79" s="1753"/>
      <c r="DU79" s="1754"/>
      <c r="DV79" s="1754"/>
      <c r="DW79" s="662">
        <f>DW77/DW18</f>
        <v>0.15277777777777779</v>
      </c>
      <c r="DX79" s="662">
        <f>DX77/DX18</f>
        <v>0.14187986083117626</v>
      </c>
      <c r="DY79" s="662">
        <f>DY77/DY18</f>
        <v>0.14071038251366119</v>
      </c>
      <c r="DZ79" s="1020"/>
      <c r="EB79" s="662">
        <f>EB77/EB18</f>
        <v>0.16806960040723642</v>
      </c>
      <c r="EC79" s="662">
        <f>EC77/EC18</f>
        <v>0.15326703170341827</v>
      </c>
      <c r="ED79" s="1274">
        <f>ED77/ED18</f>
        <v>0.14420485175202155</v>
      </c>
      <c r="EE79" s="1009"/>
      <c r="EF79" s="1007"/>
      <c r="EG79" s="1681">
        <f>EG77/EG18</f>
        <v>0.16183590066016976</v>
      </c>
      <c r="EH79" s="1007"/>
      <c r="EI79" s="1682">
        <f t="shared" ref="EI79:EQ79" si="163">EI77/EI18</f>
        <v>0.16114474198858225</v>
      </c>
      <c r="EJ79" s="1682">
        <f t="shared" si="163"/>
        <v>0.1657142857142857</v>
      </c>
      <c r="EK79" s="1682">
        <f t="shared" si="163"/>
        <v>0.16147629144771211</v>
      </c>
      <c r="EL79" s="1682">
        <f t="shared" si="163"/>
        <v>0.16389588185007223</v>
      </c>
      <c r="EM79" s="1755">
        <f t="shared" si="163"/>
        <v>0.16999744243177589</v>
      </c>
      <c r="EN79" s="1682">
        <f t="shared" si="163"/>
        <v>0.16948300343446496</v>
      </c>
      <c r="EO79" s="1682">
        <f t="shared" si="163"/>
        <v>0.16435978835978834</v>
      </c>
      <c r="EP79" s="1682">
        <f t="shared" si="163"/>
        <v>0.16419114133520807</v>
      </c>
      <c r="EQ79" s="1682">
        <f t="shared" si="163"/>
        <v>0.1522007089431808</v>
      </c>
      <c r="ER79" s="1682"/>
      <c r="ES79" s="1682">
        <f>ES77/ES18</f>
        <v>0.16111129045126998</v>
      </c>
      <c r="ET79" s="1682"/>
      <c r="EU79" s="1683">
        <f>EU77/EU18</f>
        <v>0.16129184637502567</v>
      </c>
      <c r="EV79" s="1274"/>
      <c r="EW79" s="1682">
        <v>0.16353943645659261</v>
      </c>
      <c r="EX79" s="1682">
        <f>EX77/EX18</f>
        <v>0.14572087795065963</v>
      </c>
      <c r="EY79" s="1682">
        <v>0.17020313441636375</v>
      </c>
      <c r="EZ79" s="1682">
        <f>EZ77/EZ18</f>
        <v>0.15154553096008172</v>
      </c>
      <c r="FA79" s="1682">
        <v>0.15868835486036145</v>
      </c>
      <c r="FB79" s="1682">
        <f>FB77/FB18</f>
        <v>0.14887379739671761</v>
      </c>
      <c r="FC79" s="704">
        <f>FC77/FC18</f>
        <v>0.14218540821335809</v>
      </c>
      <c r="FD79" s="662">
        <v>0.19574139489240844</v>
      </c>
      <c r="FE79" s="704">
        <f>FE77/FE18</f>
        <v>0.14654492560593049</v>
      </c>
      <c r="FF79" s="1670">
        <v>0.16330619997286663</v>
      </c>
      <c r="FG79" s="1682">
        <f t="shared" ref="FG79:FQ79" si="164">FG77/FG18</f>
        <v>0.10926848136150462</v>
      </c>
      <c r="FH79" s="1682">
        <f t="shared" si="164"/>
        <v>0.10496338349493141</v>
      </c>
      <c r="FI79" s="1682">
        <f t="shared" si="164"/>
        <v>0.12539633576646667</v>
      </c>
      <c r="FJ79" s="1682">
        <f t="shared" si="164"/>
        <v>0.12312237749774924</v>
      </c>
      <c r="FK79" s="1683">
        <f t="shared" si="164"/>
        <v>0.13662790697674418</v>
      </c>
      <c r="FL79" s="1752">
        <f t="shared" si="164"/>
        <v>0.13541420614606445</v>
      </c>
      <c r="FM79" s="1641">
        <f t="shared" si="164"/>
        <v>0.16966978344219316</v>
      </c>
      <c r="FN79" s="1641">
        <f t="shared" si="164"/>
        <v>0.15822784810126583</v>
      </c>
      <c r="FO79" s="1756">
        <f t="shared" si="164"/>
        <v>0.18124902985460753</v>
      </c>
      <c r="FP79" s="1641">
        <f t="shared" si="164"/>
        <v>0.16144741727707079</v>
      </c>
      <c r="FQ79" s="1274">
        <f t="shared" si="164"/>
        <v>0.15532544378698224</v>
      </c>
      <c r="FR79" s="1274"/>
      <c r="FS79" s="1682">
        <f>FS77/FS18</f>
        <v>0.12395256916996047</v>
      </c>
      <c r="FT79" s="662"/>
      <c r="FU79" s="662"/>
      <c r="FV79" s="1682">
        <f>FV77/FV18</f>
        <v>9.9834832079280594E-2</v>
      </c>
      <c r="FW79" s="662"/>
      <c r="FX79" s="662"/>
      <c r="FY79" s="1682">
        <f t="shared" ref="FY79:GD79" si="165">FY77/FY18</f>
        <v>0.11105933138750583</v>
      </c>
      <c r="FZ79" s="704">
        <f t="shared" si="165"/>
        <v>0.10487092892083949</v>
      </c>
      <c r="GA79" s="704">
        <f t="shared" si="165"/>
        <v>0.11055833754709903</v>
      </c>
      <c r="GB79" s="1682">
        <f t="shared" si="165"/>
        <v>0.12473864495751591</v>
      </c>
      <c r="GC79" s="704">
        <f t="shared" si="165"/>
        <v>0.11735827948620872</v>
      </c>
      <c r="GD79" s="1683">
        <f t="shared" si="165"/>
        <v>0.11436278137158952</v>
      </c>
      <c r="GE79" s="704">
        <v>0.10938751271199199</v>
      </c>
      <c r="GF79" s="1682"/>
      <c r="GG79" s="704">
        <f>GG77/GG18</f>
        <v>0.12645043211619528</v>
      </c>
      <c r="GH79" s="1682">
        <f>GH77/GH18</f>
        <v>0.11593453593876013</v>
      </c>
      <c r="GI79" s="1682">
        <f>GI77/GI18</f>
        <v>0.11361827108235902</v>
      </c>
      <c r="GJ79" s="1737"/>
      <c r="GK79" s="662"/>
      <c r="GL79" s="662">
        <f>GL77/GL18</f>
        <v>0.13278680228733361</v>
      </c>
      <c r="GM79" s="662"/>
      <c r="GN79" s="662"/>
      <c r="GO79" s="662">
        <f>GO77/GO18</f>
        <v>0.11824064437304854</v>
      </c>
      <c r="GP79" s="662">
        <f>GP77/GP18</f>
        <v>0.12510750119445771</v>
      </c>
      <c r="GQ79" s="662"/>
      <c r="GR79" s="704">
        <f>GR77/GR18</f>
        <v>0.14545684850532006</v>
      </c>
      <c r="GS79" s="704">
        <f>GS77/GS18</f>
        <v>0.13246063712925668</v>
      </c>
      <c r="GT79" s="1682">
        <f>GT77/GT18</f>
        <v>0.14973558512453089</v>
      </c>
      <c r="GU79" s="704">
        <f>GU77/GU18</f>
        <v>0.147749464549353</v>
      </c>
      <c r="GV79" s="1696">
        <f>GV77/GV18</f>
        <v>0.13701231571377204</v>
      </c>
      <c r="GW79" s="704">
        <v>0.14131125637235364</v>
      </c>
      <c r="GX79" s="704">
        <f>GX77/GX18</f>
        <v>0.15271303528283728</v>
      </c>
      <c r="GY79" s="662">
        <f>GY77/GY18</f>
        <v>0.1491487403005238</v>
      </c>
      <c r="GZ79" s="662">
        <f>GZ77/GZ18</f>
        <v>0.13772764098780166</v>
      </c>
      <c r="HA79" s="1689"/>
      <c r="HB79" s="662"/>
      <c r="HC79" s="662"/>
      <c r="HD79" s="662">
        <f t="shared" ref="HD79:HI79" si="166">HD77/HD18</f>
        <v>0.19419812515834808</v>
      </c>
      <c r="HE79" s="662">
        <f t="shared" si="166"/>
        <v>0.19419812515834808</v>
      </c>
      <c r="HF79" s="662">
        <f t="shared" si="166"/>
        <v>0.15562691717791413</v>
      </c>
      <c r="HG79" s="662">
        <f t="shared" si="166"/>
        <v>0.15600516956690777</v>
      </c>
      <c r="HH79" s="662">
        <f t="shared" si="166"/>
        <v>0.15638795591906571</v>
      </c>
      <c r="HI79" s="662">
        <f t="shared" si="166"/>
        <v>0.17613253715260629</v>
      </c>
      <c r="HJ79" s="662">
        <f>HI77/HI18</f>
        <v>0.17613253715260629</v>
      </c>
      <c r="HK79" s="662">
        <f t="shared" ref="HK79:HR79" si="167">HK77/HK18</f>
        <v>0.18232930053641835</v>
      </c>
      <c r="HL79" s="662">
        <f t="shared" si="167"/>
        <v>0.17633278350515466</v>
      </c>
      <c r="HM79" s="662">
        <f t="shared" si="167"/>
        <v>0.17613253715260629</v>
      </c>
      <c r="HN79" s="704">
        <f t="shared" si="167"/>
        <v>0.18030864487077256</v>
      </c>
      <c r="HO79" s="704">
        <f t="shared" si="167"/>
        <v>0.18030864487077256</v>
      </c>
      <c r="HP79" s="704">
        <f t="shared" si="167"/>
        <v>0.1775894023638076</v>
      </c>
      <c r="HQ79" s="704">
        <f t="shared" si="167"/>
        <v>0.17748424808320049</v>
      </c>
      <c r="HR79" s="1682">
        <f t="shared" si="167"/>
        <v>0.15683974837402706</v>
      </c>
      <c r="HS79" s="1682"/>
      <c r="HT79" s="704">
        <f t="shared" ref="HT79:HZ79" si="168">HT77/HT18</f>
        <v>0.16655440525591786</v>
      </c>
      <c r="HU79" s="662">
        <f t="shared" si="168"/>
        <v>0.16656406641475927</v>
      </c>
      <c r="HV79" s="704">
        <f t="shared" si="168"/>
        <v>0.17130486585391799</v>
      </c>
      <c r="HW79" s="662">
        <f t="shared" si="168"/>
        <v>0.15505608152959063</v>
      </c>
      <c r="HX79" s="704">
        <f t="shared" si="168"/>
        <v>0.15034668838773046</v>
      </c>
      <c r="HY79" s="662">
        <f t="shared" si="168"/>
        <v>0.16541615015403019</v>
      </c>
      <c r="HZ79" s="704">
        <f t="shared" si="168"/>
        <v>0.17130851063829788</v>
      </c>
      <c r="IA79" s="662">
        <v>0.17236815879758491</v>
      </c>
      <c r="IB79" s="662">
        <f>IB77/IB18</f>
        <v>0.17073569846648415</v>
      </c>
      <c r="IC79" s="1689"/>
      <c r="ID79" s="662">
        <f>ID77/ID18</f>
        <v>0.14535420785894196</v>
      </c>
      <c r="IE79" s="1288">
        <f>IE77/IE18</f>
        <v>0.12053479034728258</v>
      </c>
      <c r="IF79" s="662">
        <f>IF77/IF18</f>
        <v>6.9539364454226038E-2</v>
      </c>
      <c r="IG79" s="662">
        <f>IG77/IG18</f>
        <v>9.418154677153931E-2</v>
      </c>
      <c r="IH79" s="662">
        <f>IH77/IH18</f>
        <v>0.1053201937078804</v>
      </c>
      <c r="II79" s="662"/>
      <c r="IJ79" s="662">
        <f>IJ77/IJ18</f>
        <v>9.8295046472460554E-2</v>
      </c>
      <c r="IK79" s="662">
        <f>IK77/IK18</f>
        <v>9.8294947667332599E-2</v>
      </c>
      <c r="IL79" s="662"/>
      <c r="IM79" s="662">
        <f>IM77/IM18</f>
        <v>6.4542224019876929E-2</v>
      </c>
      <c r="IN79" s="662">
        <f>IN77/IN18</f>
        <v>8.3315144523089399E-2</v>
      </c>
      <c r="IO79" s="662">
        <f>IO77/IO18</f>
        <v>8.2100511508481328E-2</v>
      </c>
      <c r="IP79" s="1274">
        <f>IP77/IP18</f>
        <v>8.7888531618435156E-2</v>
      </c>
      <c r="IQ79" s="662">
        <v>9.4132756606684284E-2</v>
      </c>
      <c r="IR79" s="1274">
        <f>IR77/IR18</f>
        <v>8.7888531618435156E-2</v>
      </c>
      <c r="IS79" s="1288"/>
      <c r="IT79" s="662">
        <f>IT77/IT18</f>
        <v>0.10901170665748627</v>
      </c>
      <c r="IU79" s="662">
        <f>IU77/IU18</f>
        <v>0.15437692307692305</v>
      </c>
      <c r="IV79" s="662">
        <f>IV77/IV18</f>
        <v>9.4260476427342102E-2</v>
      </c>
      <c r="IW79" s="662">
        <v>8.1339177301150672E-2</v>
      </c>
      <c r="IX79" s="1266">
        <f>IX77/IX18</f>
        <v>0.12438625204582651</v>
      </c>
      <c r="IY79" s="662">
        <v>0.11844157187139845</v>
      </c>
      <c r="IZ79" s="1266">
        <f>IZ77/IZ18</f>
        <v>0.16666666666666666</v>
      </c>
      <c r="JA79" s="1266">
        <f>JA77/JA18</f>
        <v>0.1400617919670443</v>
      </c>
      <c r="JB79" s="1266">
        <f>JB77/JB18</f>
        <v>0.16438356164383561</v>
      </c>
      <c r="JC79" s="1266">
        <f>JC77/JC18</f>
        <v>0.16551724137931034</v>
      </c>
      <c r="JD79" s="1266">
        <f>JD77/JD18</f>
        <v>0.1467065868263473</v>
      </c>
      <c r="JE79" s="662">
        <v>0.128</v>
      </c>
      <c r="JF79" s="662">
        <f>JF77/JF18</f>
        <v>0.16438356164383561</v>
      </c>
      <c r="JG79" s="662">
        <f>JG77/JG18</f>
        <v>0.16551724137931034</v>
      </c>
      <c r="JH79" s="1274">
        <f>JH77/JH18</f>
        <v>0.1467065868263473</v>
      </c>
      <c r="JI79" s="1288"/>
      <c r="JJ79" s="1288">
        <f t="shared" ref="JJ79:JY79" si="169">JJ77/JJ18</f>
        <v>0.20855384615384617</v>
      </c>
      <c r="JK79" s="662">
        <f t="shared" si="169"/>
        <v>0.14323588091522987</v>
      </c>
      <c r="JL79" s="662">
        <f t="shared" si="169"/>
        <v>0.19266055045871561</v>
      </c>
      <c r="JM79" s="662">
        <f t="shared" si="169"/>
        <v>0.20680628272251309</v>
      </c>
      <c r="JN79" s="662">
        <f t="shared" si="169"/>
        <v>0.21078025191027178</v>
      </c>
      <c r="JO79" s="662" t="e">
        <f t="shared" si="169"/>
        <v>#DIV/0!</v>
      </c>
      <c r="JP79" s="662">
        <f t="shared" si="169"/>
        <v>0.2002820874471086</v>
      </c>
      <c r="JQ79" s="662" t="e">
        <f t="shared" si="169"/>
        <v>#DIV/0!</v>
      </c>
      <c r="JR79" s="662" t="e">
        <f t="shared" si="169"/>
        <v>#DIV/0!</v>
      </c>
      <c r="JS79" s="662">
        <f t="shared" si="169"/>
        <v>0.20392240931296124</v>
      </c>
      <c r="JT79" s="662">
        <f t="shared" si="169"/>
        <v>0.17624472711930808</v>
      </c>
      <c r="JU79" s="662">
        <f t="shared" si="169"/>
        <v>0.1449301962882161</v>
      </c>
      <c r="JV79" s="662">
        <f t="shared" si="169"/>
        <v>0.16670208781737852</v>
      </c>
      <c r="JW79" s="662">
        <f t="shared" si="169"/>
        <v>0.17758673110835344</v>
      </c>
      <c r="JX79" s="662">
        <f t="shared" si="169"/>
        <v>0.18854865470272458</v>
      </c>
      <c r="JY79" s="662">
        <f t="shared" si="169"/>
        <v>0.19192318937543557</v>
      </c>
      <c r="JZ79" s="662"/>
      <c r="KA79" s="1274"/>
      <c r="KB79" s="662"/>
      <c r="KC79" s="1266">
        <f>KC77/KC18</f>
        <v>0.17162162162162162</v>
      </c>
      <c r="KD79" s="1266">
        <f>KD77/KD18</f>
        <v>0.1618421052631579</v>
      </c>
      <c r="KE79" s="1266">
        <f>KE77/KE18</f>
        <v>0.15549936788874841</v>
      </c>
      <c r="KF79" s="1266"/>
      <c r="KG79" s="1266">
        <f>KG77/KG18</f>
        <v>0.17666666666666667</v>
      </c>
      <c r="KH79" s="1266">
        <f>KH77/KH18</f>
        <v>0.16666666666666666</v>
      </c>
      <c r="KI79" s="1274"/>
      <c r="KJ79" s="662"/>
      <c r="KK79" s="1266">
        <f>KK77/KK18</f>
        <v>9.7719869706840393E-2</v>
      </c>
      <c r="KL79" s="1266">
        <f>KL77/KL18</f>
        <v>0.13493253373313344</v>
      </c>
      <c r="KM79" s="662">
        <f>KM77/KM18</f>
        <v>0.12989045383411579</v>
      </c>
      <c r="KN79" s="662"/>
      <c r="KO79" s="662">
        <v>9.7200058029885392E-2</v>
      </c>
      <c r="KP79" s="662">
        <v>0.13871374527112232</v>
      </c>
      <c r="KQ79" s="1274">
        <v>0.11934156378600823</v>
      </c>
      <c r="KR79" s="662">
        <v>0.11154001573831855</v>
      </c>
      <c r="KS79" s="1274">
        <v>0.10372608257804633</v>
      </c>
      <c r="KT79" s="662">
        <f t="shared" ref="KT79:LG79" si="170">KT77/KT18</f>
        <v>0.11534195152642099</v>
      </c>
      <c r="KU79" s="662">
        <f t="shared" si="170"/>
        <v>0.11791383219954649</v>
      </c>
      <c r="KV79" s="662">
        <f t="shared" si="170"/>
        <v>0.14460285132382891</v>
      </c>
      <c r="KW79" s="1274">
        <f t="shared" si="170"/>
        <v>0.13197424892703863</v>
      </c>
      <c r="KX79" s="662">
        <f t="shared" si="170"/>
        <v>7.4827368403837441E-2</v>
      </c>
      <c r="KY79" s="662">
        <f t="shared" si="170"/>
        <v>0.12756245654466383</v>
      </c>
      <c r="KZ79" s="1274">
        <f t="shared" si="170"/>
        <v>0.15159956474428726</v>
      </c>
      <c r="LA79" s="662">
        <f t="shared" si="170"/>
        <v>0.13411764705882354</v>
      </c>
      <c r="LB79" s="662">
        <f t="shared" si="170"/>
        <v>0.13968957871396895</v>
      </c>
      <c r="LC79" s="1274">
        <f t="shared" si="170"/>
        <v>0.13698630136986301</v>
      </c>
      <c r="LD79" s="1274" t="e">
        <f t="shared" si="170"/>
        <v>#DIV/0!</v>
      </c>
      <c r="LE79" s="662">
        <f t="shared" si="170"/>
        <v>0.10343655914748758</v>
      </c>
      <c r="LF79" s="662">
        <f t="shared" si="170"/>
        <v>0.1248988400323712</v>
      </c>
      <c r="LG79" s="1274">
        <f t="shared" si="170"/>
        <v>0.125</v>
      </c>
      <c r="LI79" s="1757"/>
      <c r="LJ79" s="1699"/>
      <c r="LK79" s="1699"/>
    </row>
    <row r="80" spans="1:323" s="1019" customFormat="1" ht="12" outlineLevel="1">
      <c r="A80" s="1007"/>
      <c r="B80" s="863" t="s">
        <v>1071</v>
      </c>
      <c r="C80" s="1008" t="s">
        <v>951</v>
      </c>
      <c r="D80" s="1009"/>
      <c r="E80" s="1007"/>
      <c r="F80" s="1007"/>
      <c r="G80" s="1008"/>
      <c r="H80" s="1007"/>
      <c r="I80" s="1007"/>
      <c r="J80" s="1008"/>
      <c r="K80" s="1010"/>
      <c r="L80" s="1010"/>
      <c r="M80" s="1010"/>
      <c r="N80" s="1010"/>
      <c r="O80" s="1010"/>
      <c r="P80" s="1010"/>
      <c r="Q80" s="1010"/>
      <c r="R80" s="1010"/>
      <c r="S80" s="1011"/>
      <c r="T80" s="1010"/>
      <c r="U80" s="1010"/>
      <c r="V80" s="1010"/>
      <c r="W80" s="1010"/>
      <c r="X80" s="1010"/>
      <c r="Y80" s="1010">
        <v>5777</v>
      </c>
      <c r="Z80" s="1010">
        <f>+AA80-Y80</f>
        <v>6329</v>
      </c>
      <c r="AA80" s="1010">
        <v>12106</v>
      </c>
      <c r="AB80" s="1011"/>
      <c r="AC80" s="1010">
        <v>2124</v>
      </c>
      <c r="AD80" s="1010">
        <v>2061</v>
      </c>
      <c r="AE80" s="1010">
        <v>1673</v>
      </c>
      <c r="AF80" s="1010">
        <f>+AI80-AE80</f>
        <v>1616</v>
      </c>
      <c r="AG80" s="1010">
        <v>5853</v>
      </c>
      <c r="AH80" s="1010">
        <v>4195</v>
      </c>
      <c r="AI80" s="1010">
        <f>+AJ80-AH80</f>
        <v>3289</v>
      </c>
      <c r="AJ80" s="1010">
        <v>7484</v>
      </c>
      <c r="AK80" s="1009"/>
      <c r="AL80" s="1010">
        <v>968</v>
      </c>
      <c r="AM80" s="1010">
        <f>+AQ80-AL80</f>
        <v>1791</v>
      </c>
      <c r="AN80" s="1010"/>
      <c r="AO80" s="1010">
        <f>+AR80-AN80</f>
        <v>5527</v>
      </c>
      <c r="AP80" s="1010"/>
      <c r="AQ80" s="1010">
        <v>2759</v>
      </c>
      <c r="AR80" s="1010">
        <f>+AS80-AQ80</f>
        <v>5527</v>
      </c>
      <c r="AS80" s="1010">
        <v>8286</v>
      </c>
      <c r="AT80" s="1009"/>
      <c r="AU80" s="709">
        <f t="shared" ref="AU80:BB80" si="171">AU77*AU17</f>
        <v>2774.8</v>
      </c>
      <c r="AV80" s="709">
        <f t="shared" si="171"/>
        <v>2976.4799999999996</v>
      </c>
      <c r="AW80" s="709">
        <f t="shared" si="171"/>
        <v>2787.56</v>
      </c>
      <c r="AX80" s="709">
        <f t="shared" si="171"/>
        <v>-6401</v>
      </c>
      <c r="AY80" s="709">
        <f t="shared" si="171"/>
        <v>3176.8438077634009</v>
      </c>
      <c r="AZ80" s="709">
        <f t="shared" si="171"/>
        <v>0</v>
      </c>
      <c r="BA80" s="709">
        <f t="shared" si="171"/>
        <v>9193</v>
      </c>
      <c r="BB80" s="1012">
        <f t="shared" si="171"/>
        <v>5757.2</v>
      </c>
      <c r="BC80" s="1013">
        <f t="shared" ref="BC80:BC102" si="172">+BE80-BB80</f>
        <v>7404.2000000000016</v>
      </c>
      <c r="BD80" s="1014"/>
      <c r="BE80" s="709">
        <f>BE77*BE17</f>
        <v>13161.400000000001</v>
      </c>
      <c r="BF80" s="1009"/>
      <c r="BG80" s="1010"/>
      <c r="BH80" s="1010">
        <f>+BI80-BB80</f>
        <v>-5757.2</v>
      </c>
      <c r="BI80" s="1010"/>
      <c r="BJ80" s="1009"/>
      <c r="BK80" s="1007">
        <v>4756</v>
      </c>
      <c r="BL80" s="1007">
        <v>4756</v>
      </c>
      <c r="BM80" s="1007">
        <v>9512</v>
      </c>
      <c r="BN80" s="1007"/>
      <c r="BO80" s="1009"/>
      <c r="BP80" s="709">
        <f>BP77*BP17</f>
        <v>3005</v>
      </c>
      <c r="BQ80" s="1014"/>
      <c r="BR80" s="709">
        <f>BR77*BR17</f>
        <v>3244.4594846824916</v>
      </c>
      <c r="BS80" s="1014"/>
      <c r="BT80" s="1010"/>
      <c r="BU80" s="1010"/>
      <c r="BV80" s="1010"/>
      <c r="BW80" s="1014"/>
      <c r="BX80" s="1010">
        <f>BX77*BX17</f>
        <v>10115.52</v>
      </c>
      <c r="BY80" s="1010">
        <f>BY77*BY17</f>
        <v>6252.16</v>
      </c>
      <c r="BZ80" s="1014"/>
      <c r="CA80" s="1014"/>
      <c r="CB80" s="1010"/>
      <c r="CC80" s="1010"/>
      <c r="CD80" s="1010"/>
      <c r="CE80" s="1010"/>
      <c r="CF80" s="1009"/>
      <c r="CG80" s="1015"/>
      <c r="CH80" s="1007"/>
      <c r="CI80" s="1007"/>
      <c r="CJ80" s="1007"/>
      <c r="CK80" s="1007"/>
      <c r="CL80" s="1007"/>
      <c r="CM80" s="1007"/>
      <c r="CN80" s="1007"/>
      <c r="CO80" s="1007"/>
      <c r="CP80" s="1007"/>
      <c r="CQ80" s="1007"/>
      <c r="CR80" s="1007"/>
      <c r="CS80" s="1007"/>
      <c r="CT80" s="1007"/>
      <c r="CU80" s="1007"/>
      <c r="CV80" s="1007"/>
      <c r="CW80" s="1008"/>
      <c r="CX80" s="712"/>
      <c r="CY80" s="712"/>
      <c r="CZ80" s="712"/>
      <c r="DA80" s="712"/>
      <c r="DB80" s="712"/>
      <c r="DC80" s="712"/>
      <c r="DD80" s="712"/>
      <c r="DE80" s="712">
        <f t="shared" si="42"/>
        <v>0</v>
      </c>
      <c r="DF80" s="712"/>
      <c r="DG80" s="712"/>
      <c r="DH80" s="712"/>
      <c r="DI80" s="712">
        <f t="shared" si="3"/>
        <v>0</v>
      </c>
      <c r="DJ80" s="712"/>
      <c r="DK80" s="712"/>
      <c r="DL80" s="1016"/>
      <c r="DM80" s="1016"/>
      <c r="DN80" s="709"/>
      <c r="DO80" s="709"/>
      <c r="DP80" s="1017"/>
      <c r="DQ80" s="1017"/>
      <c r="DR80" s="1017">
        <f>+DS80-DB80</f>
        <v>0</v>
      </c>
      <c r="DS80" s="1018"/>
      <c r="DT80" s="1016"/>
      <c r="DU80" s="709"/>
      <c r="DV80" s="709"/>
      <c r="DX80" s="1017"/>
      <c r="DY80" s="1017"/>
      <c r="DZ80" s="1020"/>
      <c r="EC80" s="1017"/>
      <c r="ED80" s="1016"/>
      <c r="EE80" s="1009"/>
      <c r="EF80" s="1007"/>
      <c r="EG80" s="1015"/>
      <c r="EH80" s="1007"/>
      <c r="EI80" s="1007"/>
      <c r="EJ80" s="1007"/>
      <c r="EK80" s="1007"/>
      <c r="EL80" s="1007"/>
      <c r="EM80" s="1007"/>
      <c r="EN80" s="1007"/>
      <c r="EO80" s="1007"/>
      <c r="EQ80" s="1007"/>
      <c r="ES80" s="1007"/>
      <c r="EU80" s="1008"/>
      <c r="EV80" s="1018"/>
      <c r="EW80" s="1007"/>
      <c r="EX80" s="1007"/>
      <c r="EY80" s="1007"/>
      <c r="EZ80" s="1007"/>
      <c r="FA80" s="1007"/>
      <c r="FB80" s="1007"/>
      <c r="FC80" s="712"/>
      <c r="FD80" s="510"/>
      <c r="FE80" s="712"/>
      <c r="FF80" s="477"/>
      <c r="FG80" s="477"/>
      <c r="FH80" s="1007"/>
      <c r="FI80" s="1007"/>
      <c r="FJ80" s="1007"/>
      <c r="FK80" s="1008"/>
      <c r="FL80" s="1016"/>
      <c r="FM80" s="709"/>
      <c r="FN80" s="1017"/>
      <c r="FO80" s="1017"/>
      <c r="FP80" s="1017">
        <f>+FQ80-EK80</f>
        <v>0</v>
      </c>
      <c r="FQ80" s="1018"/>
      <c r="FR80" s="1018"/>
      <c r="FS80" s="1007"/>
      <c r="FT80" s="1017"/>
      <c r="FU80" s="1017"/>
      <c r="FV80" s="1007"/>
      <c r="FW80" s="1017"/>
      <c r="FX80" s="1017"/>
      <c r="FY80" s="1007"/>
      <c r="FZ80" s="1007"/>
      <c r="GA80" s="1007"/>
      <c r="GB80" s="1007"/>
      <c r="GC80" s="1007"/>
      <c r="GD80" s="1008"/>
      <c r="GE80" s="1007"/>
      <c r="GF80" s="1007"/>
      <c r="GG80" s="1007"/>
      <c r="GH80" s="1017"/>
      <c r="GI80" s="1017"/>
      <c r="GJ80" s="1021"/>
      <c r="GK80" s="1017"/>
      <c r="GL80" s="1017"/>
      <c r="GM80" s="1017"/>
      <c r="GN80" s="1017"/>
      <c r="GO80" s="1017"/>
      <c r="GP80" s="1017"/>
      <c r="GQ80" s="1017"/>
      <c r="GR80" s="1007"/>
      <c r="GS80" s="1007"/>
      <c r="GT80" s="1007"/>
      <c r="GU80" s="1007"/>
      <c r="GV80" s="1008"/>
      <c r="GW80" s="1007"/>
      <c r="GX80" s="1017"/>
      <c r="GY80" s="1017"/>
      <c r="GZ80" s="1017"/>
      <c r="HA80" s="1021"/>
      <c r="HB80" s="1017"/>
      <c r="HC80" s="1017"/>
      <c r="HD80" s="1017"/>
      <c r="HE80" s="1017"/>
      <c r="HF80" s="1017"/>
      <c r="HG80" s="1017"/>
      <c r="HH80" s="1017"/>
      <c r="HI80" s="1017"/>
      <c r="HJ80" s="1017"/>
      <c r="HK80" s="1017"/>
      <c r="HL80" s="1017"/>
      <c r="HM80" s="1017"/>
      <c r="HN80" s="1007"/>
      <c r="HO80" s="1007"/>
      <c r="HP80" s="1007"/>
      <c r="HQ80" s="1007"/>
      <c r="HR80" s="1007"/>
      <c r="HS80" s="1007"/>
      <c r="HT80" s="1007"/>
      <c r="HU80" s="1007"/>
      <c r="HV80" s="1007"/>
      <c r="HW80" s="1017"/>
      <c r="HX80" s="1017"/>
      <c r="HY80" s="1017"/>
      <c r="HZ80" s="1007"/>
      <c r="IA80" s="1017"/>
      <c r="IB80" s="1017"/>
      <c r="IC80" s="1021"/>
      <c r="ID80" s="1017"/>
      <c r="IE80" s="1022"/>
      <c r="IF80" s="1017"/>
      <c r="IG80" s="1017"/>
      <c r="IH80" s="1017"/>
      <c r="II80" s="1017"/>
      <c r="IJ80" s="1017"/>
      <c r="IK80" s="1017"/>
      <c r="IL80" s="1017"/>
      <c r="IM80" s="1017"/>
      <c r="IN80" s="1017"/>
      <c r="IO80" s="1017"/>
      <c r="IP80" s="1018"/>
      <c r="IQ80" s="1017"/>
      <c r="IR80" s="1018"/>
      <c r="IS80" s="1022"/>
      <c r="IT80" s="1017"/>
      <c r="IU80" s="1017"/>
      <c r="IV80" s="1017"/>
      <c r="IW80" s="1017"/>
      <c r="IX80" s="1017"/>
      <c r="IY80" s="1017"/>
      <c r="IZ80" s="1017"/>
      <c r="JA80" s="1017"/>
      <c r="JB80" s="1017"/>
      <c r="JC80" s="1017"/>
      <c r="JD80" s="1017"/>
      <c r="JE80" s="1017"/>
      <c r="JF80" s="1017"/>
      <c r="JG80" s="1017"/>
      <c r="JH80" s="1018"/>
      <c r="JI80" s="1022"/>
      <c r="JJ80" s="1022"/>
      <c r="JK80" s="1017"/>
      <c r="JL80" s="1017"/>
      <c r="JM80" s="1017"/>
      <c r="JN80" s="1017"/>
      <c r="JO80" s="1017"/>
      <c r="JP80" s="1017"/>
      <c r="JQ80" s="1017"/>
      <c r="JR80" s="1017"/>
      <c r="JS80" s="1017"/>
      <c r="JT80" s="1017"/>
      <c r="JU80" s="1017"/>
      <c r="JV80" s="1017"/>
      <c r="JW80" s="1017"/>
      <c r="JX80" s="1017"/>
      <c r="JY80" s="1017"/>
      <c r="JZ80" s="1017"/>
      <c r="KA80" s="1018"/>
      <c r="KB80" s="1017"/>
      <c r="KC80" s="1017"/>
      <c r="KD80" s="1017"/>
      <c r="KE80" s="1017"/>
      <c r="KF80" s="1017"/>
      <c r="KG80" s="1017"/>
      <c r="KH80" s="1017"/>
      <c r="KI80" s="1018"/>
      <c r="KJ80" s="1017"/>
      <c r="KK80" s="1017"/>
      <c r="KL80" s="1017"/>
      <c r="KM80" s="1017"/>
      <c r="KN80" s="1017"/>
      <c r="KO80" s="1017"/>
      <c r="KP80" s="1017"/>
      <c r="KQ80" s="1018"/>
      <c r="KR80" s="1017"/>
      <c r="KS80" s="1018"/>
      <c r="KT80" s="1017">
        <f>+KU80-ET80</f>
        <v>0</v>
      </c>
      <c r="KU80" s="1017"/>
      <c r="KV80" s="1017">
        <f>+KW80-EV80</f>
        <v>0</v>
      </c>
      <c r="KW80" s="1018"/>
      <c r="KX80" s="1017">
        <f>+KY80-EX80</f>
        <v>0</v>
      </c>
      <c r="KY80" s="1017">
        <f>+KZ80-EY80</f>
        <v>0</v>
      </c>
      <c r="KZ80" s="1018"/>
      <c r="LA80" s="1017"/>
      <c r="LB80" s="1017">
        <f>+LC80-FB80</f>
        <v>0</v>
      </c>
      <c r="LC80" s="1018"/>
      <c r="LD80" s="1018"/>
      <c r="LE80" s="1017">
        <f>+LF80-FD80</f>
        <v>0</v>
      </c>
      <c r="LF80" s="1017">
        <f>+LG80-FE80</f>
        <v>0</v>
      </c>
      <c r="LG80" s="1018"/>
    </row>
    <row r="81" spans="1:319" s="498" customFormat="1">
      <c r="A81" s="477"/>
      <c r="B81" s="478" t="s">
        <v>1047</v>
      </c>
      <c r="C81" s="481" t="s">
        <v>950</v>
      </c>
      <c r="D81" s="480"/>
      <c r="E81" s="477"/>
      <c r="F81" s="477"/>
      <c r="G81" s="481"/>
      <c r="H81" s="477"/>
      <c r="I81" s="477"/>
      <c r="J81" s="481"/>
      <c r="K81" s="484"/>
      <c r="L81" s="484"/>
      <c r="M81" s="484"/>
      <c r="N81" s="484"/>
      <c r="O81" s="484"/>
      <c r="P81" s="484"/>
      <c r="Q81" s="484"/>
      <c r="R81" s="484"/>
      <c r="S81" s="485"/>
      <c r="T81" s="484"/>
      <c r="U81" s="484"/>
      <c r="V81" s="484"/>
      <c r="W81" s="484"/>
      <c r="X81" s="484"/>
      <c r="Y81" s="484"/>
      <c r="Z81" s="484"/>
      <c r="AA81" s="484"/>
      <c r="AB81" s="485"/>
      <c r="AC81" s="484"/>
      <c r="AD81" s="484"/>
      <c r="AE81" s="484"/>
      <c r="AF81" s="484"/>
      <c r="AG81" s="484"/>
      <c r="AH81" s="484"/>
      <c r="AI81" s="484"/>
      <c r="AJ81" s="484"/>
      <c r="AK81" s="480"/>
      <c r="AL81" s="484"/>
      <c r="AM81" s="484"/>
      <c r="AN81" s="484"/>
      <c r="AO81" s="484"/>
      <c r="AP81" s="484"/>
      <c r="AQ81" s="484">
        <f>AQ77-AH77</f>
        <v>-14</v>
      </c>
      <c r="AR81" s="484">
        <f>AR77-AI77</f>
        <v>25</v>
      </c>
      <c r="AS81" s="484">
        <f>AS77-AJ77</f>
        <v>11</v>
      </c>
      <c r="AT81" s="480"/>
      <c r="AU81" s="584"/>
      <c r="AV81" s="484"/>
      <c r="AW81" s="584">
        <f>+AW77-AN77</f>
        <v>1.2037892791127547</v>
      </c>
      <c r="AX81" s="584"/>
      <c r="AY81" s="584">
        <f t="shared" ref="AY81:AY102" si="173">+BC81-AW81</f>
        <v>-0.20378927911275468</v>
      </c>
      <c r="AZ81" s="584"/>
      <c r="BA81" s="584">
        <v>40</v>
      </c>
      <c r="BB81" s="625">
        <f>BB77-AQ77</f>
        <v>38</v>
      </c>
      <c r="BC81" s="507">
        <f t="shared" si="172"/>
        <v>1</v>
      </c>
      <c r="BD81" s="508"/>
      <c r="BE81" s="484">
        <f>+BE77-AS77</f>
        <v>39</v>
      </c>
      <c r="BF81" s="480"/>
      <c r="BG81" s="484">
        <f>BH81-AW81</f>
        <v>-14.203789279112755</v>
      </c>
      <c r="BH81" s="484">
        <f>BH77-AR77</f>
        <v>-13</v>
      </c>
      <c r="BI81" s="484">
        <f>BI77-AS77</f>
        <v>25</v>
      </c>
      <c r="BJ81" s="480"/>
      <c r="BK81" s="484">
        <f>BK77-AQ77</f>
        <v>22</v>
      </c>
      <c r="BL81" s="484">
        <f>BL77-AR77</f>
        <v>-7</v>
      </c>
      <c r="BM81" s="484">
        <f>BM77-AS77</f>
        <v>15</v>
      </c>
      <c r="BN81" s="477"/>
      <c r="BO81" s="480"/>
      <c r="BP81" s="584">
        <f>+BP77-AU77</f>
        <v>-4.5171434368025949</v>
      </c>
      <c r="BQ81" s="508"/>
      <c r="BR81" s="484">
        <f>+BY81-BP81</f>
        <v>-6.4828565631974051</v>
      </c>
      <c r="BS81" s="508"/>
      <c r="BT81" s="484">
        <f>BX81-BY81</f>
        <v>0.79621072088724532</v>
      </c>
      <c r="BU81" s="484">
        <v>1</v>
      </c>
      <c r="BV81" s="484">
        <f>BV77-AY77</f>
        <v>-1.7962107208872453</v>
      </c>
      <c r="BW81" s="508"/>
      <c r="BX81" s="484">
        <f>BX77-BA77</f>
        <v>-10.203789279112755</v>
      </c>
      <c r="BY81" s="484">
        <v>-11</v>
      </c>
      <c r="BZ81" s="508"/>
      <c r="CA81" s="508"/>
      <c r="CB81" s="484"/>
      <c r="CC81" s="484">
        <f>CC77-BC77</f>
        <v>-2</v>
      </c>
      <c r="CD81" s="484"/>
      <c r="CE81" s="484">
        <f>CE77-BE77</f>
        <v>-12</v>
      </c>
      <c r="CF81" s="480"/>
      <c r="CG81" s="557">
        <f>CG77-BP77</f>
        <v>-9.9993834502225631</v>
      </c>
      <c r="CH81" s="546">
        <v>-5.5139999999999985</v>
      </c>
      <c r="CI81" s="546">
        <f>CI82+CI85+CI89+CI98</f>
        <v>-5.5139999999999985</v>
      </c>
      <c r="CJ81" s="1023">
        <f t="shared" ref="CJ81:CJ89" si="174">CR81-CG81</f>
        <v>-6.3076060426965803</v>
      </c>
      <c r="CK81" s="1023">
        <v>-7</v>
      </c>
      <c r="CL81" s="1023">
        <f>CP81-CR81</f>
        <v>-7.6376024115267711</v>
      </c>
      <c r="CM81" s="1023">
        <v>-6.6436282772842246</v>
      </c>
      <c r="CN81" s="1023"/>
      <c r="CO81" s="1023">
        <f>CW81-CP81</f>
        <v>-3.0554080955540854</v>
      </c>
      <c r="CP81" s="1023">
        <f>CP77-BX77</f>
        <v>-23.944591904445915</v>
      </c>
      <c r="CQ81" s="1023"/>
      <c r="CR81" s="1023">
        <f>CR77-BY77</f>
        <v>-16.306989492919143</v>
      </c>
      <c r="CS81" s="1023"/>
      <c r="CT81" s="1023"/>
      <c r="CU81" s="1023">
        <f t="shared" ref="CU81:CU84" si="175">CW81-CR81</f>
        <v>-10.693010507080857</v>
      </c>
      <c r="CV81" s="1023"/>
      <c r="CW81" s="1024">
        <f>CW77-CE77</f>
        <v>-27</v>
      </c>
      <c r="CX81" s="1025"/>
      <c r="CY81" s="1025">
        <f>CY77-CG77</f>
        <v>0.51652688702515803</v>
      </c>
      <c r="CZ81" s="1025">
        <f>+DB81-CY81</f>
        <v>-1.2095373941060146</v>
      </c>
      <c r="DA81" s="1025" t="e">
        <f>DA82+DA85+DA89+DA98</f>
        <v>#REF!</v>
      </c>
      <c r="DB81" s="1025">
        <f>+DB77-CR77</f>
        <v>-0.69301050708085654</v>
      </c>
      <c r="DC81" s="1025">
        <f t="shared" ref="DC81:DC89" si="176">+DG81-DB81</f>
        <v>5.6376024115267711</v>
      </c>
      <c r="DD81" s="1025">
        <f>DD82+DD85+DD89+DD98</f>
        <v>3.5</v>
      </c>
      <c r="DE81" s="1025">
        <f t="shared" si="42"/>
        <v>1.8692955045400481</v>
      </c>
      <c r="DF81" s="1025"/>
      <c r="DG81" s="1025">
        <f>+DG77-CP77</f>
        <v>4.9445919044459146</v>
      </c>
      <c r="DH81" s="1025"/>
      <c r="DI81" s="1025">
        <f t="shared" si="3"/>
        <v>7.5068979160668192</v>
      </c>
      <c r="DJ81" s="1025"/>
      <c r="DK81" s="1025">
        <f>+DK77-CW77</f>
        <v>6.8138874089859627</v>
      </c>
      <c r="DL81" s="1026"/>
      <c r="DM81" s="1026"/>
      <c r="DN81" s="1027"/>
      <c r="DO81" s="1027"/>
      <c r="DP81" s="1028">
        <v>1</v>
      </c>
      <c r="DQ81" s="1028">
        <f>+DR81-DC81</f>
        <v>-4.9445919044459146</v>
      </c>
      <c r="DR81" s="1029">
        <f>+DS81-DB81</f>
        <v>0.69301050708085654</v>
      </c>
      <c r="DS81" s="1030">
        <f>DS77-CW77</f>
        <v>0</v>
      </c>
      <c r="DT81" s="1026"/>
      <c r="DU81" s="1027"/>
      <c r="DV81" s="590">
        <f>DW81-CY81</f>
        <v>6.7904626058939854</v>
      </c>
      <c r="DW81" s="1031">
        <f>DW77-CR77</f>
        <v>7.3069894929191435</v>
      </c>
      <c r="DX81" s="1029">
        <f>DY81-DB81</f>
        <v>2.6930105070808565</v>
      </c>
      <c r="DY81" s="1029">
        <f>DY77-CW77</f>
        <v>2</v>
      </c>
      <c r="DZ81" s="497"/>
      <c r="EB81" s="1031">
        <f>ED81-CP81</f>
        <v>2.9445919044459146</v>
      </c>
      <c r="EC81" s="1029">
        <f>EC77-CC77</f>
        <v>-4.6930105070808565</v>
      </c>
      <c r="ED81" s="1026">
        <f>ED77-CE77</f>
        <v>-21</v>
      </c>
      <c r="EE81" s="480"/>
      <c r="EF81" s="477"/>
      <c r="EG81" s="509">
        <f>+EG77-CY77</f>
        <v>4</v>
      </c>
      <c r="EH81" s="561"/>
      <c r="EI81" s="561">
        <f t="shared" ref="EI81:EI102" si="177">+EK81-EG81</f>
        <v>1</v>
      </c>
      <c r="EJ81" s="561"/>
      <c r="EK81" s="561">
        <f>+EK77-DB77</f>
        <v>5</v>
      </c>
      <c r="EL81" s="561"/>
      <c r="EM81" s="561">
        <f>EM77-DC77</f>
        <v>-2</v>
      </c>
      <c r="EN81" s="561">
        <f>+EN77-DC77</f>
        <v>-2</v>
      </c>
      <c r="EO81" s="561">
        <f>+EO77-DG77</f>
        <v>3</v>
      </c>
      <c r="EP81" s="561"/>
      <c r="EQ81" s="561">
        <f>+EU81-EO81</f>
        <v>-5.8138874089859627</v>
      </c>
      <c r="ER81" s="561">
        <f>+ER77-DE77</f>
        <v>-58.813887408985963</v>
      </c>
      <c r="ES81" s="561">
        <f>+EU81-EK81</f>
        <v>-7.8138874089859627</v>
      </c>
      <c r="ET81" s="561"/>
      <c r="EU81" s="750">
        <f>+EU77-DK77</f>
        <v>-2.8138874089859627</v>
      </c>
      <c r="EV81" s="1030"/>
      <c r="EW81" s="561"/>
      <c r="EX81" s="561">
        <f>+EX77-EG77</f>
        <v>-3</v>
      </c>
      <c r="EY81" s="561">
        <v>2</v>
      </c>
      <c r="EZ81" s="561">
        <f>+FB81-EX81</f>
        <v>0</v>
      </c>
      <c r="FA81" s="561">
        <v>-1</v>
      </c>
      <c r="FB81" s="561">
        <f>+FB77-EK77</f>
        <v>-3</v>
      </c>
      <c r="FC81" s="561">
        <f t="shared" ref="FC81:FC89" si="178">+FE81-FB81</f>
        <v>-3</v>
      </c>
      <c r="FD81" s="492">
        <v>2.9668263260599588</v>
      </c>
      <c r="FE81" s="561">
        <f>FE77-EO77</f>
        <v>-6</v>
      </c>
      <c r="FF81" s="490"/>
      <c r="FG81" s="751">
        <f>FG77-EQ77</f>
        <v>-5</v>
      </c>
      <c r="FH81" s="561">
        <f t="shared" ref="FH81:FH92" si="179">+FL81-FE81</f>
        <v>-5.6258363569709786</v>
      </c>
      <c r="FI81" s="751">
        <f>FI77-ES77</f>
        <v>-8</v>
      </c>
      <c r="FJ81" s="561">
        <f t="shared" ref="FJ81:FJ92" si="180">+FL81-FB81</f>
        <v>-8.6258363569709786</v>
      </c>
      <c r="FK81" s="755">
        <f>FK77-EU77</f>
        <v>-11</v>
      </c>
      <c r="FL81" s="731">
        <f>+FL77-EU77</f>
        <v>-11.625836356970979</v>
      </c>
      <c r="FM81" s="625">
        <f t="shared" ref="FM81:FM90" si="181">+FN81-EX81</f>
        <v>1</v>
      </c>
      <c r="FN81" s="1029">
        <f>+FN77-EK77</f>
        <v>-2</v>
      </c>
      <c r="FO81" s="1029">
        <f>FO77-EQ77</f>
        <v>6</v>
      </c>
      <c r="FP81" s="1029">
        <f t="shared" ref="FP81:FP90" si="182">+FQ81-FB81</f>
        <v>3</v>
      </c>
      <c r="FQ81" s="1030">
        <f>+FQ77-EU77</f>
        <v>0</v>
      </c>
      <c r="FR81" s="1030"/>
      <c r="FS81" s="561">
        <f>+FS77-EX77</f>
        <v>-0.70529651425984596</v>
      </c>
      <c r="FT81" s="1029"/>
      <c r="FU81" s="1029"/>
      <c r="FV81" s="561">
        <f t="shared" ref="FV81:FV88" si="183">+FY81-FS81</f>
        <v>-8.4285298636235844</v>
      </c>
      <c r="FW81" s="1029"/>
      <c r="FX81" s="1029"/>
      <c r="FY81" s="561">
        <f>+FY77-FB77</f>
        <v>-9.1338263778834303</v>
      </c>
      <c r="FZ81" s="561">
        <f>+GA81-FY81</f>
        <v>-3.8141109307096173</v>
      </c>
      <c r="GA81" s="561">
        <f>GA77-FE77</f>
        <v>-12.947937308593048</v>
      </c>
      <c r="GB81" s="561">
        <f t="shared" ref="GB81:GB98" si="184">+GD81-GA81</f>
        <v>5.2722616329173704</v>
      </c>
      <c r="GC81" s="561">
        <f>+GD81-FY81</f>
        <v>1.4581507022077531</v>
      </c>
      <c r="GD81" s="750">
        <f>+GD77-FK77</f>
        <v>-7.6756756756756772</v>
      </c>
      <c r="GE81" s="561">
        <v>-11.6795392699308</v>
      </c>
      <c r="GF81" s="561"/>
      <c r="GG81" s="561">
        <f>GG77-FG77</f>
        <v>5.7096964737186902</v>
      </c>
      <c r="GH81" s="1029">
        <f>GH77-FI77</f>
        <v>0.9763151009930553</v>
      </c>
      <c r="GI81" s="1029">
        <f>GI77-FK77</f>
        <v>-8.157511276890375</v>
      </c>
      <c r="GJ81" s="1032"/>
      <c r="GK81" s="1029"/>
      <c r="GL81" s="1029">
        <f>+GL77-FS77</f>
        <v>3.0579647277169215</v>
      </c>
      <c r="GM81" s="1029"/>
      <c r="GN81" s="1029"/>
      <c r="GO81" s="1029">
        <f t="shared" ref="GO81:GO90" si="185">+GP81-GL81</f>
        <v>5.5980519586998128</v>
      </c>
      <c r="GP81" s="1029">
        <f>+GP77-FY77</f>
        <v>8.6560166864167343</v>
      </c>
      <c r="GQ81" s="1029"/>
      <c r="GR81" s="561">
        <f>+GS81-GP81</f>
        <v>9.5506388986050084</v>
      </c>
      <c r="GS81" s="561">
        <f>GS77-GA77</f>
        <v>18.206655585021743</v>
      </c>
      <c r="GT81" s="561">
        <f t="shared" ref="GT81:GT91" si="186">+GU81-GR81</f>
        <v>7.5267353741756651</v>
      </c>
      <c r="GU81" s="561">
        <f>+GV81-GP81</f>
        <v>17.077374272780673</v>
      </c>
      <c r="GV81" s="750">
        <f>+GV77-GD77</f>
        <v>25.733390959197408</v>
      </c>
      <c r="GW81" s="561">
        <v>32.306523702182858</v>
      </c>
      <c r="GX81" s="1029"/>
      <c r="GY81" s="1029">
        <f>GY77-GC77</f>
        <v>17.461279409774278</v>
      </c>
      <c r="GZ81" s="1029">
        <f>GZ77-GD77</f>
        <v>26.117296096191012</v>
      </c>
      <c r="HA81" s="1032"/>
      <c r="HB81" s="1029"/>
      <c r="HC81" s="1029"/>
      <c r="HD81" s="1029">
        <f>+HD77-GL77</f>
        <v>18.345317117524264</v>
      </c>
      <c r="HE81" s="1029"/>
      <c r="HF81" s="1029">
        <f t="shared" ref="HF81:HF90" si="187">+HI81-HD81</f>
        <v>7.3053040694992468</v>
      </c>
      <c r="HG81" s="1029"/>
      <c r="HH81" s="1029"/>
      <c r="HI81" s="1029">
        <f>+HI77-GP77</f>
        <v>25.650621187023511</v>
      </c>
      <c r="HJ81" s="1029">
        <v>10</v>
      </c>
      <c r="HK81" s="1029">
        <f>HI81+HD81</f>
        <v>43.995938304547778</v>
      </c>
      <c r="HL81" s="1029"/>
      <c r="HM81" s="1029"/>
      <c r="HN81" s="561">
        <f>+HP81-HI81</f>
        <v>8.0375204399294304</v>
      </c>
      <c r="HO81" s="561">
        <f>+HQ81-HM81</f>
        <v>33.688141626952941</v>
      </c>
      <c r="HP81" s="561">
        <f>HP77-GS77</f>
        <v>33.688141626952941</v>
      </c>
      <c r="HQ81" s="561">
        <f>HQ77-GS77</f>
        <v>33.688141626952941</v>
      </c>
      <c r="HR81" s="561">
        <f t="shared" ref="HR81:HR91" si="188">+HT81-HN81</f>
        <v>-0.29377489439663407</v>
      </c>
      <c r="HS81" s="561"/>
      <c r="HT81" s="561">
        <f>+HV81-HI81</f>
        <v>7.7437455455327964</v>
      </c>
      <c r="HU81" s="561"/>
      <c r="HV81" s="561">
        <f>+HV77-GV77</f>
        <v>33.394366732556307</v>
      </c>
      <c r="HW81" s="1029">
        <v>3</v>
      </c>
      <c r="HX81" s="1001">
        <f>HY81-HN81</f>
        <v>-0.90098739032906394</v>
      </c>
      <c r="HY81" s="1029">
        <f>HY77-GU77</f>
        <v>7.1365330496003665</v>
      </c>
      <c r="HZ81" s="561"/>
      <c r="IA81" s="1029">
        <v>35.128184266230278</v>
      </c>
      <c r="IB81" s="1029">
        <f>IB77-GV77</f>
        <v>32.787154236623877</v>
      </c>
      <c r="IC81" s="1032"/>
      <c r="ID81" s="1029"/>
      <c r="IE81" s="1033">
        <f>+IE77-HE77</f>
        <v>-16.371251762587885</v>
      </c>
      <c r="IF81" s="1029">
        <f>+IF77-HH77</f>
        <v>-15.565222677769722</v>
      </c>
      <c r="IG81" s="1029">
        <f>+IG77-HM77</f>
        <v>-32.059638763254249</v>
      </c>
      <c r="IH81" s="1029">
        <f>+IJ81-IG81</f>
        <v>-12.867048981184688</v>
      </c>
      <c r="II81" s="1029">
        <f>II77-HO77</f>
        <v>-17.588205171942231</v>
      </c>
      <c r="IJ81" s="1029">
        <f>IJ77-HQ77</f>
        <v>-44.926687744438937</v>
      </c>
      <c r="IK81" s="1029"/>
      <c r="IL81" s="1029">
        <f>IL77-HR77</f>
        <v>-18.732201172269441</v>
      </c>
      <c r="IM81" s="1028">
        <f t="shared" ref="IM81:IM91" si="189">+IO81-IH81</f>
        <v>-18.538533574440919</v>
      </c>
      <c r="IN81" s="1034">
        <f>+IN77-HU77</f>
        <v>-30.815270910526088</v>
      </c>
      <c r="IO81" s="1034">
        <f>+IR81-IG81</f>
        <v>-31.405582555625607</v>
      </c>
      <c r="IP81" s="1030">
        <f>IP77-HZ77</f>
        <v>-63.465221318879856</v>
      </c>
      <c r="IQ81" s="1034">
        <v>-57.227644717453686</v>
      </c>
      <c r="IR81" s="1035">
        <f>+IR77-HZ77</f>
        <v>-63.465221318879856</v>
      </c>
      <c r="IS81" s="1033"/>
      <c r="IT81" s="1034">
        <f>IT82+IT85+IT89+IT98</f>
        <v>2.959452129102246</v>
      </c>
      <c r="IU81" s="1034">
        <f>+IU77-IE77</f>
        <v>20.673266431606546</v>
      </c>
      <c r="IV81" s="1034">
        <f>IV82+IV85+IV89+IV98</f>
        <v>13</v>
      </c>
      <c r="IW81" s="1034">
        <v>8.0891684296175796</v>
      </c>
      <c r="IX81" s="1034">
        <f>IV81+IU81</f>
        <v>33.67326643160655</v>
      </c>
      <c r="IY81" s="1034">
        <v>28.762434861224126</v>
      </c>
      <c r="IZ81" s="1034">
        <f>IZ77-IH77</f>
        <v>34.196552541569304</v>
      </c>
      <c r="JA81" s="1034">
        <f>JA77-IJ77</f>
        <v>67.9798278410573</v>
      </c>
      <c r="JB81" s="1034">
        <f>+JC81-IZ81</f>
        <v>46.130181026824147</v>
      </c>
      <c r="JC81" s="1034">
        <f>+JD81-IX81</f>
        <v>80.32673356839345</v>
      </c>
      <c r="JD81" s="1034">
        <f>JD77-IR77</f>
        <v>114</v>
      </c>
      <c r="JE81" s="1034"/>
      <c r="JF81" s="1034"/>
      <c r="JG81" s="1034">
        <f>JH81-IX81</f>
        <v>80.32673356839345</v>
      </c>
      <c r="JH81" s="1030">
        <f>JH77-IR77</f>
        <v>114</v>
      </c>
      <c r="JI81" s="1033"/>
      <c r="JJ81" s="1033">
        <f>JJ82+JJ85+JJ89+JJ98</f>
        <v>32.36768149882905</v>
      </c>
      <c r="JK81" s="1029">
        <f>JK82+JK85+JK89+JK98</f>
        <v>22.917049180327865</v>
      </c>
      <c r="JL81" s="1029">
        <f>JL82+JL85+JL89+JL98</f>
        <v>16</v>
      </c>
      <c r="JM81" s="1029">
        <f>JM82+JM85+JM89+JM98</f>
        <v>50</v>
      </c>
      <c r="JN81" s="1029">
        <f>JN82+JN85+JN89+JN98</f>
        <v>19</v>
      </c>
      <c r="JO81" s="1029"/>
      <c r="JP81" s="1029"/>
      <c r="JQ81" s="1029"/>
      <c r="JR81" s="1029"/>
      <c r="JS81" s="1029"/>
      <c r="JT81" s="1029">
        <f>JT82+JT85+JT89+JT98</f>
        <v>6.6205068510984546</v>
      </c>
      <c r="JU81" s="1029">
        <f>JU82+JU85+JU89+JU98</f>
        <v>-4.5577806044285207</v>
      </c>
      <c r="JV81" s="1029">
        <f>+JL81+JK81</f>
        <v>38.917049180327865</v>
      </c>
      <c r="JW81" s="1029">
        <f>+JN81+JU81</f>
        <v>14.442219395571479</v>
      </c>
      <c r="JX81" s="1029">
        <f>+JP81+JW81</f>
        <v>14.442219395571479</v>
      </c>
      <c r="JY81" s="1029">
        <f>+JP81+JT81</f>
        <v>6.6205068510984546</v>
      </c>
      <c r="JZ81" s="1029"/>
      <c r="KA81" s="1030"/>
      <c r="KB81" s="1029"/>
      <c r="KC81" s="1034">
        <f>KC77-IX77</f>
        <v>51</v>
      </c>
      <c r="KD81" s="1034">
        <f>KD77-JC77</f>
        <v>3</v>
      </c>
      <c r="KE81" s="1034">
        <f>KE77-JC77</f>
        <v>3</v>
      </c>
      <c r="KF81" s="1034"/>
      <c r="KG81" s="1034"/>
      <c r="KH81" s="1034">
        <f>KH77-JD77</f>
        <v>54</v>
      </c>
      <c r="KI81" s="1030"/>
      <c r="KJ81" s="1029"/>
      <c r="KK81" s="1029"/>
      <c r="KL81" s="1029">
        <f>+KL77-HX77</f>
        <v>58.072789041059252</v>
      </c>
      <c r="KM81" s="1029">
        <f>KM77-IR77</f>
        <v>84</v>
      </c>
      <c r="KN81" s="1029"/>
      <c r="KO81" s="1029">
        <v>12.818881380007177</v>
      </c>
      <c r="KP81" s="1029">
        <v>58.236723467288755</v>
      </c>
      <c r="KQ81" s="1030">
        <v>63</v>
      </c>
      <c r="KR81" s="1029">
        <v>-10.405582555625607</v>
      </c>
      <c r="KS81" s="1030">
        <v>-42.465221318879856</v>
      </c>
      <c r="KT81" s="1029">
        <f>KT77-HG77</f>
        <v>-5.6359404611101276</v>
      </c>
      <c r="KU81" s="1029">
        <f>KU77-HL77</f>
        <v>-22.15879017013232</v>
      </c>
      <c r="KV81" s="1029" t="e">
        <f>KV77-#REF!</f>
        <v>#REF!</v>
      </c>
      <c r="KW81" s="1030">
        <f>KW77-HZ77</f>
        <v>-22.465221318879856</v>
      </c>
      <c r="KX81" s="1029">
        <f>KX77-GT77</f>
        <v>-16.786003099353408</v>
      </c>
      <c r="KY81" s="1028">
        <f>KY77-GU77</f>
        <v>-8.7083364705452411</v>
      </c>
      <c r="KZ81" s="1030">
        <f>KZ77-GV77</f>
        <v>16.94228471647827</v>
      </c>
      <c r="LA81" s="1029">
        <f>LA77-GP77</f>
        <v>8.4778096914666961</v>
      </c>
      <c r="LB81" s="1029">
        <f>LB77-GU77</f>
        <v>-0.53552497498842655</v>
      </c>
      <c r="LC81" s="1030">
        <f>LC77-GV77</f>
        <v>7.9422847164782695</v>
      </c>
      <c r="LD81" s="1030">
        <f>LD77-LC77</f>
        <v>-120</v>
      </c>
      <c r="LE81" s="1029">
        <f>LE77-GB77</f>
        <v>-4.416390110296625</v>
      </c>
      <c r="LF81" s="1029">
        <f>LF77-GC77</f>
        <v>5.0196589892589429</v>
      </c>
      <c r="LG81" s="1030">
        <f>LG77-GD77</f>
        <v>13.675675675675677</v>
      </c>
    </row>
    <row r="82" spans="1:319" s="1044" customFormat="1" ht="12">
      <c r="A82" s="1036"/>
      <c r="B82" s="1037" t="s">
        <v>1048</v>
      </c>
      <c r="C82" s="1038" t="s">
        <v>949</v>
      </c>
      <c r="D82" s="1039"/>
      <c r="E82" s="1036"/>
      <c r="F82" s="1036"/>
      <c r="G82" s="1040"/>
      <c r="H82" s="1036"/>
      <c r="I82" s="1036"/>
      <c r="J82" s="1040"/>
      <c r="K82" s="1041"/>
      <c r="L82" s="1041"/>
      <c r="M82" s="1041"/>
      <c r="N82" s="1041"/>
      <c r="O82" s="1041"/>
      <c r="P82" s="1041"/>
      <c r="Q82" s="1041"/>
      <c r="R82" s="1041"/>
      <c r="S82" s="1042"/>
      <c r="T82" s="1041"/>
      <c r="U82" s="1041"/>
      <c r="V82" s="1041"/>
      <c r="W82" s="1041"/>
      <c r="X82" s="1041"/>
      <c r="Y82" s="1041"/>
      <c r="Z82" s="1041"/>
      <c r="AA82" s="1041"/>
      <c r="AB82" s="1042"/>
      <c r="AC82" s="1041"/>
      <c r="AD82" s="1041"/>
      <c r="AE82" s="1041"/>
      <c r="AF82" s="1041"/>
      <c r="AG82" s="1041"/>
      <c r="AH82" s="1041">
        <v>-13</v>
      </c>
      <c r="AI82" s="1041">
        <f>+AJ82-AH82</f>
        <v>-14</v>
      </c>
      <c r="AJ82" s="1041">
        <v>-27</v>
      </c>
      <c r="AK82" s="1039"/>
      <c r="AL82" s="1041">
        <v>8</v>
      </c>
      <c r="AM82" s="1041">
        <f>+AQ82-AL82</f>
        <v>16</v>
      </c>
      <c r="AN82" s="1041">
        <f>+AP82-AQ82</f>
        <v>23</v>
      </c>
      <c r="AO82" s="1041">
        <f>+AR82-AN82</f>
        <v>20</v>
      </c>
      <c r="AP82" s="1041">
        <v>47</v>
      </c>
      <c r="AQ82" s="1041">
        <v>24</v>
      </c>
      <c r="AR82" s="1041">
        <f>+AS82-AQ82</f>
        <v>43</v>
      </c>
      <c r="AS82" s="1041">
        <v>67</v>
      </c>
      <c r="AT82" s="1039"/>
      <c r="AU82" s="1041">
        <v>19</v>
      </c>
      <c r="AV82" s="1041">
        <f>+BB82-AU82</f>
        <v>12</v>
      </c>
      <c r="AW82" s="1041">
        <f>+BA82-BB82</f>
        <v>1</v>
      </c>
      <c r="AX82" s="1041">
        <v>-31</v>
      </c>
      <c r="AY82" s="1041">
        <f t="shared" si="173"/>
        <v>0</v>
      </c>
      <c r="AZ82" s="1041"/>
      <c r="BA82" s="1041">
        <v>32</v>
      </c>
      <c r="BB82" s="1043">
        <v>31</v>
      </c>
      <c r="BC82" s="1043">
        <f t="shared" si="172"/>
        <v>1</v>
      </c>
      <c r="BD82" s="1041"/>
      <c r="BE82" s="1041">
        <v>32</v>
      </c>
      <c r="BF82" s="1039"/>
      <c r="BG82" s="1041">
        <f>BH82-AW82</f>
        <v>-3</v>
      </c>
      <c r="BH82" s="1041">
        <f>+BI82-BB82</f>
        <v>-2</v>
      </c>
      <c r="BI82" s="1041">
        <v>29</v>
      </c>
      <c r="BJ82" s="1039"/>
      <c r="BK82" s="1036">
        <v>22</v>
      </c>
      <c r="BL82" s="1036">
        <v>-2</v>
      </c>
      <c r="BM82" s="1036">
        <v>20</v>
      </c>
      <c r="BN82" s="1036"/>
      <c r="BO82" s="1039"/>
      <c r="BP82" s="1041">
        <v>-4</v>
      </c>
      <c r="BQ82" s="1041"/>
      <c r="BR82" s="1041">
        <f t="shared" ref="BR82:BR98" si="190">+BY82-BP82</f>
        <v>-5</v>
      </c>
      <c r="BS82" s="1041">
        <v>-4</v>
      </c>
      <c r="BT82" s="1041">
        <v>-4</v>
      </c>
      <c r="BU82" s="1041">
        <v>-2</v>
      </c>
      <c r="BV82" s="1041">
        <f>CC82-BT82</f>
        <v>-2</v>
      </c>
      <c r="BW82" s="1041"/>
      <c r="BX82" s="1044">
        <v>-13</v>
      </c>
      <c r="BY82" s="1041">
        <v>-9</v>
      </c>
      <c r="BZ82" s="1041"/>
      <c r="CA82" s="1041"/>
      <c r="CB82" s="1041"/>
      <c r="CC82" s="1041">
        <f>CE82-BY82</f>
        <v>-6</v>
      </c>
      <c r="CD82" s="1041"/>
      <c r="CE82" s="1041">
        <v>-15</v>
      </c>
      <c r="CF82" s="1039"/>
      <c r="CG82" s="1045">
        <v>-3</v>
      </c>
      <c r="CH82" s="1046">
        <v>-4.5139999999999985</v>
      </c>
      <c r="CI82" s="1046">
        <f>CI83+CI84</f>
        <v>-4.5139999999999985</v>
      </c>
      <c r="CJ82" s="1047">
        <f t="shared" si="174"/>
        <v>-2</v>
      </c>
      <c r="CK82" s="1047">
        <v>-3</v>
      </c>
      <c r="CL82" s="1047">
        <f>CP82-CR82</f>
        <v>-2</v>
      </c>
      <c r="CM82" s="1047"/>
      <c r="CN82" s="1047"/>
      <c r="CO82" s="1047">
        <f t="shared" ref="CO82:CO85" si="191">CW82-CP82</f>
        <v>-2</v>
      </c>
      <c r="CP82" s="1047">
        <v>-7</v>
      </c>
      <c r="CQ82" s="1047"/>
      <c r="CR82" s="1047">
        <v>-5</v>
      </c>
      <c r="CS82" s="1047"/>
      <c r="CT82" s="1047"/>
      <c r="CU82" s="1047">
        <f t="shared" si="175"/>
        <v>-4</v>
      </c>
      <c r="CV82" s="1047"/>
      <c r="CW82" s="1048">
        <v>-9</v>
      </c>
      <c r="CX82" s="1047"/>
      <c r="CY82" s="1047">
        <v>-3</v>
      </c>
      <c r="CZ82" s="1047">
        <f>+DB82-CY82</f>
        <v>-5</v>
      </c>
      <c r="DA82" s="1047" t="e">
        <f>DA83+DA84</f>
        <v>#REF!</v>
      </c>
      <c r="DB82" s="1047">
        <v>-8</v>
      </c>
      <c r="DC82" s="1047">
        <f t="shared" si="176"/>
        <v>-1</v>
      </c>
      <c r="DD82" s="1047">
        <v>-2</v>
      </c>
      <c r="DE82" s="1047">
        <f t="shared" si="42"/>
        <v>-3</v>
      </c>
      <c r="DF82" s="1047"/>
      <c r="DG82" s="1047">
        <v>-9</v>
      </c>
      <c r="DH82" s="1047"/>
      <c r="DI82" s="1047">
        <f t="shared" si="3"/>
        <v>-4</v>
      </c>
      <c r="DJ82" s="1047"/>
      <c r="DK82" s="1047">
        <v>-12</v>
      </c>
      <c r="DL82" s="1049"/>
      <c r="DM82" s="1049"/>
      <c r="DN82" s="1050"/>
      <c r="DO82" s="1050"/>
      <c r="DP82" s="1051"/>
      <c r="DQ82" s="1051">
        <f>+DR82-DC82</f>
        <v>1</v>
      </c>
      <c r="DR82" s="1051">
        <f>+DS82-DB82</f>
        <v>0</v>
      </c>
      <c r="DS82" s="1052">
        <v>-8</v>
      </c>
      <c r="DT82" s="1049"/>
      <c r="DU82" s="1050"/>
      <c r="DV82" s="1053">
        <f>DW82-CY82</f>
        <v>4</v>
      </c>
      <c r="DW82" s="1054">
        <v>1</v>
      </c>
      <c r="DX82" s="1051">
        <f>DX83+DX84</f>
        <v>3</v>
      </c>
      <c r="DY82" s="1051">
        <v>4</v>
      </c>
      <c r="DZ82" s="1039"/>
      <c r="EB82" s="1054">
        <f>ED82-CP82</f>
        <v>4</v>
      </c>
      <c r="EC82" s="1051">
        <f>ED82-CR82</f>
        <v>2</v>
      </c>
      <c r="ED82" s="1049">
        <v>-3</v>
      </c>
      <c r="EE82" s="1039"/>
      <c r="EF82" s="1036"/>
      <c r="EG82" s="1055">
        <v>-3</v>
      </c>
      <c r="EH82" s="1047"/>
      <c r="EI82" s="1047">
        <f t="shared" si="177"/>
        <v>-5</v>
      </c>
      <c r="EJ82" s="1047"/>
      <c r="EK82" s="1047">
        <v>-8</v>
      </c>
      <c r="EL82" s="1047"/>
      <c r="EM82" s="1047">
        <f t="shared" ref="EM82:EM91" si="192">+EO82-EK82</f>
        <v>-5</v>
      </c>
      <c r="EN82" s="1047"/>
      <c r="EO82" s="1047">
        <v>-13</v>
      </c>
      <c r="EP82" s="1047"/>
      <c r="EQ82" s="1047">
        <f>+EU82-EO82</f>
        <v>-4</v>
      </c>
      <c r="ER82" s="1047"/>
      <c r="ES82" s="1047">
        <f>+EU82-EK82</f>
        <v>-9</v>
      </c>
      <c r="ET82" s="1047"/>
      <c r="EU82" s="1048">
        <v>-17</v>
      </c>
      <c r="EV82" s="1030"/>
      <c r="EW82" s="1047"/>
      <c r="EX82" s="1047">
        <v>0</v>
      </c>
      <c r="EY82" s="1047">
        <v>0</v>
      </c>
      <c r="EZ82" s="1047">
        <f t="shared" ref="EZ82:EZ102" si="193">+FB82-EX82</f>
        <v>3</v>
      </c>
      <c r="FA82" s="1047">
        <v>0</v>
      </c>
      <c r="FB82" s="1047">
        <v>3</v>
      </c>
      <c r="FC82" s="1047">
        <f t="shared" si="178"/>
        <v>4</v>
      </c>
      <c r="FD82" s="1007">
        <v>0</v>
      </c>
      <c r="FE82" s="1047">
        <v>7</v>
      </c>
      <c r="FF82" s="1056"/>
      <c r="FG82" s="1047">
        <f>FI82-FC82</f>
        <v>7</v>
      </c>
      <c r="FH82" s="1047">
        <f>+FL82-FE82</f>
        <v>-7</v>
      </c>
      <c r="FI82" s="1047">
        <f t="shared" ref="FI82:FI91" si="194">FK82-FB82</f>
        <v>11</v>
      </c>
      <c r="FJ82" s="1047">
        <f t="shared" si="180"/>
        <v>-3</v>
      </c>
      <c r="FK82" s="1048">
        <v>14</v>
      </c>
      <c r="FL82" s="1049"/>
      <c r="FM82" s="1050">
        <f t="shared" si="181"/>
        <v>-2</v>
      </c>
      <c r="FN82" s="1051">
        <v>-2</v>
      </c>
      <c r="FO82" s="1051">
        <f t="shared" ref="FO82:FO90" si="195">+FQ82-FE82</f>
        <v>3</v>
      </c>
      <c r="FP82" s="1051">
        <f t="shared" si="182"/>
        <v>7</v>
      </c>
      <c r="FQ82" s="1052">
        <v>10</v>
      </c>
      <c r="FR82" s="1052"/>
      <c r="FS82" s="1047">
        <v>9</v>
      </c>
      <c r="FT82" s="1051"/>
      <c r="FU82" s="1051"/>
      <c r="FV82" s="1047">
        <f t="shared" si="183"/>
        <v>3</v>
      </c>
      <c r="FW82" s="1051"/>
      <c r="FX82" s="1051"/>
      <c r="FY82" s="1047">
        <v>12</v>
      </c>
      <c r="FZ82" s="1047">
        <f>+GA82-FY82</f>
        <v>10</v>
      </c>
      <c r="GA82" s="1047">
        <v>22</v>
      </c>
      <c r="GB82" s="1047">
        <f t="shared" si="184"/>
        <v>14</v>
      </c>
      <c r="GC82" s="1047">
        <f>+GD82-FY82</f>
        <v>24</v>
      </c>
      <c r="GD82" s="1048">
        <v>36</v>
      </c>
      <c r="GE82" s="1047"/>
      <c r="GF82" s="1047"/>
      <c r="GG82" s="1047"/>
      <c r="GH82" s="1051"/>
      <c r="GI82" s="1051"/>
      <c r="GJ82" s="1057"/>
      <c r="GK82" s="1051"/>
      <c r="GL82" s="1051">
        <v>8</v>
      </c>
      <c r="GM82" s="1051"/>
      <c r="GN82" s="1051"/>
      <c r="GO82" s="1051">
        <f t="shared" si="185"/>
        <v>9</v>
      </c>
      <c r="GP82" s="1051">
        <v>17</v>
      </c>
      <c r="GQ82" s="1051"/>
      <c r="GR82" s="1047">
        <f>+GS82-GP82</f>
        <v>9</v>
      </c>
      <c r="GS82" s="1047">
        <v>26</v>
      </c>
      <c r="GT82" s="1047">
        <f t="shared" si="186"/>
        <v>10</v>
      </c>
      <c r="GU82" s="1047">
        <f>+GV82-GP82</f>
        <v>19</v>
      </c>
      <c r="GV82" s="1048">
        <v>36</v>
      </c>
      <c r="GW82" s="1047"/>
      <c r="GX82" s="1051"/>
      <c r="GY82" s="1051"/>
      <c r="GZ82" s="1051"/>
      <c r="HA82" s="1057"/>
      <c r="HB82" s="1051"/>
      <c r="HC82" s="1051"/>
      <c r="HD82" s="1051">
        <v>24</v>
      </c>
      <c r="HE82" s="1051">
        <v>24</v>
      </c>
      <c r="HF82" s="1051">
        <f t="shared" si="187"/>
        <v>6</v>
      </c>
      <c r="HG82" s="1051">
        <f t="shared" ref="HG82:HG90" si="196">+HL82-HE82</f>
        <v>6</v>
      </c>
      <c r="HH82" s="1051">
        <f t="shared" ref="HH82:HH90" si="197">HM82-HE82</f>
        <v>6</v>
      </c>
      <c r="HI82" s="1051">
        <v>30</v>
      </c>
      <c r="HJ82" s="1051"/>
      <c r="HK82" s="1051"/>
      <c r="HL82" s="1051">
        <v>30</v>
      </c>
      <c r="HM82" s="1051">
        <v>30</v>
      </c>
      <c r="HN82" s="1047">
        <f>+HP82-HI82</f>
        <v>12</v>
      </c>
      <c r="HO82" s="1047">
        <f>+HQ82-HM82</f>
        <v>12</v>
      </c>
      <c r="HP82" s="1047">
        <v>42</v>
      </c>
      <c r="HQ82" s="1047">
        <v>42</v>
      </c>
      <c r="HR82" s="1047">
        <f t="shared" si="188"/>
        <v>4</v>
      </c>
      <c r="HS82" s="1047"/>
      <c r="HT82" s="1047">
        <f>+HV82-HI82</f>
        <v>16</v>
      </c>
      <c r="HU82" s="1047">
        <f>HZ82-HM82</f>
        <v>16</v>
      </c>
      <c r="HV82" s="1047">
        <v>46</v>
      </c>
      <c r="HW82" s="1051"/>
      <c r="HX82" s="1051"/>
      <c r="HY82" s="1051"/>
      <c r="HZ82" s="1047">
        <v>46</v>
      </c>
      <c r="IA82" s="1051"/>
      <c r="IB82" s="1051"/>
      <c r="IC82" s="1057"/>
      <c r="ID82" s="1051"/>
      <c r="IE82" s="1058">
        <v>4</v>
      </c>
      <c r="IF82" s="1051">
        <f t="shared" ref="IF82:IF91" si="198">IG82-IE82</f>
        <v>17</v>
      </c>
      <c r="IG82" s="1059">
        <v>21</v>
      </c>
      <c r="IH82" s="1051">
        <f>+IJ82-IG82</f>
        <v>29</v>
      </c>
      <c r="II82" s="1051"/>
      <c r="IJ82" s="1060">
        <v>50</v>
      </c>
      <c r="IK82" s="1051">
        <f t="shared" ref="IK82:IK90" si="199">+IP82-IL82</f>
        <v>0</v>
      </c>
      <c r="IL82" s="1051"/>
      <c r="IM82" s="1051">
        <f t="shared" si="189"/>
        <v>27</v>
      </c>
      <c r="IN82" s="1051"/>
      <c r="IO82" s="1051">
        <f>+IR82-IG82</f>
        <v>56</v>
      </c>
      <c r="IP82" s="1052"/>
      <c r="IQ82" s="1051"/>
      <c r="IR82" s="1061">
        <v>77</v>
      </c>
      <c r="IS82" s="1294"/>
      <c r="IT82" s="1051">
        <f>IT83+IT84</f>
        <v>49.959452129102246</v>
      </c>
      <c r="IU82" s="1062">
        <v>70</v>
      </c>
      <c r="IV82" s="2272">
        <f t="shared" ref="IV82:IV91" si="200">IX82-IU82</f>
        <v>63</v>
      </c>
      <c r="IW82" s="1051">
        <v>63.08916842961758</v>
      </c>
      <c r="IX82" s="1051">
        <v>133</v>
      </c>
      <c r="IY82" s="1051">
        <v>133.08916842961759</v>
      </c>
      <c r="IZ82" s="1051">
        <f t="shared" ref="IZ82:IZ91" si="201">JA82-IX82</f>
        <v>91</v>
      </c>
      <c r="JA82" s="1051">
        <v>224</v>
      </c>
      <c r="JB82" s="1051">
        <f>+JC82-IZ82</f>
        <v>96</v>
      </c>
      <c r="JC82" s="1051">
        <f>+JD82-IX82</f>
        <v>187</v>
      </c>
      <c r="JD82" s="1051">
        <v>320</v>
      </c>
      <c r="JE82" s="1051"/>
      <c r="JF82" s="1051"/>
      <c r="JG82" s="1051"/>
      <c r="JH82" s="1052"/>
      <c r="JI82" s="1294"/>
      <c r="JJ82" s="1078">
        <f>JJ83+JJ84</f>
        <v>59.36768149882905</v>
      </c>
      <c r="JK82" s="1051">
        <f>JK83+JK84</f>
        <v>43.917049180327865</v>
      </c>
      <c r="JL82" s="1051">
        <v>32</v>
      </c>
      <c r="JM82" s="1051">
        <f t="shared" ref="JM82:JM84" si="202">+JP82-JL82</f>
        <v>60</v>
      </c>
      <c r="JN82" s="1051">
        <f t="shared" ref="JN82:JN85" si="203">JS82-JP82</f>
        <v>8</v>
      </c>
      <c r="JO82" s="1051"/>
      <c r="JP82" s="1051">
        <v>92</v>
      </c>
      <c r="JQ82" s="1051"/>
      <c r="JR82" s="1051"/>
      <c r="JS82" s="1051">
        <v>100</v>
      </c>
      <c r="JT82" s="1051">
        <f>JT83+JT84</f>
        <v>9.6205068510984528</v>
      </c>
      <c r="JU82" s="1051">
        <f>JU83+JU84</f>
        <v>2.4633666196296335</v>
      </c>
      <c r="JV82" s="1051">
        <f>+JL82+JK82</f>
        <v>75.917049180327865</v>
      </c>
      <c r="JW82" s="1051">
        <f>+JX82-JP82</f>
        <v>10.463366619629639</v>
      </c>
      <c r="JX82" s="1051">
        <f>+JX83+JX84</f>
        <v>102.46336661962964</v>
      </c>
      <c r="JY82" s="1051">
        <f>+JP82+JT82</f>
        <v>101.62050685109845</v>
      </c>
      <c r="JZ82" s="1071"/>
      <c r="KA82" s="1072"/>
      <c r="KB82" s="1063">
        <f t="shared" ref="KB82:KB91" si="204">+KC82-JL82</f>
        <v>64</v>
      </c>
      <c r="KC82" s="1063">
        <v>96</v>
      </c>
      <c r="KD82" s="1063">
        <f t="shared" ref="KD82" si="205">+KH82-KC82</f>
        <v>7</v>
      </c>
      <c r="KE82" s="1063">
        <f t="shared" ref="KE82:KE91" si="206">+KG82-JP82</f>
        <v>19</v>
      </c>
      <c r="KF82" s="1063">
        <f>+KG82-JS82</f>
        <v>11</v>
      </c>
      <c r="KG82" s="1063">
        <v>111</v>
      </c>
      <c r="KH82" s="1063">
        <v>103</v>
      </c>
      <c r="KI82" s="1072"/>
      <c r="KJ82" s="1071"/>
      <c r="KK82" s="1051">
        <f>KL82-IZ82</f>
        <v>55</v>
      </c>
      <c r="KL82" s="1051">
        <f t="shared" ref="KL82:KL91" si="207">KM82-IX82</f>
        <v>146</v>
      </c>
      <c r="KM82" s="1063">
        <v>279</v>
      </c>
      <c r="KN82" s="1071"/>
      <c r="KO82" s="1063">
        <v>100</v>
      </c>
      <c r="KP82" s="1051">
        <v>133</v>
      </c>
      <c r="KQ82" s="1052">
        <v>233</v>
      </c>
      <c r="KR82" s="1051">
        <v>82</v>
      </c>
      <c r="KS82" s="1052">
        <v>103</v>
      </c>
      <c r="KT82" s="1051">
        <f t="shared" ref="KT82:KT91" si="208">KU82-IE82</f>
        <v>-2</v>
      </c>
      <c r="KU82" s="1051">
        <v>2</v>
      </c>
      <c r="KV82" s="1051">
        <f t="shared" ref="KV82:KV91" si="209">KW82-KU82</f>
        <v>24</v>
      </c>
      <c r="KW82" s="1052">
        <v>26</v>
      </c>
      <c r="KX82" s="1051">
        <f t="shared" ref="KX82:KX90" si="210">KY82-HN82</f>
        <v>-2</v>
      </c>
      <c r="KY82" s="1051">
        <f t="shared" ref="KY82:KY90" si="211">KZ82-HI82</f>
        <v>10</v>
      </c>
      <c r="KZ82" s="1052">
        <v>40</v>
      </c>
      <c r="LA82" s="1051">
        <v>24</v>
      </c>
      <c r="LB82" s="1051">
        <f t="shared" ref="LB82:LB90" si="212">LC82-LA82</f>
        <v>14</v>
      </c>
      <c r="LC82" s="1052">
        <v>38</v>
      </c>
      <c r="LD82" s="1052"/>
      <c r="LE82" s="1051">
        <f>LF82-GR82</f>
        <v>-3</v>
      </c>
      <c r="LF82" s="1051">
        <f>LG82-GP82</f>
        <v>6</v>
      </c>
      <c r="LG82" s="1052">
        <v>23</v>
      </c>
    </row>
    <row r="83" spans="1:319" s="705" customFormat="1" ht="12">
      <c r="A83" s="510"/>
      <c r="B83" s="1064" t="s">
        <v>1075</v>
      </c>
      <c r="C83" s="1065" t="s">
        <v>988</v>
      </c>
      <c r="D83" s="497"/>
      <c r="E83" s="510"/>
      <c r="F83" s="510"/>
      <c r="G83" s="699"/>
      <c r="H83" s="510"/>
      <c r="I83" s="510"/>
      <c r="J83" s="699"/>
      <c r="K83" s="584"/>
      <c r="L83" s="584"/>
      <c r="M83" s="584"/>
      <c r="N83" s="584"/>
      <c r="O83" s="584"/>
      <c r="P83" s="584"/>
      <c r="Q83" s="584"/>
      <c r="R83" s="584"/>
      <c r="S83" s="700"/>
      <c r="T83" s="584"/>
      <c r="U83" s="584"/>
      <c r="V83" s="584"/>
      <c r="W83" s="584"/>
      <c r="X83" s="584"/>
      <c r="Y83" s="584"/>
      <c r="Z83" s="584"/>
      <c r="AA83" s="584"/>
      <c r="AB83" s="700"/>
      <c r="AC83" s="584"/>
      <c r="AD83" s="584"/>
      <c r="AE83" s="584"/>
      <c r="AF83" s="584"/>
      <c r="AG83" s="584"/>
      <c r="AH83" s="584"/>
      <c r="AI83" s="584"/>
      <c r="AJ83" s="584"/>
      <c r="AK83" s="497"/>
      <c r="AL83" s="584"/>
      <c r="AM83" s="584"/>
      <c r="AN83" s="584"/>
      <c r="AO83" s="584"/>
      <c r="AP83" s="584"/>
      <c r="AQ83" s="584"/>
      <c r="AR83" s="584"/>
      <c r="AS83" s="584"/>
      <c r="AT83" s="497"/>
      <c r="AU83" s="584"/>
      <c r="AV83" s="584"/>
      <c r="AW83" s="584"/>
      <c r="AX83" s="584"/>
      <c r="AY83" s="584"/>
      <c r="AZ83" s="584"/>
      <c r="BA83" s="584"/>
      <c r="BB83" s="625"/>
      <c r="BC83" s="625"/>
      <c r="BD83" s="584"/>
      <c r="BE83" s="584"/>
      <c r="BF83" s="497"/>
      <c r="BG83" s="584"/>
      <c r="BH83" s="584"/>
      <c r="BI83" s="584"/>
      <c r="BJ83" s="497"/>
      <c r="BK83" s="510"/>
      <c r="BL83" s="510"/>
      <c r="BM83" s="510"/>
      <c r="BN83" s="510"/>
      <c r="BO83" s="497"/>
      <c r="BP83" s="584">
        <f>BP82-BP84</f>
        <v>0</v>
      </c>
      <c r="BQ83" s="584"/>
      <c r="BR83" s="584"/>
      <c r="BS83" s="584">
        <v>-2</v>
      </c>
      <c r="BT83" s="584"/>
      <c r="BU83" s="584">
        <v>0</v>
      </c>
      <c r="BV83" s="584"/>
      <c r="BW83" s="584"/>
      <c r="BY83" s="584">
        <f>BY82-BY84</f>
        <v>0.76304944211276293</v>
      </c>
      <c r="BZ83" s="584"/>
      <c r="CA83" s="584"/>
      <c r="CB83" s="584"/>
      <c r="CC83" s="584"/>
      <c r="CD83" s="584"/>
      <c r="CE83" s="584"/>
      <c r="CF83" s="497"/>
      <c r="CG83" s="591">
        <v>-1</v>
      </c>
      <c r="CH83" s="559">
        <v>-1.0139999999999987</v>
      </c>
      <c r="CI83" s="559">
        <v>-1.0139999999999987</v>
      </c>
      <c r="CJ83" s="1025">
        <f t="shared" si="174"/>
        <v>2</v>
      </c>
      <c r="CK83" s="1025"/>
      <c r="CL83" s="1025">
        <v>0</v>
      </c>
      <c r="CM83" s="1025">
        <v>-1.6436282772842248</v>
      </c>
      <c r="CN83" s="1025"/>
      <c r="CO83" s="1025">
        <f>CW83-CP83</f>
        <v>-3</v>
      </c>
      <c r="CP83" s="1025">
        <f>CL83+CR83</f>
        <v>1</v>
      </c>
      <c r="CQ83" s="1025"/>
      <c r="CR83" s="1025">
        <v>1</v>
      </c>
      <c r="CS83" s="1025"/>
      <c r="CT83" s="1025"/>
      <c r="CU83" s="1025">
        <f t="shared" si="175"/>
        <v>-3</v>
      </c>
      <c r="CV83" s="1025"/>
      <c r="CW83" s="1066">
        <v>-2</v>
      </c>
      <c r="CX83" s="1025"/>
      <c r="CY83" s="1025">
        <v>0</v>
      </c>
      <c r="CZ83" s="1025">
        <f>+DB83-CY83</f>
        <v>-1</v>
      </c>
      <c r="DA83" s="1025" t="e">
        <f>+#REF!+CY83</f>
        <v>#REF!</v>
      </c>
      <c r="DB83" s="1025">
        <v>-1</v>
      </c>
      <c r="DC83" s="1025">
        <v>-2</v>
      </c>
      <c r="DD83" s="1025">
        <v>-1</v>
      </c>
      <c r="DE83" s="1025">
        <f t="shared" si="42"/>
        <v>-1</v>
      </c>
      <c r="DF83" s="1025"/>
      <c r="DG83" s="1025">
        <f>+DC83+DB83</f>
        <v>-3</v>
      </c>
      <c r="DH83" s="1025"/>
      <c r="DI83" s="1025">
        <f t="shared" si="3"/>
        <v>-3</v>
      </c>
      <c r="DJ83" s="1025"/>
      <c r="DK83" s="1025">
        <v>-4</v>
      </c>
      <c r="DL83" s="1026"/>
      <c r="DM83" s="1026"/>
      <c r="DN83" s="1027"/>
      <c r="DO83" s="1027"/>
      <c r="DP83" s="1029"/>
      <c r="DQ83" s="1029"/>
      <c r="DR83" s="1029"/>
      <c r="DS83" s="1030"/>
      <c r="DT83" s="1026"/>
      <c r="DU83" s="1027"/>
      <c r="DV83" s="759">
        <f>DW83-CY83</f>
        <v>2</v>
      </c>
      <c r="DW83" s="705">
        <v>2</v>
      </c>
      <c r="DX83" s="1029">
        <v>3</v>
      </c>
      <c r="DY83" s="1029">
        <f>DX83+DW83</f>
        <v>5</v>
      </c>
      <c r="DZ83" s="497"/>
      <c r="EC83" s="1029">
        <v>8</v>
      </c>
      <c r="ED83" s="1026">
        <f>CR83+EC83</f>
        <v>9</v>
      </c>
      <c r="EE83" s="497"/>
      <c r="EF83" s="510"/>
      <c r="EG83" s="1067">
        <v>-1</v>
      </c>
      <c r="EH83" s="1025"/>
      <c r="EI83" s="1025">
        <f t="shared" si="177"/>
        <v>1</v>
      </c>
      <c r="EJ83" s="1025"/>
      <c r="EK83" s="1025"/>
      <c r="EL83" s="1025"/>
      <c r="EM83" s="1025">
        <v>-2</v>
      </c>
      <c r="EN83" s="1025"/>
      <c r="EO83" s="1025"/>
      <c r="EP83" s="1025"/>
      <c r="EQ83" s="1025"/>
      <c r="ER83" s="1025"/>
      <c r="ES83" s="1025"/>
      <c r="ET83" s="1025"/>
      <c r="EU83" s="1066">
        <v>-10</v>
      </c>
      <c r="EV83" s="1030"/>
      <c r="EW83" s="1025"/>
      <c r="EX83" s="1025">
        <v>-2</v>
      </c>
      <c r="EY83" s="1025">
        <v>2</v>
      </c>
      <c r="EZ83" s="1025">
        <f t="shared" si="193"/>
        <v>4.5</v>
      </c>
      <c r="FA83" s="1025"/>
      <c r="FB83" s="1025">
        <v>2.5</v>
      </c>
      <c r="FC83" s="1025">
        <v>6</v>
      </c>
      <c r="FD83" s="561">
        <v>0</v>
      </c>
      <c r="FE83" s="1025">
        <f>FC83+FB83</f>
        <v>8.5</v>
      </c>
      <c r="FF83" s="561"/>
      <c r="FG83" s="561">
        <f t="shared" ref="FG83:FG92" si="213">FK83-FE83</f>
        <v>6.5</v>
      </c>
      <c r="FH83" s="1025">
        <f t="shared" si="179"/>
        <v>-8.5</v>
      </c>
      <c r="FI83" s="1025">
        <f t="shared" si="194"/>
        <v>12.5</v>
      </c>
      <c r="FJ83" s="1025">
        <f t="shared" si="180"/>
        <v>-2.5</v>
      </c>
      <c r="FK83" s="1066">
        <v>15</v>
      </c>
      <c r="FL83" s="1026"/>
      <c r="FM83" s="1027">
        <f t="shared" si="181"/>
        <v>2</v>
      </c>
      <c r="FN83" s="1029"/>
      <c r="FO83" s="1029">
        <f t="shared" si="195"/>
        <v>1.5</v>
      </c>
      <c r="FP83" s="1029">
        <f t="shared" si="182"/>
        <v>7.5</v>
      </c>
      <c r="FQ83" s="1030">
        <v>10</v>
      </c>
      <c r="FR83" s="1030"/>
      <c r="FS83" s="1025">
        <v>8</v>
      </c>
      <c r="FT83" s="1029"/>
      <c r="FU83" s="1029"/>
      <c r="FV83" s="1025">
        <f t="shared" si="183"/>
        <v>3</v>
      </c>
      <c r="FW83" s="1029"/>
      <c r="FX83" s="1029"/>
      <c r="FY83" s="1025">
        <v>11</v>
      </c>
      <c r="FZ83" s="1025">
        <v>5</v>
      </c>
      <c r="GA83" s="1025">
        <f>FY83+FZ83</f>
        <v>16</v>
      </c>
      <c r="GB83" s="1025">
        <f t="shared" si="184"/>
        <v>5</v>
      </c>
      <c r="GC83" s="1025">
        <f>GD83-FY83</f>
        <v>10</v>
      </c>
      <c r="GD83" s="1066">
        <v>21</v>
      </c>
      <c r="GE83" s="1025"/>
      <c r="GF83" s="1025"/>
      <c r="GG83" s="1025"/>
      <c r="GH83" s="1029"/>
      <c r="GI83" s="1029"/>
      <c r="GJ83" s="1032"/>
      <c r="GK83" s="1029"/>
      <c r="GL83" s="1029">
        <v>2.5</v>
      </c>
      <c r="GM83" s="1029"/>
      <c r="GN83" s="1029"/>
      <c r="GO83" s="1029">
        <f t="shared" si="185"/>
        <v>5.5</v>
      </c>
      <c r="GP83" s="1029">
        <v>8</v>
      </c>
      <c r="GQ83" s="1029"/>
      <c r="GR83" s="1025">
        <v>4</v>
      </c>
      <c r="GS83" s="1025">
        <f>GR83+GP83</f>
        <v>12</v>
      </c>
      <c r="GT83" s="1025">
        <f t="shared" si="186"/>
        <v>4</v>
      </c>
      <c r="GU83" s="1025">
        <f>GV83-GP83</f>
        <v>8</v>
      </c>
      <c r="GV83" s="1068">
        <v>16</v>
      </c>
      <c r="GW83" s="1025"/>
      <c r="GX83" s="1029"/>
      <c r="GY83" s="1029"/>
      <c r="GZ83" s="1029"/>
      <c r="HA83" s="1032"/>
      <c r="HB83" s="1029"/>
      <c r="HC83" s="1029"/>
      <c r="HD83" s="1029">
        <v>9</v>
      </c>
      <c r="HE83" s="1029">
        <v>9</v>
      </c>
      <c r="HF83" s="1029">
        <f t="shared" si="187"/>
        <v>-7</v>
      </c>
      <c r="HG83" s="1029">
        <f t="shared" si="196"/>
        <v>-7</v>
      </c>
      <c r="HH83" s="1029">
        <f t="shared" si="197"/>
        <v>-7</v>
      </c>
      <c r="HI83" s="1029">
        <v>2</v>
      </c>
      <c r="HJ83" s="1029"/>
      <c r="HK83" s="1029"/>
      <c r="HL83" s="1029">
        <v>2</v>
      </c>
      <c r="HM83" s="1029">
        <v>2</v>
      </c>
      <c r="HN83" s="1025">
        <v>-4</v>
      </c>
      <c r="HO83" s="1025">
        <v>-4</v>
      </c>
      <c r="HP83" s="1025">
        <f>HN83+HI83</f>
        <v>-2</v>
      </c>
      <c r="HQ83" s="1025">
        <f>HO83+HM83</f>
        <v>-2</v>
      </c>
      <c r="HR83" s="1025">
        <f t="shared" si="188"/>
        <v>-8</v>
      </c>
      <c r="HS83" s="1025"/>
      <c r="HT83" s="1025">
        <f>HV83-HI83</f>
        <v>-12</v>
      </c>
      <c r="HU83" s="1025"/>
      <c r="HV83" s="1069">
        <v>-10</v>
      </c>
      <c r="HW83" s="1029"/>
      <c r="HX83" s="1029"/>
      <c r="HY83" s="1029"/>
      <c r="HZ83" s="1025"/>
      <c r="IA83" s="1029"/>
      <c r="IB83" s="1029"/>
      <c r="IC83" s="1032"/>
      <c r="ID83" s="1029"/>
      <c r="IE83" s="1033">
        <v>-4</v>
      </c>
      <c r="IF83" s="1029">
        <f t="shared" si="198"/>
        <v>7</v>
      </c>
      <c r="IG83" s="1070">
        <v>3</v>
      </c>
      <c r="IH83" s="1029">
        <v>2</v>
      </c>
      <c r="II83" s="1029"/>
      <c r="IJ83" s="1029">
        <f>IH83+IG83</f>
        <v>5</v>
      </c>
      <c r="IK83" s="1029">
        <f t="shared" si="199"/>
        <v>0</v>
      </c>
      <c r="IL83" s="1029"/>
      <c r="IM83" s="1029">
        <f t="shared" si="189"/>
        <v>0</v>
      </c>
      <c r="IN83" s="1029"/>
      <c r="IO83" s="1029">
        <f>IR83-IG83</f>
        <v>2</v>
      </c>
      <c r="IP83" s="1030"/>
      <c r="IQ83" s="1029"/>
      <c r="IR83" s="1030">
        <v>5</v>
      </c>
      <c r="IS83" s="1294"/>
      <c r="IT83" s="1029">
        <f>IE18*IT21*0.7</f>
        <v>7.6445619745050184</v>
      </c>
      <c r="IU83" s="1071">
        <v>10</v>
      </c>
      <c r="IV83" s="1029">
        <f t="shared" si="200"/>
        <v>7</v>
      </c>
      <c r="IW83" s="1029">
        <v>12.800700840791974</v>
      </c>
      <c r="IX83" s="1029">
        <v>17</v>
      </c>
      <c r="IY83" s="1029">
        <v>22.800700840791976</v>
      </c>
      <c r="IZ83" s="733">
        <f t="shared" si="201"/>
        <v>12</v>
      </c>
      <c r="JA83" s="733">
        <v>29</v>
      </c>
      <c r="JB83" s="733"/>
      <c r="JC83" s="733"/>
      <c r="JD83" s="1642">
        <v>43</v>
      </c>
      <c r="JE83" s="1029"/>
      <c r="JF83" s="1029"/>
      <c r="JG83" s="1029"/>
      <c r="JH83" s="1030"/>
      <c r="JI83" s="1294"/>
      <c r="JJ83" s="1804">
        <f>IU18*JJ21*0.6</f>
        <v>18.266978922716632</v>
      </c>
      <c r="JK83" s="1805">
        <f>IV18*JK21*0.5</f>
        <v>12.262014051522247</v>
      </c>
      <c r="JL83" s="2242">
        <v>-6</v>
      </c>
      <c r="JM83" s="1028">
        <f t="shared" si="202"/>
        <v>9</v>
      </c>
      <c r="JN83" s="1028">
        <f>JS83-JP83</f>
        <v>5</v>
      </c>
      <c r="JO83" s="2242"/>
      <c r="JP83" s="2356">
        <v>3</v>
      </c>
      <c r="JQ83" s="2242"/>
      <c r="JR83" s="2242"/>
      <c r="JS83" s="2242">
        <v>8</v>
      </c>
      <c r="JT83" s="1805">
        <f>IZ18*JT21*0.5</f>
        <v>10.799999999999999</v>
      </c>
      <c r="JU83" s="1090">
        <f>+JW83-JN83</f>
        <v>4.8964336965472288</v>
      </c>
      <c r="JV83" s="1029">
        <f>+JL83+JK83</f>
        <v>6.2620140515222467</v>
      </c>
      <c r="JW83" s="1029">
        <f>+JX83-JP83</f>
        <v>9.8964336965472288</v>
      </c>
      <c r="JX83" s="1029">
        <f>+'maruchan inc'!AG36</f>
        <v>12.896433696547229</v>
      </c>
      <c r="JY83" s="1029">
        <f t="shared" ref="JY83:JY85" si="214">+JP83+JT83</f>
        <v>13.799999999999999</v>
      </c>
      <c r="JZ83" s="1071"/>
      <c r="KA83" s="1072"/>
      <c r="KB83" s="1071">
        <f t="shared" si="204"/>
        <v>22</v>
      </c>
      <c r="KC83" s="1071">
        <v>16</v>
      </c>
      <c r="KD83" s="1071">
        <f>+KH83-KC83</f>
        <v>14</v>
      </c>
      <c r="KE83" s="1071">
        <f t="shared" si="206"/>
        <v>26</v>
      </c>
      <c r="KF83" s="1071"/>
      <c r="KG83" s="1071">
        <v>29</v>
      </c>
      <c r="KH83" s="1642">
        <v>30</v>
      </c>
      <c r="KI83" s="1072"/>
      <c r="KJ83" s="1071"/>
      <c r="KK83" s="1029"/>
      <c r="KL83" s="1029">
        <f t="shared" si="207"/>
        <v>19</v>
      </c>
      <c r="KM83" s="1071">
        <v>36</v>
      </c>
      <c r="KN83" s="1071"/>
      <c r="KO83" s="1071">
        <v>9</v>
      </c>
      <c r="KP83" s="1029">
        <v>16</v>
      </c>
      <c r="KQ83" s="1030">
        <v>25</v>
      </c>
      <c r="KR83" s="1029">
        <v>26</v>
      </c>
      <c r="KS83" s="1030">
        <v>29</v>
      </c>
      <c r="KT83" s="1029">
        <f t="shared" si="208"/>
        <v>12</v>
      </c>
      <c r="KU83" s="1029">
        <v>8</v>
      </c>
      <c r="KV83" s="1029">
        <f t="shared" si="209"/>
        <v>17</v>
      </c>
      <c r="KW83" s="1073">
        <v>25</v>
      </c>
      <c r="KX83" s="1029">
        <f t="shared" si="210"/>
        <v>-2</v>
      </c>
      <c r="KY83" s="1029">
        <f t="shared" si="211"/>
        <v>-6</v>
      </c>
      <c r="KZ83" s="1030">
        <v>-4</v>
      </c>
      <c r="LA83" s="1029">
        <v>9</v>
      </c>
      <c r="LB83" s="1029">
        <f t="shared" si="212"/>
        <v>6</v>
      </c>
      <c r="LC83" s="1030">
        <v>15</v>
      </c>
      <c r="LD83" s="1030">
        <f>LB83+LC83</f>
        <v>21</v>
      </c>
      <c r="LE83" s="1029">
        <v>5</v>
      </c>
      <c r="LF83" s="1029">
        <v>5</v>
      </c>
      <c r="LG83" s="1030">
        <v>13</v>
      </c>
    </row>
    <row r="84" spans="1:319" s="705" customFormat="1" ht="12">
      <c r="A84" s="510"/>
      <c r="B84" s="1064" t="s">
        <v>1076</v>
      </c>
      <c r="C84" s="1065" t="s">
        <v>989</v>
      </c>
      <c r="D84" s="497"/>
      <c r="E84" s="510"/>
      <c r="F84" s="510"/>
      <c r="G84" s="699"/>
      <c r="H84" s="510"/>
      <c r="I84" s="510"/>
      <c r="J84" s="699"/>
      <c r="K84" s="584"/>
      <c r="L84" s="584"/>
      <c r="M84" s="584"/>
      <c r="N84" s="584"/>
      <c r="O84" s="584"/>
      <c r="P84" s="584"/>
      <c r="Q84" s="584"/>
      <c r="R84" s="584"/>
      <c r="S84" s="700"/>
      <c r="T84" s="584"/>
      <c r="U84" s="584"/>
      <c r="V84" s="584"/>
      <c r="W84" s="584"/>
      <c r="X84" s="584"/>
      <c r="Y84" s="584"/>
      <c r="Z84" s="584"/>
      <c r="AA84" s="584"/>
      <c r="AB84" s="700"/>
      <c r="AC84" s="584"/>
      <c r="AD84" s="584"/>
      <c r="AE84" s="584"/>
      <c r="AF84" s="584"/>
      <c r="AG84" s="584"/>
      <c r="AH84" s="584"/>
      <c r="AI84" s="584"/>
      <c r="AJ84" s="584"/>
      <c r="AK84" s="497"/>
      <c r="AL84" s="584"/>
      <c r="AM84" s="584"/>
      <c r="AN84" s="584"/>
      <c r="AO84" s="584"/>
      <c r="AP84" s="584"/>
      <c r="AQ84" s="584"/>
      <c r="AR84" s="584"/>
      <c r="AS84" s="584"/>
      <c r="AT84" s="497"/>
      <c r="AU84" s="584"/>
      <c r="AV84" s="584"/>
      <c r="AW84" s="584"/>
      <c r="AX84" s="584"/>
      <c r="AY84" s="584"/>
      <c r="AZ84" s="584"/>
      <c r="BA84" s="584"/>
      <c r="BB84" s="625"/>
      <c r="BC84" s="625"/>
      <c r="BD84" s="584"/>
      <c r="BE84" s="584"/>
      <c r="BF84" s="497"/>
      <c r="BG84" s="584"/>
      <c r="BH84" s="584"/>
      <c r="BI84" s="584"/>
      <c r="BJ84" s="497"/>
      <c r="BK84" s="510"/>
      <c r="BL84" s="510"/>
      <c r="BM84" s="510"/>
      <c r="BN84" s="510"/>
      <c r="BO84" s="497"/>
      <c r="BP84" s="584">
        <v>-4</v>
      </c>
      <c r="BQ84" s="584"/>
      <c r="BR84" s="584"/>
      <c r="BS84" s="584">
        <v>-2</v>
      </c>
      <c r="BT84" s="584"/>
      <c r="BU84" s="584">
        <v>-2</v>
      </c>
      <c r="BV84" s="584"/>
      <c r="BW84" s="584"/>
      <c r="BY84" s="584">
        <f>BB18*BY24</f>
        <v>-9.7630494421127629</v>
      </c>
      <c r="BZ84" s="584"/>
      <c r="CA84" s="584"/>
      <c r="CB84" s="584"/>
      <c r="CC84" s="584"/>
      <c r="CD84" s="584"/>
      <c r="CE84" s="584"/>
      <c r="CF84" s="497"/>
      <c r="CG84" s="591">
        <v>-2</v>
      </c>
      <c r="CH84" s="559">
        <v>-3.5</v>
      </c>
      <c r="CI84" s="559">
        <v>-3.5</v>
      </c>
      <c r="CJ84" s="1025">
        <f t="shared" si="174"/>
        <v>-4</v>
      </c>
      <c r="CK84" s="1025"/>
      <c r="CL84" s="1025">
        <v>-2</v>
      </c>
      <c r="CM84" s="1025">
        <v>-2</v>
      </c>
      <c r="CN84" s="1025"/>
      <c r="CO84" s="1025">
        <f t="shared" si="191"/>
        <v>1</v>
      </c>
      <c r="CP84" s="1025">
        <f>CL84+CR84</f>
        <v>-8</v>
      </c>
      <c r="CQ84" s="1025"/>
      <c r="CR84" s="1025">
        <v>-6</v>
      </c>
      <c r="CS84" s="1025"/>
      <c r="CT84" s="1025"/>
      <c r="CU84" s="1025">
        <f t="shared" si="175"/>
        <v>-1</v>
      </c>
      <c r="CV84" s="1025"/>
      <c r="CW84" s="1066">
        <v>-7</v>
      </c>
      <c r="CX84" s="1025"/>
      <c r="CY84" s="1025">
        <v>-3</v>
      </c>
      <c r="CZ84" s="1025">
        <f>+DB84-CY84</f>
        <v>-4</v>
      </c>
      <c r="DA84" s="1025" t="e">
        <f>+CY84+#REF!</f>
        <v>#REF!</v>
      </c>
      <c r="DB84" s="1025">
        <v>-7</v>
      </c>
      <c r="DC84" s="1025">
        <v>1</v>
      </c>
      <c r="DD84" s="1025"/>
      <c r="DE84" s="1025">
        <f t="shared" si="42"/>
        <v>-2</v>
      </c>
      <c r="DF84" s="1025"/>
      <c r="DG84" s="1025">
        <f>+DC84+DB84</f>
        <v>-6</v>
      </c>
      <c r="DH84" s="1025"/>
      <c r="DI84" s="1025">
        <f t="shared" si="3"/>
        <v>-1</v>
      </c>
      <c r="DJ84" s="1025"/>
      <c r="DK84" s="1025">
        <v>-8</v>
      </c>
      <c r="DL84" s="1026"/>
      <c r="DM84" s="1026"/>
      <c r="DN84" s="1027"/>
      <c r="DO84" s="1027"/>
      <c r="DP84" s="1029"/>
      <c r="DQ84" s="1029"/>
      <c r="DR84" s="1029"/>
      <c r="DS84" s="1030"/>
      <c r="DT84" s="1026"/>
      <c r="DU84" s="1027"/>
      <c r="DV84" s="759">
        <f>DW84-CY84</f>
        <v>2</v>
      </c>
      <c r="DW84" s="705">
        <v>-1</v>
      </c>
      <c r="DX84" s="1029">
        <v>0</v>
      </c>
      <c r="DY84" s="1029">
        <f>DX84+DW84</f>
        <v>-1</v>
      </c>
      <c r="DZ84" s="497"/>
      <c r="EC84" s="1029">
        <v>-6</v>
      </c>
      <c r="ED84" s="1026">
        <f>CR84+EC84</f>
        <v>-12</v>
      </c>
      <c r="EE84" s="497"/>
      <c r="EF84" s="510"/>
      <c r="EG84" s="1067">
        <v>-2</v>
      </c>
      <c r="EH84" s="1025"/>
      <c r="EI84" s="1025">
        <f t="shared" si="177"/>
        <v>2</v>
      </c>
      <c r="EJ84" s="1025"/>
      <c r="EK84" s="1025"/>
      <c r="EL84" s="1025"/>
      <c r="EM84" s="1025">
        <v>-3</v>
      </c>
      <c r="EN84" s="1025"/>
      <c r="EO84" s="1025"/>
      <c r="EP84" s="1025"/>
      <c r="EQ84" s="1025"/>
      <c r="ER84" s="1025"/>
      <c r="ES84" s="1025"/>
      <c r="ET84" s="1025"/>
      <c r="EU84" s="1066">
        <v>-7</v>
      </c>
      <c r="EV84" s="1030"/>
      <c r="EW84" s="1025"/>
      <c r="EX84" s="1025">
        <v>2</v>
      </c>
      <c r="EY84" s="1025">
        <v>-2</v>
      </c>
      <c r="EZ84" s="1025">
        <f t="shared" si="193"/>
        <v>-1.5</v>
      </c>
      <c r="FA84" s="1025"/>
      <c r="FB84" s="1025">
        <v>0.5</v>
      </c>
      <c r="FC84" s="1025">
        <v>-2</v>
      </c>
      <c r="FD84" s="1047">
        <v>0</v>
      </c>
      <c r="FE84" s="1025">
        <f>FC84+FB84</f>
        <v>-1.5</v>
      </c>
      <c r="FF84" s="1025"/>
      <c r="FG84" s="1025">
        <f t="shared" si="213"/>
        <v>0.5</v>
      </c>
      <c r="FH84" s="1025">
        <f t="shared" si="179"/>
        <v>1.5</v>
      </c>
      <c r="FI84" s="1025">
        <f t="shared" si="194"/>
        <v>-1.5</v>
      </c>
      <c r="FJ84" s="1025">
        <f t="shared" si="180"/>
        <v>-0.5</v>
      </c>
      <c r="FK84" s="1066">
        <v>-1</v>
      </c>
      <c r="FL84" s="1026"/>
      <c r="FM84" s="1027">
        <f t="shared" si="181"/>
        <v>-2</v>
      </c>
      <c r="FN84" s="1029"/>
      <c r="FO84" s="1029">
        <f t="shared" si="195"/>
        <v>1.5</v>
      </c>
      <c r="FP84" s="1029">
        <f t="shared" si="182"/>
        <v>-0.5</v>
      </c>
      <c r="FQ84" s="1030">
        <v>0</v>
      </c>
      <c r="FR84" s="1030"/>
      <c r="FS84" s="1025">
        <v>1</v>
      </c>
      <c r="FT84" s="1029"/>
      <c r="FU84" s="1029"/>
      <c r="FV84" s="1025">
        <f t="shared" si="183"/>
        <v>0</v>
      </c>
      <c r="FW84" s="1029"/>
      <c r="FX84" s="1029"/>
      <c r="FY84" s="1025">
        <v>1</v>
      </c>
      <c r="FZ84" s="1025">
        <v>5</v>
      </c>
      <c r="GA84" s="1025">
        <f>FY84+FZ84</f>
        <v>6</v>
      </c>
      <c r="GB84" s="1025">
        <f t="shared" si="184"/>
        <v>9</v>
      </c>
      <c r="GC84" s="1025">
        <f>GD84-FY84</f>
        <v>14</v>
      </c>
      <c r="GD84" s="1066">
        <v>15</v>
      </c>
      <c r="GE84" s="1025"/>
      <c r="GF84" s="1025"/>
      <c r="GG84" s="1025"/>
      <c r="GH84" s="1029"/>
      <c r="GI84" s="1029"/>
      <c r="GJ84" s="1032"/>
      <c r="GK84" s="1029"/>
      <c r="GL84" s="1029">
        <f>GL82-GL83</f>
        <v>5.5</v>
      </c>
      <c r="GM84" s="1029"/>
      <c r="GN84" s="1029"/>
      <c r="GO84" s="1029">
        <f t="shared" si="185"/>
        <v>3.5</v>
      </c>
      <c r="GP84" s="1029">
        <v>9</v>
      </c>
      <c r="GQ84" s="1029"/>
      <c r="GR84" s="1025">
        <v>5</v>
      </c>
      <c r="GS84" s="1025">
        <f>GR84+GP84</f>
        <v>14</v>
      </c>
      <c r="GT84" s="1025">
        <f t="shared" si="186"/>
        <v>6</v>
      </c>
      <c r="GU84" s="1025">
        <f>GV84-GP84</f>
        <v>11</v>
      </c>
      <c r="GV84" s="1068">
        <v>20</v>
      </c>
      <c r="GW84" s="1025"/>
      <c r="GX84" s="1029"/>
      <c r="GY84" s="1029"/>
      <c r="GZ84" s="1029"/>
      <c r="HA84" s="1032"/>
      <c r="HB84" s="1029"/>
      <c r="HC84" s="1029"/>
      <c r="HD84" s="1029">
        <v>15</v>
      </c>
      <c r="HE84" s="1029">
        <v>15</v>
      </c>
      <c r="HF84" s="1029">
        <f t="shared" si="187"/>
        <v>13</v>
      </c>
      <c r="HG84" s="1029">
        <f t="shared" si="196"/>
        <v>13</v>
      </c>
      <c r="HH84" s="1029">
        <f t="shared" si="197"/>
        <v>13</v>
      </c>
      <c r="HI84" s="1029">
        <v>28</v>
      </c>
      <c r="HJ84" s="1029"/>
      <c r="HK84" s="1029"/>
      <c r="HL84" s="1029">
        <v>28</v>
      </c>
      <c r="HM84" s="1029">
        <v>28</v>
      </c>
      <c r="HN84" s="1025">
        <v>16</v>
      </c>
      <c r="HO84" s="1025">
        <v>16</v>
      </c>
      <c r="HP84" s="1025">
        <f>HN84+HI84</f>
        <v>44</v>
      </c>
      <c r="HQ84" s="1025">
        <f>HO84+HM84</f>
        <v>44</v>
      </c>
      <c r="HR84" s="1025">
        <f t="shared" si="188"/>
        <v>12</v>
      </c>
      <c r="HS84" s="1025"/>
      <c r="HT84" s="1025">
        <f>HV84-HI84</f>
        <v>28</v>
      </c>
      <c r="HU84" s="1025"/>
      <c r="HV84" s="1069">
        <v>56</v>
      </c>
      <c r="HW84" s="1029"/>
      <c r="HX84" s="1029"/>
      <c r="HY84" s="1029"/>
      <c r="HZ84" s="1025"/>
      <c r="IA84" s="1029"/>
      <c r="IB84" s="1029"/>
      <c r="IC84" s="1032"/>
      <c r="ID84" s="1029"/>
      <c r="IE84" s="1033">
        <v>8</v>
      </c>
      <c r="IF84" s="1029">
        <f t="shared" si="198"/>
        <v>0</v>
      </c>
      <c r="IG84" s="1070">
        <v>8</v>
      </c>
      <c r="IH84" s="1029">
        <v>27</v>
      </c>
      <c r="II84" s="1029"/>
      <c r="IJ84" s="1029">
        <f>IH84+IG84</f>
        <v>35</v>
      </c>
      <c r="IK84" s="1029">
        <f t="shared" si="199"/>
        <v>0</v>
      </c>
      <c r="IL84" s="1029"/>
      <c r="IM84" s="1029">
        <f t="shared" si="189"/>
        <v>37</v>
      </c>
      <c r="IN84" s="1029"/>
      <c r="IO84" s="1029">
        <f>IR84-IG84</f>
        <v>64</v>
      </c>
      <c r="IP84" s="1030"/>
      <c r="IQ84" s="1029"/>
      <c r="IR84" s="1030">
        <v>72</v>
      </c>
      <c r="IS84" s="1294"/>
      <c r="IT84" s="1029">
        <f>IE18*IT24+3</f>
        <v>42.314890154597229</v>
      </c>
      <c r="IU84" s="1071">
        <v>60</v>
      </c>
      <c r="IV84" s="1029">
        <f t="shared" si="200"/>
        <v>56</v>
      </c>
      <c r="IW84" s="1029">
        <v>50.288467588825604</v>
      </c>
      <c r="IX84" s="1029">
        <v>116</v>
      </c>
      <c r="IY84" s="1029">
        <v>110.2884675888256</v>
      </c>
      <c r="IZ84" s="733">
        <f t="shared" si="201"/>
        <v>79</v>
      </c>
      <c r="JA84" s="733">
        <v>195</v>
      </c>
      <c r="JB84" s="733"/>
      <c r="JC84" s="733"/>
      <c r="JD84" s="1642">
        <v>277</v>
      </c>
      <c r="JE84" s="1029"/>
      <c r="JF84" s="1029"/>
      <c r="JG84" s="1029"/>
      <c r="JH84" s="1030"/>
      <c r="JI84" s="1294"/>
      <c r="JJ84" s="1804">
        <f>IU18*JJ24*0.9</f>
        <v>41.100702576112418</v>
      </c>
      <c r="JK84" s="1805">
        <f>IV18*JK24*1+1</f>
        <v>31.655035128805618</v>
      </c>
      <c r="JL84" s="2242">
        <v>38</v>
      </c>
      <c r="JM84" s="1028">
        <f t="shared" si="202"/>
        <v>51</v>
      </c>
      <c r="JN84" s="1028">
        <f t="shared" si="203"/>
        <v>3</v>
      </c>
      <c r="JO84" s="2242"/>
      <c r="JP84" s="2356">
        <f>+JP82-JP83</f>
        <v>89</v>
      </c>
      <c r="JQ84" s="2242"/>
      <c r="JR84" s="2242"/>
      <c r="JS84" s="2242">
        <v>92</v>
      </c>
      <c r="JT84" s="1805">
        <f>IW18*JT24*0.4</f>
        <v>-1.1794931489015459</v>
      </c>
      <c r="JU84" s="1090">
        <f>+JW84-JN84</f>
        <v>-2.4330670769175953</v>
      </c>
      <c r="JV84" s="1029">
        <f>+JL84+JK84</f>
        <v>69.655035128805622</v>
      </c>
      <c r="JW84" s="1029">
        <f>+JX84-JP84</f>
        <v>0.56693292308240473</v>
      </c>
      <c r="JX84" s="1029">
        <f>+'maruchan inc'!AG38</f>
        <v>89.566932923082405</v>
      </c>
      <c r="JY84" s="1029">
        <f t="shared" si="214"/>
        <v>87.820506851098457</v>
      </c>
      <c r="JZ84" s="1071"/>
      <c r="KA84" s="1072"/>
      <c r="KB84" s="1071">
        <f t="shared" si="204"/>
        <v>42</v>
      </c>
      <c r="KC84" s="1071">
        <v>80</v>
      </c>
      <c r="KD84" s="1071">
        <f>+KH84-KC84</f>
        <v>-7</v>
      </c>
      <c r="KE84" s="1071">
        <f t="shared" si="206"/>
        <v>-7</v>
      </c>
      <c r="KF84" s="1071"/>
      <c r="KG84" s="1071">
        <v>82</v>
      </c>
      <c r="KH84" s="1642">
        <v>73</v>
      </c>
      <c r="KI84" s="1072"/>
      <c r="KJ84" s="1071"/>
      <c r="KK84" s="1029"/>
      <c r="KL84" s="1029">
        <f t="shared" si="207"/>
        <v>127</v>
      </c>
      <c r="KM84" s="1071">
        <v>243</v>
      </c>
      <c r="KN84" s="1071"/>
      <c r="KO84" s="1071">
        <v>91</v>
      </c>
      <c r="KP84" s="1029">
        <v>117</v>
      </c>
      <c r="KQ84" s="1030">
        <v>208</v>
      </c>
      <c r="KR84" s="1074">
        <v>66</v>
      </c>
      <c r="KS84" s="1030">
        <v>74</v>
      </c>
      <c r="KT84" s="1029">
        <f t="shared" si="208"/>
        <v>-14</v>
      </c>
      <c r="KU84" s="1029">
        <v>-6</v>
      </c>
      <c r="KV84" s="1029">
        <f t="shared" si="209"/>
        <v>7</v>
      </c>
      <c r="KW84" s="1073">
        <v>1</v>
      </c>
      <c r="KX84" s="1029">
        <f t="shared" si="210"/>
        <v>0</v>
      </c>
      <c r="KY84" s="1029">
        <f t="shared" si="211"/>
        <v>16</v>
      </c>
      <c r="KZ84" s="1030">
        <v>44</v>
      </c>
      <c r="LA84" s="1029">
        <v>15</v>
      </c>
      <c r="LB84" s="1029">
        <f t="shared" si="212"/>
        <v>8</v>
      </c>
      <c r="LC84" s="1030">
        <v>23</v>
      </c>
      <c r="LD84" s="1030">
        <f>LB84+LC84</f>
        <v>31</v>
      </c>
      <c r="LE84" s="1029">
        <f t="shared" ref="LE84:LE90" si="215">LF84-GR84</f>
        <v>-4</v>
      </c>
      <c r="LF84" s="1029">
        <f>LG84-GP84</f>
        <v>1</v>
      </c>
      <c r="LG84" s="1030">
        <v>10</v>
      </c>
    </row>
    <row r="85" spans="1:319" s="1044" customFormat="1" ht="12">
      <c r="A85" s="1036"/>
      <c r="B85" s="1037" t="s">
        <v>1077</v>
      </c>
      <c r="C85" s="1038" t="s">
        <v>942</v>
      </c>
      <c r="D85" s="1075"/>
      <c r="E85" s="1076"/>
      <c r="F85" s="1076"/>
      <c r="G85" s="1038"/>
      <c r="H85" s="1076"/>
      <c r="I85" s="1076"/>
      <c r="J85" s="1038"/>
      <c r="K85" s="1041"/>
      <c r="L85" s="1041"/>
      <c r="M85" s="1041"/>
      <c r="N85" s="1041"/>
      <c r="O85" s="1041"/>
      <c r="P85" s="1041"/>
      <c r="Q85" s="1041"/>
      <c r="R85" s="1041"/>
      <c r="S85" s="1077"/>
      <c r="T85" s="1041"/>
      <c r="U85" s="1041"/>
      <c r="V85" s="1041"/>
      <c r="W85" s="1041"/>
      <c r="X85" s="1041"/>
      <c r="Y85" s="1041"/>
      <c r="Z85" s="1041"/>
      <c r="AA85" s="1041"/>
      <c r="AB85" s="1077"/>
      <c r="AC85" s="1041"/>
      <c r="AD85" s="1041"/>
      <c r="AE85" s="1041"/>
      <c r="AF85" s="1041"/>
      <c r="AG85" s="1041"/>
      <c r="AH85" s="1041">
        <v>6</v>
      </c>
      <c r="AI85" s="1041">
        <f>+AJ85-AH85</f>
        <v>-16</v>
      </c>
      <c r="AJ85" s="1041">
        <v>-10</v>
      </c>
      <c r="AK85" s="1075"/>
      <c r="AL85" s="1041">
        <v>-18</v>
      </c>
      <c r="AM85" s="1041">
        <f>+AQ85-AL85</f>
        <v>-17</v>
      </c>
      <c r="AN85" s="1041">
        <f>+AP85-AQ85</f>
        <v>-10</v>
      </c>
      <c r="AO85" s="1041">
        <f>+AR85-AN85</f>
        <v>0</v>
      </c>
      <c r="AP85" s="1041">
        <v>-45</v>
      </c>
      <c r="AQ85" s="1041">
        <v>-35</v>
      </c>
      <c r="AR85" s="1041">
        <f>+AS85-AQ85</f>
        <v>-10</v>
      </c>
      <c r="AS85" s="1041">
        <v>-45</v>
      </c>
      <c r="AT85" s="1075"/>
      <c r="AU85" s="1041">
        <v>3</v>
      </c>
      <c r="AV85" s="1041">
        <f>+BB85-AU85</f>
        <v>2</v>
      </c>
      <c r="AW85" s="1041">
        <f>+BA85-BB85</f>
        <v>2</v>
      </c>
      <c r="AX85" s="1041">
        <v>-5</v>
      </c>
      <c r="AY85" s="1041">
        <f t="shared" si="173"/>
        <v>1</v>
      </c>
      <c r="AZ85" s="1041"/>
      <c r="BA85" s="1041">
        <v>7</v>
      </c>
      <c r="BB85" s="1043">
        <v>5</v>
      </c>
      <c r="BC85" s="1043">
        <f t="shared" si="172"/>
        <v>3</v>
      </c>
      <c r="BD85" s="1041"/>
      <c r="BE85" s="1041">
        <v>8</v>
      </c>
      <c r="BF85" s="1075"/>
      <c r="BG85" s="1041">
        <f>BH85-AW85</f>
        <v>-5</v>
      </c>
      <c r="BH85" s="1041">
        <f>+BI85-BB85</f>
        <v>-3</v>
      </c>
      <c r="BI85" s="1041">
        <v>2</v>
      </c>
      <c r="BJ85" s="1075"/>
      <c r="BK85" s="1036">
        <v>4</v>
      </c>
      <c r="BL85" s="1036">
        <v>2</v>
      </c>
      <c r="BM85" s="1036">
        <v>6</v>
      </c>
      <c r="BN85" s="1036"/>
      <c r="BO85" s="1075"/>
      <c r="BP85" s="1041">
        <v>-2</v>
      </c>
      <c r="BQ85" s="1041"/>
      <c r="BR85" s="1041">
        <f t="shared" si="190"/>
        <v>1</v>
      </c>
      <c r="BS85" s="1041">
        <v>4</v>
      </c>
      <c r="BT85" s="1041">
        <v>4</v>
      </c>
      <c r="BU85" s="1041">
        <v>4</v>
      </c>
      <c r="BV85" s="1041">
        <f t="shared" ref="BV85:BV98" si="216">CC85-BT85</f>
        <v>2</v>
      </c>
      <c r="BW85" s="1041"/>
      <c r="BX85" s="1044">
        <v>3</v>
      </c>
      <c r="BY85" s="1041">
        <v>-1</v>
      </c>
      <c r="BZ85" s="1041"/>
      <c r="CA85" s="1041"/>
      <c r="CB85" s="1041"/>
      <c r="CC85" s="1041">
        <f t="shared" ref="CC85:CC98" si="217">CE85-BY85</f>
        <v>6</v>
      </c>
      <c r="CD85" s="1041"/>
      <c r="CE85" s="1041">
        <v>5</v>
      </c>
      <c r="CF85" s="1075"/>
      <c r="CG85" s="1045">
        <v>2</v>
      </c>
      <c r="CH85" s="1046">
        <v>2</v>
      </c>
      <c r="CI85" s="1046">
        <v>2.5</v>
      </c>
      <c r="CJ85" s="1047">
        <f t="shared" si="174"/>
        <v>1</v>
      </c>
      <c r="CK85" s="1047">
        <v>3</v>
      </c>
      <c r="CL85" s="1047">
        <f>CP85-CR85</f>
        <v>1</v>
      </c>
      <c r="CM85" s="1047">
        <v>2</v>
      </c>
      <c r="CN85" s="1047"/>
      <c r="CO85" s="1047">
        <f t="shared" si="191"/>
        <v>2</v>
      </c>
      <c r="CP85" s="1047">
        <v>4</v>
      </c>
      <c r="CQ85" s="1047"/>
      <c r="CR85" s="1047">
        <v>3</v>
      </c>
      <c r="CS85" s="1047"/>
      <c r="CT85" s="1047"/>
      <c r="CU85" s="1047">
        <f t="shared" ref="CU85:CU102" si="218">CW85-CR85</f>
        <v>3</v>
      </c>
      <c r="CV85" s="1047"/>
      <c r="CW85" s="1048">
        <v>6</v>
      </c>
      <c r="CX85" s="1047"/>
      <c r="CY85" s="1047">
        <v>3</v>
      </c>
      <c r="CZ85" s="1047">
        <f>+DB85-CY85</f>
        <v>3</v>
      </c>
      <c r="DA85" s="1047" t="e">
        <f>#REF!+CY85</f>
        <v>#REF!</v>
      </c>
      <c r="DB85" s="1047">
        <v>6</v>
      </c>
      <c r="DC85" s="1047">
        <f t="shared" si="176"/>
        <v>6</v>
      </c>
      <c r="DD85" s="1047">
        <v>6</v>
      </c>
      <c r="DE85" s="1047">
        <f t="shared" si="42"/>
        <v>6</v>
      </c>
      <c r="DF85" s="1047"/>
      <c r="DG85" s="1047">
        <v>12</v>
      </c>
      <c r="DH85" s="1047"/>
      <c r="DI85" s="1047">
        <f t="shared" si="3"/>
        <v>12</v>
      </c>
      <c r="DJ85" s="1047"/>
      <c r="DK85" s="1047">
        <v>18</v>
      </c>
      <c r="DL85" s="1049"/>
      <c r="DM85" s="1049"/>
      <c r="DN85" s="1050"/>
      <c r="DO85" s="1050"/>
      <c r="DP85" s="1051"/>
      <c r="DQ85" s="1051">
        <f>+DR85-DC85</f>
        <v>0</v>
      </c>
      <c r="DR85" s="1051">
        <f>+DS85-DB85</f>
        <v>6</v>
      </c>
      <c r="DS85" s="1052">
        <v>12</v>
      </c>
      <c r="DT85" s="1049"/>
      <c r="DU85" s="1050"/>
      <c r="DV85" s="1053">
        <f>DW85-CY85</f>
        <v>4</v>
      </c>
      <c r="DW85" s="1054">
        <v>7</v>
      </c>
      <c r="DX85" s="1051">
        <f>DY85-DB85</f>
        <v>-3</v>
      </c>
      <c r="DY85" s="1051">
        <v>3</v>
      </c>
      <c r="DZ85" s="1075"/>
      <c r="EB85" s="1054">
        <f>ED85-CP85</f>
        <v>2</v>
      </c>
      <c r="EC85" s="1051">
        <f>ED85-CR85</f>
        <v>3</v>
      </c>
      <c r="ED85" s="1049">
        <v>6</v>
      </c>
      <c r="EE85" s="1075"/>
      <c r="EF85" s="1036"/>
      <c r="EG85" s="1055">
        <v>5</v>
      </c>
      <c r="EH85" s="1047"/>
      <c r="EI85" s="1047">
        <f t="shared" si="177"/>
        <v>5</v>
      </c>
      <c r="EJ85" s="1047"/>
      <c r="EK85" s="1047">
        <v>10</v>
      </c>
      <c r="EL85" s="1047"/>
      <c r="EM85" s="1047">
        <f t="shared" si="192"/>
        <v>3</v>
      </c>
      <c r="EN85" s="1047"/>
      <c r="EO85" s="1047">
        <v>13</v>
      </c>
      <c r="EP85" s="1047"/>
      <c r="EQ85" s="1047">
        <f t="shared" ref="EQ85:EQ91" si="219">+EU85-EO85</f>
        <v>1</v>
      </c>
      <c r="ER85" s="1047"/>
      <c r="ES85" s="1047">
        <f>+EU85-EK85</f>
        <v>4</v>
      </c>
      <c r="ET85" s="1047"/>
      <c r="EU85" s="1048">
        <v>14</v>
      </c>
      <c r="EV85" s="1030"/>
      <c r="EW85" s="1047"/>
      <c r="EX85" s="1047">
        <v>0</v>
      </c>
      <c r="EY85" s="1047">
        <v>2</v>
      </c>
      <c r="EZ85" s="1047">
        <f t="shared" si="193"/>
        <v>1</v>
      </c>
      <c r="FA85" s="1047">
        <v>2</v>
      </c>
      <c r="FB85" s="1047">
        <v>1</v>
      </c>
      <c r="FC85" s="1047">
        <f t="shared" si="178"/>
        <v>1</v>
      </c>
      <c r="FD85" s="1025">
        <v>0</v>
      </c>
      <c r="FE85" s="1047">
        <v>2</v>
      </c>
      <c r="FF85" s="1047"/>
      <c r="FG85" s="1047">
        <f>FI85-FC85</f>
        <v>-1</v>
      </c>
      <c r="FH85" s="1047">
        <f>+FL85-FE85</f>
        <v>-2</v>
      </c>
      <c r="FI85" s="1047">
        <f t="shared" si="194"/>
        <v>0</v>
      </c>
      <c r="FJ85" s="1047">
        <f t="shared" si="180"/>
        <v>-1</v>
      </c>
      <c r="FK85" s="1048">
        <v>1</v>
      </c>
      <c r="FL85" s="1049"/>
      <c r="FM85" s="1050">
        <f t="shared" si="181"/>
        <v>3</v>
      </c>
      <c r="FN85" s="1051">
        <v>3</v>
      </c>
      <c r="FO85" s="1051">
        <f t="shared" si="195"/>
        <v>0</v>
      </c>
      <c r="FP85" s="1051">
        <f t="shared" si="182"/>
        <v>1</v>
      </c>
      <c r="FQ85" s="1052">
        <v>2</v>
      </c>
      <c r="FR85" s="1052"/>
      <c r="FS85" s="1047">
        <v>-4</v>
      </c>
      <c r="FT85" s="1051"/>
      <c r="FU85" s="1051"/>
      <c r="FV85" s="1047">
        <f t="shared" si="183"/>
        <v>-6</v>
      </c>
      <c r="FW85" s="1051"/>
      <c r="FX85" s="1051"/>
      <c r="FY85" s="1047">
        <v>-10</v>
      </c>
      <c r="FZ85" s="1047">
        <f>+GA85-FY85</f>
        <v>-7</v>
      </c>
      <c r="GA85" s="1047">
        <v>-17</v>
      </c>
      <c r="GB85" s="1047">
        <f t="shared" si="184"/>
        <v>-7</v>
      </c>
      <c r="GC85" s="1047">
        <f>+GD85-FY85</f>
        <v>-14</v>
      </c>
      <c r="GD85" s="1048">
        <v>-24</v>
      </c>
      <c r="GE85" s="1047"/>
      <c r="GF85" s="1047"/>
      <c r="GG85" s="1047"/>
      <c r="GH85" s="1051"/>
      <c r="GI85" s="1051"/>
      <c r="GJ85" s="1057"/>
      <c r="GK85" s="1051"/>
      <c r="GL85" s="1051">
        <v>-1</v>
      </c>
      <c r="GM85" s="1051"/>
      <c r="GN85" s="1051"/>
      <c r="GO85" s="1051">
        <f t="shared" si="185"/>
        <v>1</v>
      </c>
      <c r="GP85" s="1051">
        <v>0</v>
      </c>
      <c r="GQ85" s="1051"/>
      <c r="GR85" s="1047">
        <f>+GS85-GP85</f>
        <v>5</v>
      </c>
      <c r="GS85" s="1047">
        <v>5</v>
      </c>
      <c r="GT85" s="1047">
        <f t="shared" si="186"/>
        <v>0</v>
      </c>
      <c r="GU85" s="1047">
        <f>+GV85-GP85</f>
        <v>5</v>
      </c>
      <c r="GV85" s="1048">
        <v>5</v>
      </c>
      <c r="GW85" s="1047"/>
      <c r="GX85" s="1051"/>
      <c r="GY85" s="1051"/>
      <c r="GZ85" s="1051"/>
      <c r="HA85" s="1057"/>
      <c r="HB85" s="1051"/>
      <c r="HC85" s="1051"/>
      <c r="HD85" s="1051">
        <v>2</v>
      </c>
      <c r="HE85" s="1051">
        <v>2</v>
      </c>
      <c r="HF85" s="1051">
        <f t="shared" si="187"/>
        <v>2</v>
      </c>
      <c r="HG85" s="1051">
        <f t="shared" si="196"/>
        <v>2</v>
      </c>
      <c r="HH85" s="1051">
        <f t="shared" si="197"/>
        <v>2</v>
      </c>
      <c r="HI85" s="1051">
        <v>4</v>
      </c>
      <c r="HJ85" s="1051"/>
      <c r="HK85" s="1051"/>
      <c r="HL85" s="1051">
        <v>4</v>
      </c>
      <c r="HM85" s="1051">
        <v>4</v>
      </c>
      <c r="HN85" s="1047">
        <f>+HP85-HI85</f>
        <v>1</v>
      </c>
      <c r="HO85" s="1047">
        <f>+HQ85-HM85</f>
        <v>1</v>
      </c>
      <c r="HP85" s="1047">
        <v>5</v>
      </c>
      <c r="HQ85" s="1047">
        <v>5</v>
      </c>
      <c r="HR85" s="1047">
        <f t="shared" si="188"/>
        <v>-3</v>
      </c>
      <c r="HS85" s="1047"/>
      <c r="HT85" s="1047">
        <f>+HV85-HI85</f>
        <v>-2</v>
      </c>
      <c r="HU85" s="1047">
        <f>HZ85-HM85</f>
        <v>-2</v>
      </c>
      <c r="HV85" s="1047">
        <v>2</v>
      </c>
      <c r="HW85" s="1051"/>
      <c r="HX85" s="1051"/>
      <c r="HY85" s="1051"/>
      <c r="HZ85" s="1047">
        <v>2</v>
      </c>
      <c r="IA85" s="1051"/>
      <c r="IB85" s="1051"/>
      <c r="IC85" s="1057"/>
      <c r="ID85" s="1051"/>
      <c r="IE85" s="1078">
        <v>-14</v>
      </c>
      <c r="IF85" s="1051">
        <f t="shared" si="198"/>
        <v>-21</v>
      </c>
      <c r="IG85" s="1059">
        <v>-35</v>
      </c>
      <c r="IH85" s="1051">
        <f>+IJ85-IG85</f>
        <v>-25</v>
      </c>
      <c r="II85" s="1051"/>
      <c r="IJ85" s="1060">
        <v>-60</v>
      </c>
      <c r="IK85" s="1051">
        <f t="shared" si="199"/>
        <v>-60</v>
      </c>
      <c r="IL85" s="1051">
        <f>IN85-IH85</f>
        <v>-5.9767131290983286</v>
      </c>
      <c r="IM85" s="1051">
        <f t="shared" si="189"/>
        <v>-30</v>
      </c>
      <c r="IN85" s="1051">
        <f>IP85-IG85</f>
        <v>-30.976713129098329</v>
      </c>
      <c r="IO85" s="1051">
        <f>+IR85-IG85</f>
        <v>-55</v>
      </c>
      <c r="IP85" s="1052">
        <f>-('maruchan inc'!AD42-'maruchan inc'!AB42)</f>
        <v>-65.976713129098329</v>
      </c>
      <c r="IQ85" s="1051">
        <v>-62.344563269915909</v>
      </c>
      <c r="IR85" s="1061">
        <v>-90</v>
      </c>
      <c r="IS85" s="1294"/>
      <c r="IT85" s="1063">
        <v>-35</v>
      </c>
      <c r="IU85" s="1063">
        <v>-33</v>
      </c>
      <c r="IV85" s="2272">
        <f t="shared" si="200"/>
        <v>-35</v>
      </c>
      <c r="IW85" s="1051">
        <v>-38</v>
      </c>
      <c r="IX85" s="1063">
        <v>-68</v>
      </c>
      <c r="IY85" s="1063">
        <v>-75</v>
      </c>
      <c r="IZ85" s="1051">
        <f t="shared" si="201"/>
        <v>-46</v>
      </c>
      <c r="JA85" s="1063">
        <v>-114</v>
      </c>
      <c r="JB85" s="1063">
        <f>+JC85-IZ85</f>
        <v>-35</v>
      </c>
      <c r="JC85" s="1063">
        <f>+JD85-IX85</f>
        <v>-81</v>
      </c>
      <c r="JD85" s="1063">
        <v>-149</v>
      </c>
      <c r="JE85" s="1063"/>
      <c r="JF85" s="1063"/>
      <c r="JG85" s="1051"/>
      <c r="JH85" s="1052">
        <f>-('maruchan inc'!AF42-'maruchan inc'!AL42)</f>
        <v>-261.72613055371966</v>
      </c>
      <c r="JI85" s="1294"/>
      <c r="JJ85" s="1806">
        <v>-8</v>
      </c>
      <c r="JK85" s="1807">
        <v>-4</v>
      </c>
      <c r="JL85" s="1807">
        <v>-9</v>
      </c>
      <c r="JM85" s="1051">
        <f t="shared" ref="JM85" si="220">+JP85-JL85</f>
        <v>1</v>
      </c>
      <c r="JN85" s="1051">
        <f t="shared" si="203"/>
        <v>17</v>
      </c>
      <c r="JO85" s="1807"/>
      <c r="JP85" s="1807">
        <v>-8</v>
      </c>
      <c r="JQ85" s="1807"/>
      <c r="JR85" s="1807"/>
      <c r="JS85" s="1807">
        <v>9</v>
      </c>
      <c r="JT85" s="1807">
        <v>8</v>
      </c>
      <c r="JU85" s="1088">
        <f>+JW85-JN85</f>
        <v>8.9788527759418457</v>
      </c>
      <c r="JV85" s="1051">
        <f>+JL85+JK85</f>
        <v>-13</v>
      </c>
      <c r="JW85" s="1051">
        <f>+JX85-JP85</f>
        <v>25.978852775941846</v>
      </c>
      <c r="JX85" s="1051">
        <f>+'maruchan inc'!AG39</f>
        <v>17.978852775941846</v>
      </c>
      <c r="JY85" s="1051">
        <f t="shared" si="214"/>
        <v>0</v>
      </c>
      <c r="JZ85" s="1071"/>
      <c r="KA85" s="1072"/>
      <c r="KB85" s="1063">
        <f t="shared" si="204"/>
        <v>-6</v>
      </c>
      <c r="KC85" s="1063">
        <v>-15</v>
      </c>
      <c r="KD85" s="1063">
        <f t="shared" ref="KD85" si="221">+KH85-KC85</f>
        <v>20</v>
      </c>
      <c r="KE85" s="1063">
        <f t="shared" si="206"/>
        <v>10</v>
      </c>
      <c r="KF85" s="1063">
        <f>+KG85-JS85</f>
        <v>-7</v>
      </c>
      <c r="KG85" s="1063">
        <v>2</v>
      </c>
      <c r="KH85" s="1063">
        <v>5</v>
      </c>
      <c r="KI85" s="1072"/>
      <c r="KJ85" s="1071"/>
      <c r="KK85" s="1051">
        <f>KL85-IZ85</f>
        <v>-28</v>
      </c>
      <c r="KL85" s="1051">
        <f t="shared" si="207"/>
        <v>-74</v>
      </c>
      <c r="KM85" s="1268">
        <v>-142</v>
      </c>
      <c r="KN85" s="1071"/>
      <c r="KO85" s="1063">
        <v>-62</v>
      </c>
      <c r="KP85" s="1051">
        <v>-71</v>
      </c>
      <c r="KQ85" s="1052">
        <v>-133</v>
      </c>
      <c r="KR85" s="1074">
        <v>-57</v>
      </c>
      <c r="KS85" s="1052">
        <v>-92</v>
      </c>
      <c r="KT85" s="1051">
        <f t="shared" si="208"/>
        <v>6</v>
      </c>
      <c r="KU85" s="1051">
        <v>-8</v>
      </c>
      <c r="KV85" s="1028">
        <f t="shared" si="209"/>
        <v>-12</v>
      </c>
      <c r="KW85" s="1052">
        <v>-20</v>
      </c>
      <c r="KX85" s="1051">
        <f t="shared" si="210"/>
        <v>-6</v>
      </c>
      <c r="KY85" s="1051">
        <f t="shared" si="211"/>
        <v>-5</v>
      </c>
      <c r="KZ85" s="1052">
        <v>-1</v>
      </c>
      <c r="LA85" s="1051">
        <v>-5</v>
      </c>
      <c r="LB85" s="1051">
        <f t="shared" si="212"/>
        <v>-9</v>
      </c>
      <c r="LC85" s="1052">
        <v>-14</v>
      </c>
      <c r="LD85" s="1052"/>
      <c r="LE85" s="1051">
        <f t="shared" si="215"/>
        <v>-2</v>
      </c>
      <c r="LF85" s="1051">
        <f>LG85-GP85</f>
        <v>3</v>
      </c>
      <c r="LG85" s="1052">
        <v>3</v>
      </c>
    </row>
    <row r="86" spans="1:319" s="498" customFormat="1">
      <c r="A86" s="477"/>
      <c r="B86" s="1079" t="s">
        <v>1211</v>
      </c>
      <c r="C86" s="1080" t="s">
        <v>1212</v>
      </c>
      <c r="D86" s="1081"/>
      <c r="E86" s="1082"/>
      <c r="F86" s="1082"/>
      <c r="G86" s="1080"/>
      <c r="H86" s="1082"/>
      <c r="I86" s="1082"/>
      <c r="J86" s="1080"/>
      <c r="K86" s="484"/>
      <c r="L86" s="484"/>
      <c r="M86" s="484"/>
      <c r="N86" s="484"/>
      <c r="O86" s="484"/>
      <c r="P86" s="484"/>
      <c r="Q86" s="484"/>
      <c r="R86" s="484"/>
      <c r="S86" s="1083"/>
      <c r="T86" s="484"/>
      <c r="U86" s="484"/>
      <c r="V86" s="484"/>
      <c r="W86" s="484"/>
      <c r="X86" s="484"/>
      <c r="Y86" s="484"/>
      <c r="Z86" s="484"/>
      <c r="AA86" s="484"/>
      <c r="AB86" s="1083"/>
      <c r="AC86" s="484"/>
      <c r="AD86" s="484"/>
      <c r="AE86" s="484"/>
      <c r="AF86" s="484"/>
      <c r="AG86" s="484"/>
      <c r="AH86" s="484"/>
      <c r="AI86" s="484"/>
      <c r="AJ86" s="484"/>
      <c r="AK86" s="1081"/>
      <c r="AL86" s="484"/>
      <c r="AM86" s="484"/>
      <c r="AN86" s="484"/>
      <c r="AO86" s="484"/>
      <c r="AP86" s="484"/>
      <c r="AQ86" s="484"/>
      <c r="AR86" s="484"/>
      <c r="AS86" s="484"/>
      <c r="AT86" s="1081"/>
      <c r="AU86" s="584"/>
      <c r="AV86" s="484"/>
      <c r="AW86" s="584"/>
      <c r="AX86" s="584"/>
      <c r="AY86" s="584"/>
      <c r="AZ86" s="584"/>
      <c r="BA86" s="584"/>
      <c r="BB86" s="625"/>
      <c r="BC86" s="507"/>
      <c r="BD86" s="508"/>
      <c r="BE86" s="484"/>
      <c r="BF86" s="1081"/>
      <c r="BG86" s="484"/>
      <c r="BH86" s="484"/>
      <c r="BI86" s="484"/>
      <c r="BJ86" s="1081"/>
      <c r="BK86" s="477"/>
      <c r="BL86" s="477"/>
      <c r="BM86" s="477"/>
      <c r="BN86" s="477"/>
      <c r="BO86" s="1081"/>
      <c r="BP86" s="584"/>
      <c r="BQ86" s="508"/>
      <c r="BR86" s="484"/>
      <c r="BS86" s="508"/>
      <c r="BT86" s="484"/>
      <c r="BU86" s="484"/>
      <c r="BV86" s="484"/>
      <c r="BW86" s="508"/>
      <c r="BY86" s="584"/>
      <c r="BZ86" s="508"/>
      <c r="CA86" s="508"/>
      <c r="CB86" s="484"/>
      <c r="CC86" s="484"/>
      <c r="CD86" s="484"/>
      <c r="CE86" s="484"/>
      <c r="CF86" s="1081"/>
      <c r="CG86" s="591"/>
      <c r="CH86" s="559"/>
      <c r="CI86" s="559"/>
      <c r="CJ86" s="1025"/>
      <c r="CK86" s="1025"/>
      <c r="CL86" s="1025"/>
      <c r="CM86" s="1025"/>
      <c r="CN86" s="1025"/>
      <c r="CO86" s="1023"/>
      <c r="CP86" s="1025"/>
      <c r="CQ86" s="1023"/>
      <c r="CR86" s="1023"/>
      <c r="CS86" s="1023"/>
      <c r="CT86" s="1023"/>
      <c r="CU86" s="1023"/>
      <c r="CV86" s="1023"/>
      <c r="CW86" s="1066"/>
      <c r="CX86" s="1025"/>
      <c r="CY86" s="1025"/>
      <c r="CZ86" s="1025"/>
      <c r="DA86" s="1025"/>
      <c r="DB86" s="1025">
        <v>3</v>
      </c>
      <c r="DC86" s="1025">
        <v>3</v>
      </c>
      <c r="DD86" s="1025"/>
      <c r="DE86" s="1025">
        <f t="shared" si="42"/>
        <v>3</v>
      </c>
      <c r="DF86" s="1025"/>
      <c r="DG86" s="1025">
        <v>6</v>
      </c>
      <c r="DH86" s="1025"/>
      <c r="DI86" s="1025">
        <f t="shared" si="3"/>
        <v>6</v>
      </c>
      <c r="DJ86" s="1025"/>
      <c r="DK86" s="1025">
        <v>9</v>
      </c>
      <c r="DL86" s="1026"/>
      <c r="DM86" s="1026"/>
      <c r="DN86" s="1027"/>
      <c r="DO86" s="1027"/>
      <c r="DP86" s="1029"/>
      <c r="DQ86" s="1029"/>
      <c r="DR86" s="1029"/>
      <c r="DS86" s="1030"/>
      <c r="DT86" s="1026"/>
      <c r="DU86" s="1027"/>
      <c r="DV86" s="590"/>
      <c r="DW86" s="1031"/>
      <c r="DX86" s="1029"/>
      <c r="DY86" s="1029"/>
      <c r="DZ86" s="937"/>
      <c r="EB86" s="1031"/>
      <c r="EC86" s="1029"/>
      <c r="ED86" s="1026"/>
      <c r="EE86" s="1081"/>
      <c r="EF86" s="477"/>
      <c r="EG86" s="1067"/>
      <c r="EH86" s="1025"/>
      <c r="EI86" s="1025">
        <f t="shared" si="177"/>
        <v>6</v>
      </c>
      <c r="EJ86" s="1025"/>
      <c r="EK86" s="1025">
        <v>6</v>
      </c>
      <c r="EL86" s="1025"/>
      <c r="EM86" s="1025">
        <v>2</v>
      </c>
      <c r="EN86" s="1025"/>
      <c r="EO86" s="1025">
        <f>+EK86+EM86</f>
        <v>8</v>
      </c>
      <c r="EP86" s="1025"/>
      <c r="EQ86" s="1025">
        <f t="shared" si="219"/>
        <v>1</v>
      </c>
      <c r="ER86" s="1025"/>
      <c r="ES86" s="1025">
        <f t="shared" ref="ES86:ES90" si="222">+EU86-EK86</f>
        <v>3</v>
      </c>
      <c r="ET86" s="1025"/>
      <c r="EU86" s="1066">
        <v>9</v>
      </c>
      <c r="EV86" s="1030"/>
      <c r="EW86" s="1025"/>
      <c r="EX86" s="1025">
        <v>1.5</v>
      </c>
      <c r="EY86" s="1025">
        <v>-1.5</v>
      </c>
      <c r="EZ86" s="1025">
        <f t="shared" si="193"/>
        <v>1.5</v>
      </c>
      <c r="FA86" s="1025"/>
      <c r="FB86" s="1025">
        <v>3</v>
      </c>
      <c r="FC86" s="1025">
        <v>1</v>
      </c>
      <c r="FD86" s="1025">
        <v>0</v>
      </c>
      <c r="FE86" s="1025">
        <f>FC86+FB86</f>
        <v>4</v>
      </c>
      <c r="FF86" s="1025"/>
      <c r="FG86" s="1025">
        <f t="shared" si="213"/>
        <v>0</v>
      </c>
      <c r="FH86" s="1025">
        <f t="shared" si="179"/>
        <v>-4</v>
      </c>
      <c r="FI86" s="1025">
        <f t="shared" si="194"/>
        <v>1</v>
      </c>
      <c r="FJ86" s="1025">
        <f t="shared" si="180"/>
        <v>-3</v>
      </c>
      <c r="FK86" s="1066">
        <v>4</v>
      </c>
      <c r="FL86" s="1026"/>
      <c r="FM86" s="1027">
        <f t="shared" si="181"/>
        <v>1.5</v>
      </c>
      <c r="FN86" s="1029">
        <v>3</v>
      </c>
      <c r="FO86" s="1029">
        <f t="shared" si="195"/>
        <v>2</v>
      </c>
      <c r="FP86" s="1029">
        <f t="shared" si="182"/>
        <v>3</v>
      </c>
      <c r="FQ86" s="1030">
        <v>6</v>
      </c>
      <c r="FR86" s="1030"/>
      <c r="FS86" s="1025">
        <v>-1</v>
      </c>
      <c r="FT86" s="1029"/>
      <c r="FU86" s="1029"/>
      <c r="FV86" s="1025">
        <f t="shared" si="183"/>
        <v>-6</v>
      </c>
      <c r="FW86" s="1029"/>
      <c r="FX86" s="1029"/>
      <c r="FY86" s="1025">
        <v>-7</v>
      </c>
      <c r="FZ86" s="1025">
        <v>-6</v>
      </c>
      <c r="GA86" s="1025">
        <f>FY86+FZ86</f>
        <v>-13</v>
      </c>
      <c r="GB86" s="1025">
        <f t="shared" si="184"/>
        <v>-6</v>
      </c>
      <c r="GC86" s="1025">
        <f>GD86-FY86</f>
        <v>-12</v>
      </c>
      <c r="GD86" s="1066">
        <v>-19</v>
      </c>
      <c r="GE86" s="1025"/>
      <c r="GF86" s="1025"/>
      <c r="GG86" s="1025"/>
      <c r="GH86" s="1029"/>
      <c r="GI86" s="1029"/>
      <c r="GJ86" s="1032"/>
      <c r="GK86" s="1029"/>
      <c r="GL86" s="1029">
        <v>-0.5</v>
      </c>
      <c r="GM86" s="1029"/>
      <c r="GN86" s="1029"/>
      <c r="GO86" s="1029">
        <f t="shared" si="185"/>
        <v>1.5</v>
      </c>
      <c r="GP86" s="1029">
        <v>1</v>
      </c>
      <c r="GQ86" s="1029"/>
      <c r="GR86" s="1025">
        <v>7</v>
      </c>
      <c r="GS86" s="1025">
        <f>GR86+GP86</f>
        <v>8</v>
      </c>
      <c r="GT86" s="1025">
        <f t="shared" si="186"/>
        <v>2</v>
      </c>
      <c r="GU86" s="1025">
        <f>GV86-GP86</f>
        <v>9</v>
      </c>
      <c r="GV86" s="1068">
        <v>10</v>
      </c>
      <c r="GW86" s="1025"/>
      <c r="GX86" s="1029"/>
      <c r="GY86" s="1029"/>
      <c r="GZ86" s="1029"/>
      <c r="HA86" s="1032"/>
      <c r="HB86" s="1029"/>
      <c r="HC86" s="1029"/>
      <c r="HD86" s="1029">
        <v>2</v>
      </c>
      <c r="HE86" s="1029">
        <v>2</v>
      </c>
      <c r="HF86" s="1029">
        <f t="shared" si="187"/>
        <v>-0.5</v>
      </c>
      <c r="HG86" s="1029">
        <f t="shared" si="196"/>
        <v>-0.5</v>
      </c>
      <c r="HH86" s="1029">
        <f t="shared" si="197"/>
        <v>-0.5</v>
      </c>
      <c r="HI86" s="1029">
        <v>1.5</v>
      </c>
      <c r="HJ86" s="1029"/>
      <c r="HK86" s="1029"/>
      <c r="HL86" s="1029">
        <v>1.5</v>
      </c>
      <c r="HM86" s="1029">
        <v>1.5</v>
      </c>
      <c r="HN86" s="1025">
        <v>-3</v>
      </c>
      <c r="HO86" s="1025">
        <v>-3</v>
      </c>
      <c r="HP86" s="1025">
        <f>HN86+HI86</f>
        <v>-1.5</v>
      </c>
      <c r="HQ86" s="1025">
        <f>HO86+HM86</f>
        <v>-1.5</v>
      </c>
      <c r="HR86" s="1025">
        <f t="shared" si="188"/>
        <v>-4.5</v>
      </c>
      <c r="HS86" s="1025"/>
      <c r="HT86" s="1025">
        <f>HV86-HI86</f>
        <v>-7.5</v>
      </c>
      <c r="HU86" s="1025"/>
      <c r="HV86" s="1069">
        <v>-6</v>
      </c>
      <c r="HW86" s="1029"/>
      <c r="HX86" s="1029"/>
      <c r="HY86" s="1029"/>
      <c r="HZ86" s="1025"/>
      <c r="IA86" s="1029"/>
      <c r="IB86" s="1029"/>
      <c r="IC86" s="1032"/>
      <c r="ID86" s="1029"/>
      <c r="IE86" s="1033">
        <v>-7</v>
      </c>
      <c r="IF86" s="1029">
        <f t="shared" si="198"/>
        <v>-8</v>
      </c>
      <c r="IG86" s="1070">
        <v>-15</v>
      </c>
      <c r="IH86" s="1029">
        <v>-9</v>
      </c>
      <c r="II86" s="1029"/>
      <c r="IJ86" s="1029">
        <f>IH86+IG86</f>
        <v>-24</v>
      </c>
      <c r="IK86" s="1029">
        <f t="shared" si="199"/>
        <v>0</v>
      </c>
      <c r="IL86" s="1029"/>
      <c r="IM86" s="1029">
        <f t="shared" si="189"/>
        <v>-11</v>
      </c>
      <c r="IN86" s="1029"/>
      <c r="IO86" s="1029">
        <f>IR86-IG86</f>
        <v>-20</v>
      </c>
      <c r="IP86" s="1030"/>
      <c r="IQ86" s="1029"/>
      <c r="IR86" s="1073">
        <v>-35</v>
      </c>
      <c r="IS86" s="1294"/>
      <c r="IT86" s="1029"/>
      <c r="IU86" s="1084">
        <v>-10</v>
      </c>
      <c r="IV86" s="1029">
        <f t="shared" si="200"/>
        <v>-15</v>
      </c>
      <c r="IW86" s="1029"/>
      <c r="IX86" s="1029">
        <v>-25</v>
      </c>
      <c r="IY86" s="1029"/>
      <c r="IZ86" s="1029">
        <f t="shared" si="201"/>
        <v>-25</v>
      </c>
      <c r="JA86" s="1029">
        <v>-50</v>
      </c>
      <c r="JB86" s="1029"/>
      <c r="JC86" s="1029"/>
      <c r="JD86" s="1084">
        <v>-65</v>
      </c>
      <c r="JE86" s="1029"/>
      <c r="JF86" s="1029"/>
      <c r="JG86" s="1029"/>
      <c r="JH86" s="1030"/>
      <c r="JI86" s="1294"/>
      <c r="JJ86" s="1033"/>
      <c r="JK86" s="1029"/>
      <c r="JL86" s="1028" t="s">
        <v>1515</v>
      </c>
      <c r="JM86" s="1028"/>
      <c r="JN86" s="1028"/>
      <c r="JO86" s="1028"/>
      <c r="JP86" s="1028"/>
      <c r="JQ86" s="1028"/>
      <c r="JR86" s="1028"/>
      <c r="JS86" s="1028"/>
      <c r="JT86" s="1029"/>
      <c r="JU86" s="1029"/>
      <c r="JV86" s="1029"/>
      <c r="JW86" s="1029"/>
      <c r="JX86" s="1029"/>
      <c r="JY86" s="1029"/>
      <c r="JZ86" s="1071"/>
      <c r="KA86" s="1072"/>
      <c r="KB86" s="1071" t="e">
        <f t="shared" si="204"/>
        <v>#VALUE!</v>
      </c>
      <c r="KC86" s="1071">
        <v>-12</v>
      </c>
      <c r="KD86" s="1071">
        <f>+KH86-KC86</f>
        <v>11</v>
      </c>
      <c r="KE86" s="1071">
        <f t="shared" si="206"/>
        <v>1</v>
      </c>
      <c r="KF86" s="1071"/>
      <c r="KG86" s="2357">
        <v>1</v>
      </c>
      <c r="KH86" s="1084">
        <v>-1</v>
      </c>
      <c r="KI86" s="1072"/>
      <c r="KJ86" s="1071"/>
      <c r="KK86" s="1029"/>
      <c r="KL86" s="1029">
        <f t="shared" si="207"/>
        <v>-35</v>
      </c>
      <c r="KM86" s="1071">
        <v>-60</v>
      </c>
      <c r="KN86" s="1071"/>
      <c r="KO86" s="1071">
        <v>-23</v>
      </c>
      <c r="KP86" s="1029">
        <v>-37</v>
      </c>
      <c r="KQ86" s="1030">
        <v>-60</v>
      </c>
      <c r="KR86" s="1029">
        <v>-20</v>
      </c>
      <c r="KS86" s="1030">
        <v>-35</v>
      </c>
      <c r="KT86" s="1029">
        <f t="shared" si="208"/>
        <v>0</v>
      </c>
      <c r="KU86" s="1029">
        <v>-7</v>
      </c>
      <c r="KV86" s="1029">
        <f t="shared" si="209"/>
        <v>-4.5</v>
      </c>
      <c r="KW86" s="1030">
        <v>-11.5</v>
      </c>
      <c r="KX86" s="1029">
        <f t="shared" si="210"/>
        <v>-3</v>
      </c>
      <c r="KY86" s="1029">
        <f t="shared" si="211"/>
        <v>-6</v>
      </c>
      <c r="KZ86" s="1030">
        <v>-4.5</v>
      </c>
      <c r="LA86" s="1029">
        <v>1</v>
      </c>
      <c r="LB86" s="1029">
        <f t="shared" si="212"/>
        <v>-6</v>
      </c>
      <c r="LC86" s="1030">
        <v>-5</v>
      </c>
      <c r="LD86" s="1030">
        <f t="shared" ref="LD86:LD88" si="223">LB86+LC86</f>
        <v>-11</v>
      </c>
      <c r="LE86" s="1029">
        <f t="shared" si="215"/>
        <v>-3</v>
      </c>
      <c r="LF86" s="1029">
        <v>4</v>
      </c>
      <c r="LG86" s="1030">
        <v>5</v>
      </c>
    </row>
    <row r="87" spans="1:319" s="498" customFormat="1">
      <c r="A87" s="477"/>
      <c r="B87" s="1079" t="s">
        <v>1210</v>
      </c>
      <c r="C87" s="1080" t="s">
        <v>1213</v>
      </c>
      <c r="D87" s="1081"/>
      <c r="E87" s="1082"/>
      <c r="F87" s="1082"/>
      <c r="G87" s="1080"/>
      <c r="H87" s="1082"/>
      <c r="I87" s="1082"/>
      <c r="J87" s="1080"/>
      <c r="K87" s="484"/>
      <c r="L87" s="484"/>
      <c r="M87" s="484"/>
      <c r="N87" s="484"/>
      <c r="O87" s="484"/>
      <c r="P87" s="484"/>
      <c r="Q87" s="484"/>
      <c r="R87" s="484"/>
      <c r="S87" s="1083"/>
      <c r="T87" s="484"/>
      <c r="U87" s="484"/>
      <c r="V87" s="484"/>
      <c r="W87" s="484"/>
      <c r="X87" s="484"/>
      <c r="Y87" s="484"/>
      <c r="Z87" s="484"/>
      <c r="AA87" s="484"/>
      <c r="AB87" s="1083"/>
      <c r="AC87" s="484"/>
      <c r="AD87" s="484"/>
      <c r="AE87" s="484"/>
      <c r="AF87" s="484"/>
      <c r="AG87" s="484"/>
      <c r="AH87" s="484"/>
      <c r="AI87" s="484"/>
      <c r="AJ87" s="484"/>
      <c r="AK87" s="1081"/>
      <c r="AL87" s="484"/>
      <c r="AM87" s="484"/>
      <c r="AN87" s="484"/>
      <c r="AO87" s="484"/>
      <c r="AP87" s="484"/>
      <c r="AQ87" s="484"/>
      <c r="AR87" s="484"/>
      <c r="AS87" s="484"/>
      <c r="AT87" s="1081"/>
      <c r="AU87" s="584"/>
      <c r="AV87" s="484"/>
      <c r="AW87" s="584"/>
      <c r="AX87" s="584"/>
      <c r="AY87" s="584"/>
      <c r="AZ87" s="584"/>
      <c r="BA87" s="584"/>
      <c r="BB87" s="625"/>
      <c r="BC87" s="507"/>
      <c r="BD87" s="508"/>
      <c r="BE87" s="484"/>
      <c r="BF87" s="1081"/>
      <c r="BG87" s="484"/>
      <c r="BH87" s="484"/>
      <c r="BI87" s="484"/>
      <c r="BJ87" s="1081"/>
      <c r="BK87" s="477"/>
      <c r="BL87" s="477"/>
      <c r="BM87" s="477"/>
      <c r="BN87" s="477"/>
      <c r="BO87" s="1081"/>
      <c r="BP87" s="584"/>
      <c r="BQ87" s="508"/>
      <c r="BR87" s="484"/>
      <c r="BS87" s="508"/>
      <c r="BT87" s="484"/>
      <c r="BU87" s="484"/>
      <c r="BV87" s="484"/>
      <c r="BW87" s="508"/>
      <c r="BY87" s="584"/>
      <c r="BZ87" s="508"/>
      <c r="CA87" s="508"/>
      <c r="CB87" s="484"/>
      <c r="CC87" s="484"/>
      <c r="CD87" s="484"/>
      <c r="CE87" s="484"/>
      <c r="CF87" s="1081"/>
      <c r="CG87" s="591"/>
      <c r="CH87" s="559"/>
      <c r="CI87" s="559"/>
      <c r="CJ87" s="1025"/>
      <c r="CK87" s="1025"/>
      <c r="CL87" s="1025"/>
      <c r="CM87" s="1025"/>
      <c r="CN87" s="1025"/>
      <c r="CO87" s="1023"/>
      <c r="CP87" s="1025"/>
      <c r="CQ87" s="1023"/>
      <c r="CR87" s="1023"/>
      <c r="CS87" s="1023"/>
      <c r="CT87" s="1023"/>
      <c r="CU87" s="1023"/>
      <c r="CV87" s="1023"/>
      <c r="CW87" s="1066"/>
      <c r="CX87" s="1025"/>
      <c r="CY87" s="1025"/>
      <c r="CZ87" s="1025"/>
      <c r="DA87" s="1025"/>
      <c r="DB87" s="1025">
        <v>3</v>
      </c>
      <c r="DC87" s="1025">
        <v>3</v>
      </c>
      <c r="DD87" s="1025"/>
      <c r="DE87" s="1025">
        <f t="shared" si="42"/>
        <v>3</v>
      </c>
      <c r="DF87" s="1025"/>
      <c r="DG87" s="1025">
        <v>6</v>
      </c>
      <c r="DH87" s="1025"/>
      <c r="DI87" s="1025">
        <f t="shared" ref="DI87:DI178" si="224">+DK87-DB87</f>
        <v>6</v>
      </c>
      <c r="DJ87" s="1025"/>
      <c r="DK87" s="1025">
        <v>9</v>
      </c>
      <c r="DL87" s="1026"/>
      <c r="DM87" s="1026"/>
      <c r="DN87" s="1027"/>
      <c r="DO87" s="1027"/>
      <c r="DP87" s="1029"/>
      <c r="DQ87" s="1029"/>
      <c r="DR87" s="1029"/>
      <c r="DS87" s="1030"/>
      <c r="DT87" s="1026"/>
      <c r="DU87" s="1027"/>
      <c r="DV87" s="590"/>
      <c r="DW87" s="1031"/>
      <c r="DX87" s="1029"/>
      <c r="DY87" s="1029"/>
      <c r="DZ87" s="937"/>
      <c r="EB87" s="1031"/>
      <c r="EC87" s="1029"/>
      <c r="ED87" s="1026"/>
      <c r="EE87" s="1081"/>
      <c r="EF87" s="477"/>
      <c r="EG87" s="1067"/>
      <c r="EH87" s="1025"/>
      <c r="EI87" s="1025">
        <f t="shared" si="177"/>
        <v>4</v>
      </c>
      <c r="EJ87" s="1025"/>
      <c r="EK87" s="1025">
        <v>4</v>
      </c>
      <c r="EL87" s="1025"/>
      <c r="EM87" s="1025">
        <v>1</v>
      </c>
      <c r="EN87" s="1025"/>
      <c r="EO87" s="1025">
        <f>+EK87+EM87</f>
        <v>5</v>
      </c>
      <c r="EP87" s="1025"/>
      <c r="EQ87" s="1025">
        <f t="shared" si="219"/>
        <v>0</v>
      </c>
      <c r="ER87" s="1025"/>
      <c r="ES87" s="1025">
        <f t="shared" si="222"/>
        <v>1</v>
      </c>
      <c r="ET87" s="1025"/>
      <c r="EU87" s="1066">
        <v>5</v>
      </c>
      <c r="EV87" s="1030"/>
      <c r="EW87" s="1025"/>
      <c r="EX87" s="1025">
        <v>-1</v>
      </c>
      <c r="EY87" s="1025">
        <v>1</v>
      </c>
      <c r="EZ87" s="1025">
        <f t="shared" si="193"/>
        <v>-1</v>
      </c>
      <c r="FA87" s="1025"/>
      <c r="FB87" s="1025">
        <v>-2</v>
      </c>
      <c r="FC87" s="1025">
        <v>0</v>
      </c>
      <c r="FD87" s="1047">
        <v>0</v>
      </c>
      <c r="FE87" s="1025">
        <f>FC87+FB87</f>
        <v>-2</v>
      </c>
      <c r="FF87" s="1025"/>
      <c r="FG87" s="1025">
        <f t="shared" si="213"/>
        <v>2</v>
      </c>
      <c r="FH87" s="1025">
        <f t="shared" si="179"/>
        <v>2</v>
      </c>
      <c r="FI87" s="1025">
        <f t="shared" si="194"/>
        <v>2</v>
      </c>
      <c r="FJ87" s="1025">
        <f t="shared" si="180"/>
        <v>2</v>
      </c>
      <c r="FK87" s="1066">
        <v>0</v>
      </c>
      <c r="FL87" s="1026"/>
      <c r="FM87" s="1027">
        <f t="shared" si="181"/>
        <v>1</v>
      </c>
      <c r="FN87" s="1029">
        <v>0</v>
      </c>
      <c r="FO87" s="1029">
        <f t="shared" si="195"/>
        <v>-2</v>
      </c>
      <c r="FP87" s="1029">
        <f t="shared" si="182"/>
        <v>-2</v>
      </c>
      <c r="FQ87" s="1030">
        <v>-4</v>
      </c>
      <c r="FR87" s="1030"/>
      <c r="FS87" s="1025">
        <v>-1</v>
      </c>
      <c r="FT87" s="1029"/>
      <c r="FU87" s="1029"/>
      <c r="FV87" s="1025">
        <f t="shared" si="183"/>
        <v>0</v>
      </c>
      <c r="FW87" s="1029"/>
      <c r="FX87" s="1029"/>
      <c r="FY87" s="1025">
        <v>-1</v>
      </c>
      <c r="FZ87" s="1025">
        <v>-1</v>
      </c>
      <c r="GA87" s="1025">
        <f>FY87+FZ87</f>
        <v>-2</v>
      </c>
      <c r="GB87" s="1025">
        <f t="shared" si="184"/>
        <v>1</v>
      </c>
      <c r="GC87" s="1025">
        <f>GD87-FY87</f>
        <v>0</v>
      </c>
      <c r="GD87" s="1066">
        <v>-1</v>
      </c>
      <c r="GE87" s="1025"/>
      <c r="GF87" s="1025"/>
      <c r="GG87" s="1025"/>
      <c r="GH87" s="1029"/>
      <c r="GI87" s="1029"/>
      <c r="GJ87" s="1032"/>
      <c r="GK87" s="1029"/>
      <c r="GL87" s="1029">
        <v>1</v>
      </c>
      <c r="GM87" s="1029"/>
      <c r="GN87" s="1029"/>
      <c r="GO87" s="1029">
        <f t="shared" si="185"/>
        <v>1</v>
      </c>
      <c r="GP87" s="1029">
        <v>2</v>
      </c>
      <c r="GQ87" s="1029"/>
      <c r="GR87" s="1025">
        <v>0</v>
      </c>
      <c r="GS87" s="1025">
        <f>GR87+GP87</f>
        <v>2</v>
      </c>
      <c r="GT87" s="1025">
        <f t="shared" si="186"/>
        <v>0</v>
      </c>
      <c r="GU87" s="1025">
        <f>GV87-GP87</f>
        <v>0</v>
      </c>
      <c r="GV87" s="1068">
        <v>2</v>
      </c>
      <c r="GW87" s="1025"/>
      <c r="GX87" s="1029"/>
      <c r="GY87" s="1029"/>
      <c r="GZ87" s="1029"/>
      <c r="HA87" s="1032"/>
      <c r="HB87" s="1029"/>
      <c r="HC87" s="1029"/>
      <c r="HD87" s="1029">
        <v>-1</v>
      </c>
      <c r="HE87" s="1029">
        <v>-1</v>
      </c>
      <c r="HF87" s="1029">
        <f t="shared" si="187"/>
        <v>-1.5</v>
      </c>
      <c r="HG87" s="1029">
        <f t="shared" si="196"/>
        <v>-1.5</v>
      </c>
      <c r="HH87" s="1029">
        <f t="shared" si="197"/>
        <v>-1.5</v>
      </c>
      <c r="HI87" s="1029">
        <v>-2.5</v>
      </c>
      <c r="HJ87" s="1029"/>
      <c r="HK87" s="1029"/>
      <c r="HL87" s="1029">
        <v>-2.5</v>
      </c>
      <c r="HM87" s="1029">
        <v>-2.5</v>
      </c>
      <c r="HN87" s="1025">
        <v>0</v>
      </c>
      <c r="HO87" s="1025">
        <v>0</v>
      </c>
      <c r="HP87" s="1025">
        <f>HN87+HI87</f>
        <v>-2.5</v>
      </c>
      <c r="HQ87" s="1025">
        <f>HO87+HM87</f>
        <v>-2.5</v>
      </c>
      <c r="HR87" s="1025">
        <f t="shared" si="188"/>
        <v>-0.5</v>
      </c>
      <c r="HS87" s="1025"/>
      <c r="HT87" s="1025">
        <f>HV87-HI87</f>
        <v>-0.5</v>
      </c>
      <c r="HU87" s="1025"/>
      <c r="HV87" s="1069">
        <v>-3</v>
      </c>
      <c r="HW87" s="1029"/>
      <c r="HX87" s="1029"/>
      <c r="HY87" s="1029"/>
      <c r="HZ87" s="1025"/>
      <c r="IA87" s="1029"/>
      <c r="IB87" s="1029"/>
      <c r="IC87" s="1032"/>
      <c r="ID87" s="1029"/>
      <c r="IE87" s="1033">
        <v>-5</v>
      </c>
      <c r="IF87" s="1029">
        <f t="shared" si="198"/>
        <v>-7</v>
      </c>
      <c r="IG87" s="1070">
        <v>-12</v>
      </c>
      <c r="IH87" s="1029">
        <v>-8</v>
      </c>
      <c r="II87" s="1029"/>
      <c r="IJ87" s="1029">
        <f>IH87+IG87</f>
        <v>-20</v>
      </c>
      <c r="IK87" s="1029">
        <f t="shared" si="199"/>
        <v>0</v>
      </c>
      <c r="IL87" s="1029"/>
      <c r="IM87" s="1029">
        <f t="shared" si="189"/>
        <v>-10</v>
      </c>
      <c r="IN87" s="1029"/>
      <c r="IO87" s="1029">
        <f>IR87-IG87</f>
        <v>-18</v>
      </c>
      <c r="IP87" s="1030"/>
      <c r="IQ87" s="1029"/>
      <c r="IR87" s="1073">
        <v>-30</v>
      </c>
      <c r="IS87" s="1294"/>
      <c r="IT87" s="1029"/>
      <c r="IU87" s="1084">
        <v>-9</v>
      </c>
      <c r="IV87" s="1029">
        <f t="shared" si="200"/>
        <v>-7</v>
      </c>
      <c r="IW87" s="1029"/>
      <c r="IX87" s="1029">
        <v>-16</v>
      </c>
      <c r="IY87" s="1029"/>
      <c r="IZ87" s="1029">
        <f t="shared" si="201"/>
        <v>-9</v>
      </c>
      <c r="JA87" s="1029">
        <v>-25</v>
      </c>
      <c r="JB87" s="1029"/>
      <c r="JC87" s="1029"/>
      <c r="JD87" s="1084">
        <v>-30</v>
      </c>
      <c r="JE87" s="1029"/>
      <c r="JF87" s="1029"/>
      <c r="JG87" s="1029"/>
      <c r="JH87" s="1030"/>
      <c r="JI87" s="1294"/>
      <c r="JJ87" s="1033"/>
      <c r="JK87" s="1029"/>
      <c r="JL87" s="1028"/>
      <c r="JM87" s="1028"/>
      <c r="JN87" s="1028"/>
      <c r="JO87" s="1028"/>
      <c r="JP87" s="1028"/>
      <c r="JQ87" s="1028"/>
      <c r="JR87" s="1028"/>
      <c r="JS87" s="1028"/>
      <c r="JT87" s="1029"/>
      <c r="JU87" s="1029"/>
      <c r="JV87" s="1029"/>
      <c r="JW87" s="1029"/>
      <c r="JX87" s="1029"/>
      <c r="JY87" s="1029"/>
      <c r="JZ87" s="1071"/>
      <c r="KA87" s="1072"/>
      <c r="KB87" s="1071">
        <f t="shared" si="204"/>
        <v>0</v>
      </c>
      <c r="KC87" s="1071">
        <f>+KC85-KC86-KC88</f>
        <v>0</v>
      </c>
      <c r="KD87" s="1071">
        <f t="shared" ref="KD87:KD88" si="225">+KH87-KC87</f>
        <v>12</v>
      </c>
      <c r="KE87" s="1071">
        <f t="shared" si="206"/>
        <v>12</v>
      </c>
      <c r="KF87" s="1071"/>
      <c r="KG87" s="2357">
        <v>12</v>
      </c>
      <c r="KH87" s="1084">
        <v>12</v>
      </c>
      <c r="KI87" s="1072"/>
      <c r="KJ87" s="1071"/>
      <c r="KK87" s="1029"/>
      <c r="KL87" s="1029">
        <f t="shared" si="207"/>
        <v>-16</v>
      </c>
      <c r="KM87" s="1071">
        <v>-32</v>
      </c>
      <c r="KN87" s="1071"/>
      <c r="KO87" s="1071">
        <v>-15</v>
      </c>
      <c r="KP87" s="1029">
        <v>-15</v>
      </c>
      <c r="KQ87" s="1030">
        <v>-30</v>
      </c>
      <c r="KR87" s="1029">
        <v>-20</v>
      </c>
      <c r="KS87" s="1030">
        <v>-32</v>
      </c>
      <c r="KT87" s="1029">
        <f t="shared" si="208"/>
        <v>0</v>
      </c>
      <c r="KU87" s="1029">
        <v>-5</v>
      </c>
      <c r="KV87" s="1029">
        <f t="shared" si="209"/>
        <v>-3.5</v>
      </c>
      <c r="KW87" s="1030">
        <v>-8.5</v>
      </c>
      <c r="KX87" s="1029">
        <f t="shared" si="210"/>
        <v>5</v>
      </c>
      <c r="KY87" s="1029">
        <f t="shared" si="211"/>
        <v>5</v>
      </c>
      <c r="KZ87" s="1030">
        <v>2.5</v>
      </c>
      <c r="LA87" s="1029">
        <v>-4</v>
      </c>
      <c r="LB87" s="1029">
        <f t="shared" si="212"/>
        <v>-1</v>
      </c>
      <c r="LC87" s="1030">
        <v>-5</v>
      </c>
      <c r="LD87" s="1030">
        <f t="shared" si="223"/>
        <v>-6</v>
      </c>
      <c r="LE87" s="1029">
        <f t="shared" si="215"/>
        <v>2</v>
      </c>
      <c r="LF87" s="1029">
        <v>2</v>
      </c>
      <c r="LG87" s="1030">
        <v>4</v>
      </c>
    </row>
    <row r="88" spans="1:319" s="498" customFormat="1">
      <c r="A88" s="477"/>
      <c r="B88" s="1079" t="s">
        <v>1276</v>
      </c>
      <c r="C88" s="1080" t="s">
        <v>1329</v>
      </c>
      <c r="D88" s="1081"/>
      <c r="E88" s="1082"/>
      <c r="F88" s="1082"/>
      <c r="G88" s="1080"/>
      <c r="H88" s="1082"/>
      <c r="I88" s="1082"/>
      <c r="J88" s="1080"/>
      <c r="K88" s="484"/>
      <c r="L88" s="484"/>
      <c r="M88" s="484"/>
      <c r="N88" s="484"/>
      <c r="O88" s="484"/>
      <c r="P88" s="484"/>
      <c r="Q88" s="484"/>
      <c r="R88" s="484"/>
      <c r="S88" s="1083"/>
      <c r="T88" s="484"/>
      <c r="U88" s="484"/>
      <c r="V88" s="484"/>
      <c r="W88" s="484"/>
      <c r="X88" s="484"/>
      <c r="Y88" s="484"/>
      <c r="Z88" s="484"/>
      <c r="AA88" s="484"/>
      <c r="AB88" s="1083"/>
      <c r="AC88" s="484"/>
      <c r="AD88" s="484"/>
      <c r="AE88" s="484"/>
      <c r="AF88" s="484"/>
      <c r="AG88" s="484"/>
      <c r="AH88" s="484"/>
      <c r="AI88" s="484"/>
      <c r="AJ88" s="484"/>
      <c r="AK88" s="1081"/>
      <c r="AL88" s="484"/>
      <c r="AM88" s="484"/>
      <c r="AN88" s="484"/>
      <c r="AO88" s="484"/>
      <c r="AP88" s="484"/>
      <c r="AQ88" s="484"/>
      <c r="AR88" s="484"/>
      <c r="AS88" s="484"/>
      <c r="AT88" s="1081"/>
      <c r="AU88" s="584"/>
      <c r="AV88" s="484"/>
      <c r="AW88" s="584"/>
      <c r="AX88" s="584"/>
      <c r="AY88" s="584"/>
      <c r="AZ88" s="584"/>
      <c r="BA88" s="584"/>
      <c r="BB88" s="625"/>
      <c r="BC88" s="507"/>
      <c r="BD88" s="508"/>
      <c r="BE88" s="484"/>
      <c r="BF88" s="1081"/>
      <c r="BG88" s="484"/>
      <c r="BH88" s="484"/>
      <c r="BI88" s="484"/>
      <c r="BJ88" s="1081"/>
      <c r="BK88" s="477"/>
      <c r="BL88" s="477"/>
      <c r="BM88" s="477"/>
      <c r="BN88" s="477"/>
      <c r="BO88" s="1081"/>
      <c r="BP88" s="584"/>
      <c r="BQ88" s="508"/>
      <c r="BR88" s="484"/>
      <c r="BS88" s="508"/>
      <c r="BT88" s="484"/>
      <c r="BU88" s="484"/>
      <c r="BV88" s="484"/>
      <c r="BW88" s="508"/>
      <c r="BY88" s="584"/>
      <c r="BZ88" s="508"/>
      <c r="CA88" s="508"/>
      <c r="CB88" s="484"/>
      <c r="CC88" s="484"/>
      <c r="CD88" s="484"/>
      <c r="CE88" s="484"/>
      <c r="CF88" s="1081"/>
      <c r="CG88" s="591"/>
      <c r="CH88" s="559"/>
      <c r="CI88" s="559"/>
      <c r="CJ88" s="1025"/>
      <c r="CK88" s="1025"/>
      <c r="CL88" s="1025"/>
      <c r="CM88" s="1025"/>
      <c r="CN88" s="1025"/>
      <c r="CO88" s="1023"/>
      <c r="CP88" s="1025"/>
      <c r="CQ88" s="1023"/>
      <c r="CR88" s="1023"/>
      <c r="CS88" s="1023"/>
      <c r="CT88" s="1023"/>
      <c r="CU88" s="1023"/>
      <c r="CV88" s="1023"/>
      <c r="CW88" s="1066"/>
      <c r="CX88" s="1025"/>
      <c r="CY88" s="1025"/>
      <c r="CZ88" s="1025"/>
      <c r="DA88" s="1025"/>
      <c r="DB88" s="1025"/>
      <c r="DC88" s="1025"/>
      <c r="DD88" s="1025"/>
      <c r="DE88" s="1025"/>
      <c r="DF88" s="1025"/>
      <c r="DG88" s="1025"/>
      <c r="DH88" s="1025"/>
      <c r="DI88" s="1025"/>
      <c r="DJ88" s="1025"/>
      <c r="DK88" s="1025"/>
      <c r="DL88" s="1026"/>
      <c r="DM88" s="1026"/>
      <c r="DN88" s="1027"/>
      <c r="DO88" s="1027"/>
      <c r="DP88" s="1029"/>
      <c r="DQ88" s="1029"/>
      <c r="DR88" s="1029"/>
      <c r="DS88" s="1030"/>
      <c r="DT88" s="1026"/>
      <c r="DU88" s="1027"/>
      <c r="DV88" s="590"/>
      <c r="DW88" s="1031"/>
      <c r="DX88" s="1029"/>
      <c r="DY88" s="1029"/>
      <c r="DZ88" s="937"/>
      <c r="EB88" s="1031"/>
      <c r="EC88" s="1029"/>
      <c r="ED88" s="1026"/>
      <c r="EE88" s="1081"/>
      <c r="EF88" s="477"/>
      <c r="EG88" s="1067"/>
      <c r="EH88" s="1025"/>
      <c r="EI88" s="1025"/>
      <c r="EJ88" s="1025"/>
      <c r="EK88" s="1025"/>
      <c r="EL88" s="1025"/>
      <c r="EM88" s="1025"/>
      <c r="EN88" s="1025"/>
      <c r="EO88" s="1025"/>
      <c r="EP88" s="1025"/>
      <c r="EQ88" s="1025"/>
      <c r="ER88" s="1025"/>
      <c r="ES88" s="1025"/>
      <c r="ET88" s="1025"/>
      <c r="EU88" s="1066"/>
      <c r="EV88" s="1030"/>
      <c r="EW88" s="1025"/>
      <c r="EX88" s="1025"/>
      <c r="EY88" s="1025"/>
      <c r="EZ88" s="1025"/>
      <c r="FA88" s="1025"/>
      <c r="FB88" s="1025">
        <v>0</v>
      </c>
      <c r="FC88" s="1025">
        <v>0</v>
      </c>
      <c r="FD88" s="1047"/>
      <c r="FE88" s="1025">
        <v>0</v>
      </c>
      <c r="FF88" s="1025"/>
      <c r="FG88" s="1025">
        <f t="shared" si="213"/>
        <v>-3</v>
      </c>
      <c r="FH88" s="1025"/>
      <c r="FI88" s="1025">
        <f t="shared" si="194"/>
        <v>-3</v>
      </c>
      <c r="FJ88" s="1025">
        <f t="shared" si="180"/>
        <v>0</v>
      </c>
      <c r="FK88" s="1066">
        <v>-3</v>
      </c>
      <c r="FL88" s="1026"/>
      <c r="FM88" s="1027"/>
      <c r="FN88" s="1029"/>
      <c r="FO88" s="1029"/>
      <c r="FP88" s="1029"/>
      <c r="FQ88" s="1030"/>
      <c r="FR88" s="1030"/>
      <c r="FS88" s="1025">
        <v>-2</v>
      </c>
      <c r="FT88" s="1029"/>
      <c r="FU88" s="1029"/>
      <c r="FV88" s="1025">
        <f t="shared" si="183"/>
        <v>0</v>
      </c>
      <c r="FW88" s="1029"/>
      <c r="FX88" s="1029"/>
      <c r="FY88" s="1025">
        <v>-2</v>
      </c>
      <c r="FZ88" s="1025">
        <v>0</v>
      </c>
      <c r="GA88" s="1025">
        <f>FY88+FZ88</f>
        <v>-2</v>
      </c>
      <c r="GB88" s="1025">
        <f t="shared" si="184"/>
        <v>-2</v>
      </c>
      <c r="GC88" s="1025">
        <f>GD88-FY88</f>
        <v>-2</v>
      </c>
      <c r="GD88" s="1066">
        <v>-4</v>
      </c>
      <c r="GE88" s="1025"/>
      <c r="GF88" s="1025"/>
      <c r="GG88" s="1025"/>
      <c r="GH88" s="1029"/>
      <c r="GI88" s="1029"/>
      <c r="GJ88" s="1032"/>
      <c r="GK88" s="1029"/>
      <c r="GL88" s="1029">
        <v>-1.5</v>
      </c>
      <c r="GM88" s="1029"/>
      <c r="GN88" s="1029"/>
      <c r="GO88" s="1029">
        <f t="shared" si="185"/>
        <v>-1.5</v>
      </c>
      <c r="GP88" s="1029">
        <v>-3</v>
      </c>
      <c r="GQ88" s="1029"/>
      <c r="GR88" s="1025">
        <v>-2</v>
      </c>
      <c r="GS88" s="1025">
        <f>GR88+GP88</f>
        <v>-5</v>
      </c>
      <c r="GT88" s="1025">
        <f t="shared" si="186"/>
        <v>-2</v>
      </c>
      <c r="GU88" s="1025">
        <f>GV88-GP88</f>
        <v>-4</v>
      </c>
      <c r="GV88" s="1068">
        <v>-7</v>
      </c>
      <c r="GW88" s="1025"/>
      <c r="GX88" s="1029"/>
      <c r="GY88" s="1029"/>
      <c r="GZ88" s="1029"/>
      <c r="HA88" s="1032"/>
      <c r="HB88" s="1029"/>
      <c r="HC88" s="1029"/>
      <c r="HD88" s="1029">
        <v>1</v>
      </c>
      <c r="HE88" s="1029">
        <v>1</v>
      </c>
      <c r="HF88" s="1029">
        <f t="shared" si="187"/>
        <v>5</v>
      </c>
      <c r="HG88" s="1029">
        <f t="shared" si="196"/>
        <v>5</v>
      </c>
      <c r="HH88" s="1029">
        <f t="shared" si="197"/>
        <v>5</v>
      </c>
      <c r="HI88" s="1029">
        <v>6</v>
      </c>
      <c r="HJ88" s="1029"/>
      <c r="HK88" s="1029"/>
      <c r="HL88" s="1029">
        <v>6</v>
      </c>
      <c r="HM88" s="1029">
        <v>6</v>
      </c>
      <c r="HN88" s="1025">
        <v>4</v>
      </c>
      <c r="HO88" s="1025">
        <v>4</v>
      </c>
      <c r="HP88" s="1025">
        <f>HN88+HI88</f>
        <v>10</v>
      </c>
      <c r="HQ88" s="1025">
        <f>HO88+HM88</f>
        <v>10</v>
      </c>
      <c r="HR88" s="1025">
        <f t="shared" si="188"/>
        <v>1</v>
      </c>
      <c r="HS88" s="1025"/>
      <c r="HT88" s="1025">
        <f>HV88-HI88</f>
        <v>5</v>
      </c>
      <c r="HU88" s="1025"/>
      <c r="HV88" s="1069">
        <v>11</v>
      </c>
      <c r="HW88" s="1029"/>
      <c r="HX88" s="1029"/>
      <c r="HY88" s="1029"/>
      <c r="HZ88" s="1025"/>
      <c r="IA88" s="1029"/>
      <c r="IB88" s="1029"/>
      <c r="IC88" s="1032"/>
      <c r="ID88" s="1029"/>
      <c r="IE88" s="1033">
        <v>-2</v>
      </c>
      <c r="IF88" s="1029">
        <f t="shared" si="198"/>
        <v>-6</v>
      </c>
      <c r="IG88" s="1070">
        <v>-8</v>
      </c>
      <c r="IH88" s="1029">
        <v>-8</v>
      </c>
      <c r="II88" s="1029"/>
      <c r="IJ88" s="1029">
        <f>IH88+IG88</f>
        <v>-16</v>
      </c>
      <c r="IK88" s="1029">
        <f t="shared" si="199"/>
        <v>0</v>
      </c>
      <c r="IL88" s="1029"/>
      <c r="IM88" s="1029">
        <f t="shared" si="189"/>
        <v>-9</v>
      </c>
      <c r="IN88" s="1029"/>
      <c r="IO88" s="1029">
        <f>IR88-IG88</f>
        <v>-17</v>
      </c>
      <c r="IP88" s="1030"/>
      <c r="IQ88" s="1029"/>
      <c r="IR88" s="1073">
        <v>-25</v>
      </c>
      <c r="IS88" s="1294"/>
      <c r="IT88" s="1029"/>
      <c r="IU88" s="1084">
        <v>-15</v>
      </c>
      <c r="IV88" s="1029">
        <f t="shared" si="200"/>
        <v>-12</v>
      </c>
      <c r="IW88" s="1029"/>
      <c r="IX88" s="1029">
        <f>IX85-IX86-IX87</f>
        <v>-27</v>
      </c>
      <c r="IY88" s="1029"/>
      <c r="IZ88" s="1029">
        <f t="shared" si="201"/>
        <v>-12</v>
      </c>
      <c r="JA88" s="1029">
        <f>JA85-JA86-JA87</f>
        <v>-39</v>
      </c>
      <c r="JB88" s="1029"/>
      <c r="JC88" s="1029"/>
      <c r="JD88" s="1084">
        <f>+JD85-JD86-JD87</f>
        <v>-54</v>
      </c>
      <c r="JE88" s="1029"/>
      <c r="JF88" s="1029"/>
      <c r="JG88" s="1029"/>
      <c r="JH88" s="1030"/>
      <c r="JI88" s="1294"/>
      <c r="JJ88" s="1033"/>
      <c r="JK88" s="1029"/>
      <c r="JL88" s="1028"/>
      <c r="JM88" s="1028"/>
      <c r="JN88" s="1028"/>
      <c r="JO88" s="1028"/>
      <c r="JP88" s="1028"/>
      <c r="JQ88" s="1028"/>
      <c r="JR88" s="1028"/>
      <c r="JS88" s="1028"/>
      <c r="JT88" s="1029"/>
      <c r="JU88" s="1029"/>
      <c r="JV88" s="1029"/>
      <c r="JW88" s="1029"/>
      <c r="JX88" s="1029"/>
      <c r="JY88" s="1029"/>
      <c r="JZ88" s="1071"/>
      <c r="KA88" s="1072"/>
      <c r="KB88" s="1071">
        <f t="shared" si="204"/>
        <v>-3</v>
      </c>
      <c r="KC88" s="1071">
        <v>-3</v>
      </c>
      <c r="KD88" s="1071">
        <f t="shared" si="225"/>
        <v>-3</v>
      </c>
      <c r="KE88" s="1071">
        <f t="shared" si="206"/>
        <v>0</v>
      </c>
      <c r="KF88" s="1071"/>
      <c r="KG88" s="2357"/>
      <c r="KH88" s="1084">
        <f>+KH85-KH86-KH87</f>
        <v>-6</v>
      </c>
      <c r="KI88" s="1072"/>
      <c r="KJ88" s="1071"/>
      <c r="KK88" s="1029"/>
      <c r="KL88" s="1029">
        <f t="shared" si="207"/>
        <v>-23</v>
      </c>
      <c r="KM88" s="1071">
        <f>KM85-KM86-KM87</f>
        <v>-50</v>
      </c>
      <c r="KN88" s="1071"/>
      <c r="KO88" s="1071">
        <v>-26</v>
      </c>
      <c r="KP88" s="1029">
        <v>-17</v>
      </c>
      <c r="KQ88" s="1030">
        <v>-43</v>
      </c>
      <c r="KR88" s="1029">
        <v>-17</v>
      </c>
      <c r="KS88" s="1030">
        <v>-25</v>
      </c>
      <c r="KT88" s="1029">
        <f t="shared" si="208"/>
        <v>5.5</v>
      </c>
      <c r="KU88" s="1029">
        <v>3.5</v>
      </c>
      <c r="KV88" s="1029">
        <f t="shared" si="209"/>
        <v>-3.5</v>
      </c>
      <c r="KW88" s="1030">
        <v>0</v>
      </c>
      <c r="KX88" s="1029">
        <f t="shared" si="210"/>
        <v>-8.5</v>
      </c>
      <c r="KY88" s="1029">
        <f t="shared" si="211"/>
        <v>-4.5</v>
      </c>
      <c r="KZ88" s="1030">
        <v>1.5</v>
      </c>
      <c r="LA88" s="1029">
        <v>-2</v>
      </c>
      <c r="LB88" s="1029">
        <f t="shared" si="212"/>
        <v>-2</v>
      </c>
      <c r="LC88" s="1030">
        <v>-4</v>
      </c>
      <c r="LD88" s="1030">
        <f t="shared" si="223"/>
        <v>-6</v>
      </c>
      <c r="LE88" s="1029">
        <f t="shared" si="215"/>
        <v>-1</v>
      </c>
      <c r="LF88" s="1029">
        <v>-3</v>
      </c>
      <c r="LG88" s="1030">
        <v>-6</v>
      </c>
    </row>
    <row r="89" spans="1:319" s="1044" customFormat="1" ht="12">
      <c r="A89" s="1036"/>
      <c r="B89" s="1037" t="s">
        <v>1078</v>
      </c>
      <c r="C89" s="1038" t="s">
        <v>941</v>
      </c>
      <c r="D89" s="1039"/>
      <c r="E89" s="1036"/>
      <c r="F89" s="1036"/>
      <c r="G89" s="1040"/>
      <c r="H89" s="1036"/>
      <c r="I89" s="1036"/>
      <c r="J89" s="1040"/>
      <c r="K89" s="1041"/>
      <c r="L89" s="1041"/>
      <c r="M89" s="1041"/>
      <c r="N89" s="1041"/>
      <c r="O89" s="1041"/>
      <c r="P89" s="1041"/>
      <c r="Q89" s="1041"/>
      <c r="R89" s="1041"/>
      <c r="S89" s="1042"/>
      <c r="T89" s="1041"/>
      <c r="U89" s="1041"/>
      <c r="V89" s="1041"/>
      <c r="W89" s="1041"/>
      <c r="X89" s="1041"/>
      <c r="Y89" s="1041"/>
      <c r="Z89" s="1041"/>
      <c r="AA89" s="1041"/>
      <c r="AB89" s="1042"/>
      <c r="AC89" s="1041"/>
      <c r="AD89" s="1041"/>
      <c r="AE89" s="1041"/>
      <c r="AF89" s="1041"/>
      <c r="AG89" s="1041"/>
      <c r="AH89" s="1041">
        <v>-3</v>
      </c>
      <c r="AI89" s="1041">
        <f>+AJ89-AH89</f>
        <v>5</v>
      </c>
      <c r="AJ89" s="1041">
        <v>2</v>
      </c>
      <c r="AK89" s="1039"/>
      <c r="AL89" s="1041">
        <v>0</v>
      </c>
      <c r="AM89" s="1041">
        <f>+AQ89-AL89</f>
        <v>-2</v>
      </c>
      <c r="AN89" s="1041">
        <f>+AP89-AQ89</f>
        <v>-2</v>
      </c>
      <c r="AO89" s="1041">
        <f>+AR89-AN89</f>
        <v>-2</v>
      </c>
      <c r="AP89" s="1041">
        <v>-4</v>
      </c>
      <c r="AQ89" s="1041">
        <v>-2</v>
      </c>
      <c r="AR89" s="1041">
        <f>+AS89-AQ89</f>
        <v>-4</v>
      </c>
      <c r="AS89" s="1041">
        <v>-6</v>
      </c>
      <c r="AT89" s="1039"/>
      <c r="AU89" s="1041">
        <v>0</v>
      </c>
      <c r="AV89" s="1041">
        <f>+BB89-AU89</f>
        <v>1</v>
      </c>
      <c r="AW89" s="1041">
        <f>+BA89-BB89</f>
        <v>-1</v>
      </c>
      <c r="AX89" s="1041">
        <v>-1</v>
      </c>
      <c r="AY89" s="1041">
        <f t="shared" si="173"/>
        <v>-1</v>
      </c>
      <c r="AZ89" s="1041"/>
      <c r="BA89" s="1041">
        <v>0</v>
      </c>
      <c r="BB89" s="1043">
        <v>1</v>
      </c>
      <c r="BC89" s="1043">
        <f t="shared" si="172"/>
        <v>-2</v>
      </c>
      <c r="BD89" s="1041"/>
      <c r="BE89" s="1041">
        <v>-1</v>
      </c>
      <c r="BF89" s="1039"/>
      <c r="BG89" s="1041">
        <f>BH89-AW89</f>
        <v>-2</v>
      </c>
      <c r="BH89" s="1041">
        <f>+BI89-BB89</f>
        <v>-3</v>
      </c>
      <c r="BI89" s="1041">
        <v>-2</v>
      </c>
      <c r="BJ89" s="1039"/>
      <c r="BK89" s="1036">
        <v>-1</v>
      </c>
      <c r="BL89" s="1036">
        <v>-2</v>
      </c>
      <c r="BM89" s="1036">
        <v>-3</v>
      </c>
      <c r="BN89" s="1036"/>
      <c r="BO89" s="1039"/>
      <c r="BP89" s="1041">
        <v>0</v>
      </c>
      <c r="BQ89" s="1041"/>
      <c r="BR89" s="1041">
        <f t="shared" si="190"/>
        <v>-1</v>
      </c>
      <c r="BS89" s="1041">
        <v>0</v>
      </c>
      <c r="BT89" s="1041">
        <v>0</v>
      </c>
      <c r="BU89" s="1041">
        <v>0</v>
      </c>
      <c r="BV89" s="1041">
        <f t="shared" si="216"/>
        <v>0</v>
      </c>
      <c r="BW89" s="1041"/>
      <c r="BX89" s="1044">
        <v>-1</v>
      </c>
      <c r="BY89" s="1041">
        <v>-1</v>
      </c>
      <c r="BZ89" s="1041"/>
      <c r="CA89" s="1041"/>
      <c r="CB89" s="1041"/>
      <c r="CC89" s="1041">
        <f t="shared" si="217"/>
        <v>0</v>
      </c>
      <c r="CD89" s="1041"/>
      <c r="CE89" s="1041">
        <v>-1</v>
      </c>
      <c r="CF89" s="1039"/>
      <c r="CG89" s="1045">
        <v>-9</v>
      </c>
      <c r="CH89" s="1046">
        <v>-3</v>
      </c>
      <c r="CI89" s="1046">
        <v>-3.5</v>
      </c>
      <c r="CJ89" s="1047">
        <f t="shared" si="174"/>
        <v>-6</v>
      </c>
      <c r="CK89" s="1047">
        <v>-7</v>
      </c>
      <c r="CL89" s="1047">
        <f>CP89-CR89</f>
        <v>-7</v>
      </c>
      <c r="CM89" s="1047">
        <v>-6</v>
      </c>
      <c r="CN89" s="1047"/>
      <c r="CO89" s="1047">
        <v>-3</v>
      </c>
      <c r="CP89" s="1047">
        <v>-22</v>
      </c>
      <c r="CQ89" s="1047"/>
      <c r="CR89" s="1047">
        <v>-15</v>
      </c>
      <c r="CS89" s="1047"/>
      <c r="CT89" s="1047"/>
      <c r="CU89" s="1047">
        <f t="shared" si="218"/>
        <v>-10</v>
      </c>
      <c r="CV89" s="1047"/>
      <c r="CW89" s="1048">
        <v>-25</v>
      </c>
      <c r="CX89" s="1047"/>
      <c r="CY89" s="1047">
        <v>1</v>
      </c>
      <c r="CZ89" s="1047">
        <f>+DB89-CY89</f>
        <v>-1</v>
      </c>
      <c r="DA89" s="1047">
        <v>1</v>
      </c>
      <c r="DB89" s="1047">
        <v>0</v>
      </c>
      <c r="DC89" s="1047">
        <f t="shared" si="176"/>
        <v>0</v>
      </c>
      <c r="DD89" s="1047">
        <v>-1.5</v>
      </c>
      <c r="DE89" s="1047">
        <f t="shared" si="42"/>
        <v>-1</v>
      </c>
      <c r="DF89" s="1047"/>
      <c r="DG89" s="1047">
        <v>0</v>
      </c>
      <c r="DH89" s="1047"/>
      <c r="DI89" s="1047">
        <f t="shared" si="224"/>
        <v>-1</v>
      </c>
      <c r="DJ89" s="1047"/>
      <c r="DK89" s="1047">
        <v>-1</v>
      </c>
      <c r="DL89" s="1049"/>
      <c r="DM89" s="1049"/>
      <c r="DN89" s="1050"/>
      <c r="DO89" s="1050"/>
      <c r="DP89" s="1051">
        <f>DP90+DP92+DP97</f>
        <v>-2.5</v>
      </c>
      <c r="DQ89" s="1051">
        <f>DQ90+DQ92+DQ97</f>
        <v>-2.5</v>
      </c>
      <c r="DR89" s="1051">
        <f>+DS89-DB89</f>
        <v>-5</v>
      </c>
      <c r="DS89" s="1052">
        <v>-5</v>
      </c>
      <c r="DT89" s="1049"/>
      <c r="DU89" s="1050">
        <v>1</v>
      </c>
      <c r="DV89" s="1053">
        <f>DW89-CY89</f>
        <v>-2</v>
      </c>
      <c r="DW89" s="1054">
        <v>-1</v>
      </c>
      <c r="DX89" s="1051">
        <f>DY89-DB89</f>
        <v>-4</v>
      </c>
      <c r="DY89" s="1051">
        <v>-4</v>
      </c>
      <c r="DZ89" s="1039"/>
      <c r="EB89" s="1054">
        <f>ED89-CP89</f>
        <v>-2</v>
      </c>
      <c r="EC89" s="1051">
        <f>ED89-CR89</f>
        <v>-9</v>
      </c>
      <c r="ED89" s="1049">
        <v>-24</v>
      </c>
      <c r="EE89" s="1039"/>
      <c r="EF89" s="1036"/>
      <c r="EG89" s="1055">
        <v>1</v>
      </c>
      <c r="EH89" s="1047"/>
      <c r="EI89" s="1047">
        <f t="shared" si="177"/>
        <v>0</v>
      </c>
      <c r="EJ89" s="1047"/>
      <c r="EK89" s="1047">
        <v>1</v>
      </c>
      <c r="EL89" s="1047"/>
      <c r="EM89" s="1047">
        <f t="shared" si="192"/>
        <v>0</v>
      </c>
      <c r="EN89" s="1047"/>
      <c r="EO89" s="1047">
        <v>1</v>
      </c>
      <c r="EP89" s="1047"/>
      <c r="EQ89" s="1047">
        <f t="shared" si="219"/>
        <v>-3</v>
      </c>
      <c r="ER89" s="1047"/>
      <c r="ES89" s="1047">
        <f t="shared" si="222"/>
        <v>-3</v>
      </c>
      <c r="ET89" s="1047"/>
      <c r="EU89" s="1048">
        <v>-2</v>
      </c>
      <c r="EV89" s="1030"/>
      <c r="EW89" s="1047"/>
      <c r="EX89" s="1047">
        <v>-2</v>
      </c>
      <c r="EY89" s="1047">
        <v>-1</v>
      </c>
      <c r="EZ89" s="1047">
        <f t="shared" si="193"/>
        <v>-2</v>
      </c>
      <c r="FA89" s="1047">
        <v>-3</v>
      </c>
      <c r="FB89" s="1047">
        <v>-4</v>
      </c>
      <c r="FC89" s="1047">
        <f t="shared" si="178"/>
        <v>-5</v>
      </c>
      <c r="FD89" s="1025">
        <v>0</v>
      </c>
      <c r="FE89" s="1047">
        <v>-9</v>
      </c>
      <c r="FF89" s="1047"/>
      <c r="FG89" s="1047">
        <f>FI89-FC89</f>
        <v>-4</v>
      </c>
      <c r="FH89" s="1047">
        <f>+FL89-FE89</f>
        <v>9</v>
      </c>
      <c r="FI89" s="1047">
        <f t="shared" si="194"/>
        <v>-9</v>
      </c>
      <c r="FJ89" s="1047">
        <f t="shared" si="180"/>
        <v>4</v>
      </c>
      <c r="FK89" s="1048">
        <v>-13</v>
      </c>
      <c r="FL89" s="1049"/>
      <c r="FM89" s="1050">
        <f t="shared" si="181"/>
        <v>0</v>
      </c>
      <c r="FN89" s="1051">
        <v>-2</v>
      </c>
      <c r="FO89" s="1051">
        <f t="shared" si="195"/>
        <v>0</v>
      </c>
      <c r="FP89" s="1051">
        <f t="shared" si="182"/>
        <v>-5</v>
      </c>
      <c r="FQ89" s="1052">
        <v>-9</v>
      </c>
      <c r="FR89" s="1052"/>
      <c r="FS89" s="1047">
        <v>-3</v>
      </c>
      <c r="FT89" s="1051"/>
      <c r="FU89" s="1051"/>
      <c r="FV89" s="1047">
        <f t="shared" ref="FV89:FV99" si="226">+FY89-FS89</f>
        <v>-3</v>
      </c>
      <c r="FW89" s="1051"/>
      <c r="FX89" s="1051"/>
      <c r="FY89" s="1047">
        <v>-6</v>
      </c>
      <c r="FZ89" s="1047">
        <f>+GA89-FY89</f>
        <v>-7</v>
      </c>
      <c r="GA89" s="1047">
        <v>-13</v>
      </c>
      <c r="GB89" s="1047">
        <f t="shared" si="184"/>
        <v>-5</v>
      </c>
      <c r="GC89" s="1047">
        <f>+GD89-FY89</f>
        <v>-12</v>
      </c>
      <c r="GD89" s="1048">
        <v>-18</v>
      </c>
      <c r="GE89" s="1047"/>
      <c r="GF89" s="1047"/>
      <c r="GG89" s="1047"/>
      <c r="GH89" s="1051"/>
      <c r="GI89" s="1051"/>
      <c r="GJ89" s="1057"/>
      <c r="GK89" s="1051"/>
      <c r="GL89" s="1051">
        <v>-5</v>
      </c>
      <c r="GM89" s="1051"/>
      <c r="GN89" s="1051"/>
      <c r="GO89" s="1051">
        <f t="shared" si="185"/>
        <v>-5</v>
      </c>
      <c r="GP89" s="1051">
        <v>-10</v>
      </c>
      <c r="GQ89" s="1051"/>
      <c r="GR89" s="1047">
        <f>+GS89-GP89</f>
        <v>-5</v>
      </c>
      <c r="GS89" s="1047">
        <v>-15</v>
      </c>
      <c r="GT89" s="1047">
        <f t="shared" si="186"/>
        <v>-4</v>
      </c>
      <c r="GU89" s="1047">
        <f>+GV89-GP89</f>
        <v>-9</v>
      </c>
      <c r="GV89" s="1048">
        <v>-19</v>
      </c>
      <c r="GW89" s="1047"/>
      <c r="GX89" s="1051"/>
      <c r="GY89" s="1051"/>
      <c r="GZ89" s="1051"/>
      <c r="HA89" s="1057"/>
      <c r="HB89" s="1051"/>
      <c r="HC89" s="1051"/>
      <c r="HD89" s="1051">
        <v>-5</v>
      </c>
      <c r="HE89" s="1051">
        <v>-5</v>
      </c>
      <c r="HF89" s="1051">
        <f t="shared" si="187"/>
        <v>1</v>
      </c>
      <c r="HG89" s="1051">
        <f t="shared" si="196"/>
        <v>1</v>
      </c>
      <c r="HH89" s="1051">
        <f t="shared" si="197"/>
        <v>1</v>
      </c>
      <c r="HI89" s="1051">
        <v>-4</v>
      </c>
      <c r="HJ89" s="1051"/>
      <c r="HK89" s="1051"/>
      <c r="HL89" s="1051">
        <v>-4</v>
      </c>
      <c r="HM89" s="1051">
        <v>-4</v>
      </c>
      <c r="HN89" s="1047">
        <f>+HP89-HI89</f>
        <v>-2</v>
      </c>
      <c r="HO89" s="1047">
        <f>+HQ89-HM89</f>
        <v>-2</v>
      </c>
      <c r="HP89" s="1047">
        <v>-6</v>
      </c>
      <c r="HQ89" s="1047">
        <v>-6</v>
      </c>
      <c r="HR89" s="1047">
        <f t="shared" si="188"/>
        <v>2</v>
      </c>
      <c r="HS89" s="1047"/>
      <c r="HT89" s="1047">
        <f>+HV89-HI89</f>
        <v>0</v>
      </c>
      <c r="HU89" s="1047">
        <f>HZ89-HM89</f>
        <v>0</v>
      </c>
      <c r="HV89" s="1047">
        <v>-4</v>
      </c>
      <c r="HW89" s="1051"/>
      <c r="HX89" s="1051"/>
      <c r="HY89" s="1051"/>
      <c r="HZ89" s="1047">
        <v>-4</v>
      </c>
      <c r="IA89" s="1051"/>
      <c r="IB89" s="1051"/>
      <c r="IC89" s="1057"/>
      <c r="ID89" s="1051"/>
      <c r="IE89" s="1078">
        <v>-4</v>
      </c>
      <c r="IF89" s="1051">
        <f t="shared" si="198"/>
        <v>-6</v>
      </c>
      <c r="IG89" s="1059">
        <v>-10</v>
      </c>
      <c r="IH89" s="1051">
        <f>+IJ89-IG89</f>
        <v>-6</v>
      </c>
      <c r="II89" s="1051"/>
      <c r="IJ89" s="1060">
        <v>-16</v>
      </c>
      <c r="IK89" s="1051">
        <f t="shared" si="199"/>
        <v>0</v>
      </c>
      <c r="IL89" s="1051"/>
      <c r="IM89" s="1051">
        <f t="shared" si="189"/>
        <v>-7</v>
      </c>
      <c r="IN89" s="1051"/>
      <c r="IO89" s="1051">
        <f>+IR89-IG89</f>
        <v>-13</v>
      </c>
      <c r="IP89" s="1052"/>
      <c r="IQ89" s="1051"/>
      <c r="IR89" s="1061">
        <v>-23</v>
      </c>
      <c r="IS89" s="1294"/>
      <c r="IT89" s="1063">
        <v>-8</v>
      </c>
      <c r="IU89" s="1063">
        <v>-12</v>
      </c>
      <c r="IV89" s="2272">
        <f t="shared" si="200"/>
        <v>-13</v>
      </c>
      <c r="IW89" s="1063">
        <v>-12</v>
      </c>
      <c r="IX89" s="1051">
        <v>-25</v>
      </c>
      <c r="IY89" s="1051">
        <v>-24</v>
      </c>
      <c r="IZ89" s="1051">
        <f t="shared" si="201"/>
        <v>-16</v>
      </c>
      <c r="JA89" s="1051">
        <v>-41</v>
      </c>
      <c r="JB89" s="1051">
        <f>+JC89-IZ89</f>
        <v>-15</v>
      </c>
      <c r="JC89" s="1051">
        <f>+JD89-IX89</f>
        <v>-31</v>
      </c>
      <c r="JD89" s="1051">
        <v>-56</v>
      </c>
      <c r="JE89" s="1051"/>
      <c r="JF89" s="1051"/>
      <c r="JG89" s="1051"/>
      <c r="JH89" s="1052"/>
      <c r="JI89" s="1294"/>
      <c r="JJ89" s="1806">
        <v>-15</v>
      </c>
      <c r="JK89" s="1807">
        <v>-13</v>
      </c>
      <c r="JL89" s="1807">
        <v>-7</v>
      </c>
      <c r="JM89" s="1051">
        <f t="shared" ref="JM89:JM91" si="227">+JP89-JL89</f>
        <v>-10</v>
      </c>
      <c r="JN89" s="1051">
        <f t="shared" ref="JN89:JN91" si="228">JS89-JP89</f>
        <v>-7</v>
      </c>
      <c r="JO89" s="1807"/>
      <c r="JP89" s="1807">
        <v>-17</v>
      </c>
      <c r="JQ89" s="1807"/>
      <c r="JR89" s="1807"/>
      <c r="JS89" s="1807">
        <v>-24</v>
      </c>
      <c r="JT89" s="1807">
        <v>-7</v>
      </c>
      <c r="JU89" s="1088">
        <f>+JW89-JN89</f>
        <v>-11</v>
      </c>
      <c r="JV89" s="1051">
        <f>+JL89+JK89</f>
        <v>-20</v>
      </c>
      <c r="JW89" s="1051">
        <f>+JX89-JP89</f>
        <v>-18</v>
      </c>
      <c r="JX89" s="1051">
        <f>+'maruchan inc'!AG40</f>
        <v>-35</v>
      </c>
      <c r="JY89" s="1051">
        <f>+JP89+JT89</f>
        <v>-24</v>
      </c>
      <c r="JZ89" s="1071"/>
      <c r="KA89" s="1072"/>
      <c r="KB89" s="1063">
        <f t="shared" si="204"/>
        <v>-17</v>
      </c>
      <c r="KC89" s="1063">
        <v>-24</v>
      </c>
      <c r="KD89" s="1063">
        <f t="shared" ref="KD89:KD91" si="229">+KH89-KC89</f>
        <v>-14</v>
      </c>
      <c r="KE89" s="1063">
        <f t="shared" si="206"/>
        <v>-17</v>
      </c>
      <c r="KF89" s="1063"/>
      <c r="KG89" s="1063">
        <v>-34</v>
      </c>
      <c r="KH89" s="1063">
        <v>-38</v>
      </c>
      <c r="KI89" s="1072"/>
      <c r="KJ89" s="1071"/>
      <c r="KK89" s="1051">
        <f>KL89-IZ89</f>
        <v>-9</v>
      </c>
      <c r="KL89" s="1028">
        <f t="shared" si="207"/>
        <v>-25</v>
      </c>
      <c r="KM89" s="1063">
        <v>-50</v>
      </c>
      <c r="KN89" s="1071"/>
      <c r="KO89" s="1063">
        <v>-16</v>
      </c>
      <c r="KP89" s="1051">
        <v>-12</v>
      </c>
      <c r="KQ89" s="1052">
        <v>-28</v>
      </c>
      <c r="KR89" s="1051">
        <v>-23</v>
      </c>
      <c r="KS89" s="1052">
        <v>-33</v>
      </c>
      <c r="KT89" s="1051">
        <f t="shared" si="208"/>
        <v>-10</v>
      </c>
      <c r="KU89" s="1051">
        <v>-14</v>
      </c>
      <c r="KV89" s="1051">
        <f t="shared" si="209"/>
        <v>-11</v>
      </c>
      <c r="KW89" s="1052">
        <v>-25</v>
      </c>
      <c r="KX89" s="1051">
        <f t="shared" si="210"/>
        <v>-3</v>
      </c>
      <c r="KY89" s="1051">
        <f t="shared" si="211"/>
        <v>-5</v>
      </c>
      <c r="KZ89" s="1052">
        <v>-9</v>
      </c>
      <c r="LA89" s="1051">
        <v>-10</v>
      </c>
      <c r="LB89" s="1051">
        <f t="shared" si="212"/>
        <v>-3</v>
      </c>
      <c r="LC89" s="1052">
        <v>-13</v>
      </c>
      <c r="LD89" s="1052"/>
      <c r="LE89" s="1051">
        <f t="shared" si="215"/>
        <v>-2</v>
      </c>
      <c r="LF89" s="1051">
        <f>LG89-GP89</f>
        <v>-7</v>
      </c>
      <c r="LG89" s="1052">
        <v>-17</v>
      </c>
    </row>
    <row r="90" spans="1:319" s="705" customFormat="1">
      <c r="A90" s="510"/>
      <c r="B90" s="1064" t="s">
        <v>1079</v>
      </c>
      <c r="C90" s="1065" t="s">
        <v>947</v>
      </c>
      <c r="D90" s="497"/>
      <c r="E90" s="510"/>
      <c r="F90" s="510"/>
      <c r="G90" s="699"/>
      <c r="H90" s="510"/>
      <c r="I90" s="510"/>
      <c r="J90" s="699"/>
      <c r="K90" s="584"/>
      <c r="L90" s="584"/>
      <c r="M90" s="584"/>
      <c r="N90" s="584"/>
      <c r="O90" s="584"/>
      <c r="P90" s="584"/>
      <c r="Q90" s="584"/>
      <c r="R90" s="584"/>
      <c r="S90" s="700"/>
      <c r="T90" s="584"/>
      <c r="U90" s="584"/>
      <c r="V90" s="584"/>
      <c r="W90" s="584"/>
      <c r="X90" s="584"/>
      <c r="Y90" s="584"/>
      <c r="Z90" s="584"/>
      <c r="AA90" s="584"/>
      <c r="AB90" s="700"/>
      <c r="AC90" s="584"/>
      <c r="AD90" s="584"/>
      <c r="AE90" s="584"/>
      <c r="AF90" s="584"/>
      <c r="AG90" s="584"/>
      <c r="AH90" s="584"/>
      <c r="AI90" s="584"/>
      <c r="AJ90" s="584"/>
      <c r="AK90" s="497"/>
      <c r="AL90" s="584"/>
      <c r="AM90" s="584"/>
      <c r="AN90" s="584"/>
      <c r="AO90" s="584"/>
      <c r="AP90" s="584"/>
      <c r="AQ90" s="584"/>
      <c r="AR90" s="584"/>
      <c r="AS90" s="584"/>
      <c r="AT90" s="497"/>
      <c r="AU90" s="584"/>
      <c r="AV90" s="584"/>
      <c r="AW90" s="584"/>
      <c r="AX90" s="584"/>
      <c r="AY90" s="584"/>
      <c r="AZ90" s="584"/>
      <c r="BA90" s="584"/>
      <c r="BB90" s="625"/>
      <c r="BC90" s="625"/>
      <c r="BD90" s="584"/>
      <c r="BE90" s="584"/>
      <c r="BF90" s="497"/>
      <c r="BG90" s="584"/>
      <c r="BH90" s="584"/>
      <c r="BI90" s="584"/>
      <c r="BJ90" s="497"/>
      <c r="BK90" s="510"/>
      <c r="BL90" s="510"/>
      <c r="BM90" s="510"/>
      <c r="BN90" s="510"/>
      <c r="BO90" s="497"/>
      <c r="BP90" s="584"/>
      <c r="BQ90" s="584"/>
      <c r="BR90" s="584"/>
      <c r="BS90" s="584"/>
      <c r="BT90" s="584"/>
      <c r="BU90" s="584"/>
      <c r="BV90" s="584"/>
      <c r="BW90" s="584"/>
      <c r="BY90" s="584"/>
      <c r="BZ90" s="584"/>
      <c r="CA90" s="584"/>
      <c r="CB90" s="584"/>
      <c r="CC90" s="584"/>
      <c r="CD90" s="584"/>
      <c r="CE90" s="584"/>
      <c r="CF90" s="497"/>
      <c r="CG90" s="591"/>
      <c r="CH90" s="559"/>
      <c r="CI90" s="559"/>
      <c r="CJ90" s="1025"/>
      <c r="CK90" s="1025"/>
      <c r="CL90" s="1025"/>
      <c r="CM90" s="1025"/>
      <c r="CN90" s="1025"/>
      <c r="CO90" s="1025"/>
      <c r="CP90" s="1025"/>
      <c r="CQ90" s="1025"/>
      <c r="CR90" s="1025">
        <v>0</v>
      </c>
      <c r="CS90" s="1025"/>
      <c r="CT90" s="1025"/>
      <c r="CU90" s="1025">
        <f t="shared" si="218"/>
        <v>0</v>
      </c>
      <c r="CV90" s="1025"/>
      <c r="CW90" s="1066"/>
      <c r="CX90" s="1025"/>
      <c r="CY90" s="1025"/>
      <c r="CZ90" s="1025"/>
      <c r="DA90" s="1025"/>
      <c r="DB90" s="1025"/>
      <c r="DC90" s="1025">
        <v>0</v>
      </c>
      <c r="DD90" s="1025">
        <v>-0.5</v>
      </c>
      <c r="DE90" s="1025">
        <f t="shared" si="42"/>
        <v>-3</v>
      </c>
      <c r="DF90" s="1025"/>
      <c r="DG90" s="1025">
        <f>+DC90+DB90</f>
        <v>0</v>
      </c>
      <c r="DH90" s="1025"/>
      <c r="DI90" s="1025">
        <f t="shared" si="224"/>
        <v>-3</v>
      </c>
      <c r="DJ90" s="1025"/>
      <c r="DK90" s="1025">
        <v>-3</v>
      </c>
      <c r="DL90" s="1026"/>
      <c r="DM90" s="1026"/>
      <c r="DN90" s="1027"/>
      <c r="DO90" s="1027"/>
      <c r="DP90" s="1029">
        <v>-1</v>
      </c>
      <c r="DQ90" s="1029">
        <v>-1</v>
      </c>
      <c r="DR90" s="1029">
        <f>DQ90+DP90</f>
        <v>-2</v>
      </c>
      <c r="DS90" s="1030">
        <f>DR90+DB90</f>
        <v>-2</v>
      </c>
      <c r="DT90" s="1026"/>
      <c r="DU90" s="1027"/>
      <c r="DV90" s="1027"/>
      <c r="DW90" s="705">
        <v>-1</v>
      </c>
      <c r="DX90" s="1029">
        <v>-2</v>
      </c>
      <c r="DY90" s="1029">
        <f>DX90+DW90</f>
        <v>-3</v>
      </c>
      <c r="DZ90" s="497"/>
      <c r="EC90" s="1029">
        <f>EC89-EC92-EC95-EC96</f>
        <v>-2.5</v>
      </c>
      <c r="ED90" s="1026">
        <f t="shared" ref="ED90:ED96" si="230">CR90+EC90</f>
        <v>-2.5</v>
      </c>
      <c r="EE90" s="497"/>
      <c r="EF90" s="510"/>
      <c r="EG90" s="1067">
        <v>-1</v>
      </c>
      <c r="EH90" s="1025"/>
      <c r="EI90" s="1025">
        <f t="shared" si="177"/>
        <v>-1</v>
      </c>
      <c r="EJ90" s="1025"/>
      <c r="EK90" s="1025">
        <v>-2</v>
      </c>
      <c r="EL90" s="1025"/>
      <c r="EM90" s="1025">
        <f t="shared" si="192"/>
        <v>-1</v>
      </c>
      <c r="EN90" s="1025"/>
      <c r="EO90" s="1025">
        <v>-3</v>
      </c>
      <c r="EP90" s="1025"/>
      <c r="EQ90" s="1025">
        <f t="shared" si="219"/>
        <v>-2</v>
      </c>
      <c r="ER90" s="1025"/>
      <c r="ES90" s="1025">
        <f t="shared" si="222"/>
        <v>-3</v>
      </c>
      <c r="ET90" s="1025"/>
      <c r="EU90" s="1066">
        <v>-5</v>
      </c>
      <c r="EV90" s="1030"/>
      <c r="EW90" s="1025"/>
      <c r="EX90" s="1025">
        <v>-1</v>
      </c>
      <c r="EY90" s="1025">
        <v>1</v>
      </c>
      <c r="EZ90" s="1025">
        <f t="shared" si="193"/>
        <v>-2</v>
      </c>
      <c r="FA90" s="1025"/>
      <c r="FB90" s="1025">
        <v>-3</v>
      </c>
      <c r="FC90" s="1025">
        <v>-4.5</v>
      </c>
      <c r="FD90" s="1025">
        <v>0</v>
      </c>
      <c r="FE90" s="1025">
        <f>FC90+FB90</f>
        <v>-7.5</v>
      </c>
      <c r="FF90" s="1025"/>
      <c r="FG90" s="1025">
        <f t="shared" si="213"/>
        <v>-3.5</v>
      </c>
      <c r="FH90" s="1025">
        <f t="shared" si="179"/>
        <v>7.5</v>
      </c>
      <c r="FI90" s="1025">
        <f t="shared" si="194"/>
        <v>-8</v>
      </c>
      <c r="FJ90" s="1025">
        <f t="shared" si="180"/>
        <v>3</v>
      </c>
      <c r="FK90" s="1066">
        <v>-11</v>
      </c>
      <c r="FL90" s="1026"/>
      <c r="FM90" s="1027">
        <f t="shared" si="181"/>
        <v>-1</v>
      </c>
      <c r="FN90" s="1029">
        <v>-2</v>
      </c>
      <c r="FO90" s="1029">
        <f t="shared" si="195"/>
        <v>-0.5</v>
      </c>
      <c r="FP90" s="1029">
        <f t="shared" si="182"/>
        <v>-5</v>
      </c>
      <c r="FQ90" s="1030">
        <v>-8</v>
      </c>
      <c r="FR90" s="1030"/>
      <c r="FS90" s="1025">
        <v>-3</v>
      </c>
      <c r="FT90" s="1029"/>
      <c r="FU90" s="1029"/>
      <c r="FV90" s="1025">
        <f t="shared" si="226"/>
        <v>-2</v>
      </c>
      <c r="FW90" s="1029"/>
      <c r="FX90" s="1029"/>
      <c r="FY90" s="1025">
        <v>-5</v>
      </c>
      <c r="FZ90" s="1025">
        <v>-4</v>
      </c>
      <c r="GA90" s="1025">
        <f>FZ90+FY90</f>
        <v>-9</v>
      </c>
      <c r="GB90" s="1025">
        <f t="shared" si="184"/>
        <v>-2</v>
      </c>
      <c r="GC90" s="1025">
        <f>GD90-FY90</f>
        <v>-6</v>
      </c>
      <c r="GD90" s="1066">
        <v>-11</v>
      </c>
      <c r="GE90" s="1025"/>
      <c r="GF90" s="1025"/>
      <c r="GG90" s="1025"/>
      <c r="GH90" s="1029"/>
      <c r="GI90" s="1029"/>
      <c r="GJ90" s="1032"/>
      <c r="GK90" s="1029"/>
      <c r="GL90" s="1029">
        <v>-4</v>
      </c>
      <c r="GM90" s="1029"/>
      <c r="GN90" s="1029"/>
      <c r="GO90" s="1029">
        <f t="shared" si="185"/>
        <v>-4</v>
      </c>
      <c r="GP90" s="1029">
        <v>-8</v>
      </c>
      <c r="GQ90" s="1029"/>
      <c r="GR90" s="1025">
        <v>-3</v>
      </c>
      <c r="GS90" s="1025">
        <f>GR90+GP90</f>
        <v>-11</v>
      </c>
      <c r="GT90" s="1025">
        <f t="shared" si="186"/>
        <v>-4</v>
      </c>
      <c r="GU90" s="1025">
        <f>GV90-GP90</f>
        <v>-7</v>
      </c>
      <c r="GV90" s="1066">
        <v>-15</v>
      </c>
      <c r="GW90" s="1025"/>
      <c r="GX90" s="1029"/>
      <c r="GY90" s="1029"/>
      <c r="GZ90" s="1029"/>
      <c r="HA90" s="1032"/>
      <c r="HB90" s="1029"/>
      <c r="HC90" s="1029"/>
      <c r="HD90" s="1029">
        <v>-3</v>
      </c>
      <c r="HE90" s="1029">
        <v>-3</v>
      </c>
      <c r="HF90" s="1029">
        <f t="shared" si="187"/>
        <v>2</v>
      </c>
      <c r="HG90" s="1029">
        <f t="shared" si="196"/>
        <v>2</v>
      </c>
      <c r="HH90" s="1029">
        <f t="shared" si="197"/>
        <v>2</v>
      </c>
      <c r="HI90" s="1029">
        <v>-1</v>
      </c>
      <c r="HJ90" s="1029"/>
      <c r="HK90" s="1029"/>
      <c r="HL90" s="1029">
        <v>-1</v>
      </c>
      <c r="HM90" s="1029">
        <v>-1</v>
      </c>
      <c r="HN90" s="1025">
        <v>-1</v>
      </c>
      <c r="HO90" s="1025">
        <v>-1</v>
      </c>
      <c r="HP90" s="1025">
        <f>HN90+HI90</f>
        <v>-2</v>
      </c>
      <c r="HQ90" s="1025">
        <f>HO90+HM90</f>
        <v>-2</v>
      </c>
      <c r="HR90" s="1025">
        <f t="shared" si="188"/>
        <v>2</v>
      </c>
      <c r="HS90" s="1025"/>
      <c r="HT90" s="1025">
        <f>HV90-HI90</f>
        <v>1</v>
      </c>
      <c r="HU90" s="1025"/>
      <c r="HV90" s="1069">
        <v>0</v>
      </c>
      <c r="HW90" s="1029"/>
      <c r="HX90" s="1029"/>
      <c r="HY90" s="1029"/>
      <c r="HZ90" s="1025"/>
      <c r="IA90" s="1029"/>
      <c r="IB90" s="1029"/>
      <c r="IC90" s="1032"/>
      <c r="ID90" s="1029"/>
      <c r="IE90" s="1033">
        <v>-1</v>
      </c>
      <c r="IF90" s="1029">
        <f t="shared" si="198"/>
        <v>-2</v>
      </c>
      <c r="IG90" s="1070">
        <v>-3</v>
      </c>
      <c r="IH90" s="1074">
        <v>-2</v>
      </c>
      <c r="II90" s="1029"/>
      <c r="IJ90" s="1029">
        <f>IH90+IG90</f>
        <v>-5</v>
      </c>
      <c r="IK90" s="1029">
        <f t="shared" si="199"/>
        <v>0</v>
      </c>
      <c r="IL90" s="1029"/>
      <c r="IM90" s="1029">
        <f t="shared" si="189"/>
        <v>-3</v>
      </c>
      <c r="IN90" s="1029"/>
      <c r="IO90" s="1029">
        <f>IR90-IG90</f>
        <v>-5</v>
      </c>
      <c r="IP90" s="1030"/>
      <c r="IQ90" s="1029"/>
      <c r="IR90" s="1030">
        <v>-8</v>
      </c>
      <c r="IS90" s="1294"/>
      <c r="IT90" s="1029"/>
      <c r="IU90" s="1071">
        <v>-8</v>
      </c>
      <c r="IV90" s="1029">
        <f t="shared" si="200"/>
        <v>-10</v>
      </c>
      <c r="IW90" s="1029"/>
      <c r="IX90" s="1029">
        <v>-18</v>
      </c>
      <c r="IY90" s="1029"/>
      <c r="IZ90" s="1029">
        <f t="shared" si="201"/>
        <v>-13</v>
      </c>
      <c r="JA90" s="1029">
        <v>-31</v>
      </c>
      <c r="JB90" s="1029"/>
      <c r="JC90" s="1029"/>
      <c r="JD90" s="1084">
        <v>-41</v>
      </c>
      <c r="JE90" s="1029"/>
      <c r="JF90" s="1029"/>
      <c r="JG90" s="1029"/>
      <c r="JH90" s="1030"/>
      <c r="JI90" s="1294"/>
      <c r="JJ90" s="1033"/>
      <c r="JK90" s="1029"/>
      <c r="JL90" s="1028">
        <v>-6</v>
      </c>
      <c r="JM90" s="1028">
        <f t="shared" si="227"/>
        <v>-9</v>
      </c>
      <c r="JN90" s="1028">
        <f t="shared" si="228"/>
        <v>15</v>
      </c>
      <c r="JO90" s="1028"/>
      <c r="JP90" s="1028">
        <v>-15</v>
      </c>
      <c r="JQ90" s="1028"/>
      <c r="JR90" s="1028"/>
      <c r="JS90" s="1028"/>
      <c r="JT90" s="1029"/>
      <c r="JU90" s="1029"/>
      <c r="JV90" s="1029"/>
      <c r="JW90" s="1029"/>
      <c r="JX90" s="1029"/>
      <c r="JY90" s="1029"/>
      <c r="JZ90" s="1071"/>
      <c r="KA90" s="1072"/>
      <c r="KB90" s="1071">
        <f t="shared" si="204"/>
        <v>-14</v>
      </c>
      <c r="KC90" s="1071">
        <v>-20</v>
      </c>
      <c r="KD90" s="1071">
        <f t="shared" si="229"/>
        <v>-11</v>
      </c>
      <c r="KE90" s="1071">
        <f t="shared" si="206"/>
        <v>-14</v>
      </c>
      <c r="KF90" s="1071"/>
      <c r="KG90" s="1071">
        <v>-29</v>
      </c>
      <c r="KH90" s="1084">
        <v>-31</v>
      </c>
      <c r="KI90" s="1072"/>
      <c r="KJ90" s="1071"/>
      <c r="KK90" s="1029"/>
      <c r="KL90" s="1029">
        <f t="shared" si="207"/>
        <v>-18</v>
      </c>
      <c r="KM90" s="1071">
        <v>-36</v>
      </c>
      <c r="KN90" s="1071"/>
      <c r="KO90" s="1071">
        <v>-13</v>
      </c>
      <c r="KP90" s="1029">
        <v>-8</v>
      </c>
      <c r="KQ90" s="1030">
        <v>-21</v>
      </c>
      <c r="KR90" s="1029">
        <v>-13</v>
      </c>
      <c r="KS90" s="1030">
        <v>-16</v>
      </c>
      <c r="KT90" s="1029">
        <f t="shared" si="208"/>
        <v>-6</v>
      </c>
      <c r="KU90" s="1029">
        <v>-7</v>
      </c>
      <c r="KV90" s="1029">
        <f t="shared" si="209"/>
        <v>-3</v>
      </c>
      <c r="KW90" s="1030">
        <v>-10</v>
      </c>
      <c r="KX90" s="1029">
        <f t="shared" si="210"/>
        <v>-2</v>
      </c>
      <c r="KY90" s="1029">
        <f t="shared" si="211"/>
        <v>-3</v>
      </c>
      <c r="KZ90" s="1030">
        <v>-4</v>
      </c>
      <c r="LA90" s="1029">
        <v>-6</v>
      </c>
      <c r="LB90" s="1029">
        <f t="shared" si="212"/>
        <v>-1</v>
      </c>
      <c r="LC90" s="1030">
        <v>-7</v>
      </c>
      <c r="LD90" s="1030">
        <f>LB90+LC90</f>
        <v>-8</v>
      </c>
      <c r="LE90" s="1029">
        <f t="shared" si="215"/>
        <v>0</v>
      </c>
      <c r="LF90" s="1029">
        <f>LG90-GP90</f>
        <v>-3</v>
      </c>
      <c r="LG90" s="1030">
        <v>-11</v>
      </c>
    </row>
    <row r="91" spans="1:319" s="705" customFormat="1">
      <c r="A91" s="510"/>
      <c r="B91" s="1064" t="s">
        <v>1080</v>
      </c>
      <c r="C91" s="1065" t="s">
        <v>1228</v>
      </c>
      <c r="D91" s="497"/>
      <c r="E91" s="510"/>
      <c r="F91" s="510"/>
      <c r="G91" s="699"/>
      <c r="H91" s="510"/>
      <c r="I91" s="510"/>
      <c r="J91" s="699"/>
      <c r="K91" s="584"/>
      <c r="L91" s="584"/>
      <c r="M91" s="584"/>
      <c r="N91" s="584"/>
      <c r="O91" s="584"/>
      <c r="P91" s="584"/>
      <c r="Q91" s="584"/>
      <c r="R91" s="584"/>
      <c r="S91" s="700"/>
      <c r="T91" s="584"/>
      <c r="U91" s="584"/>
      <c r="V91" s="584"/>
      <c r="W91" s="584"/>
      <c r="X91" s="584"/>
      <c r="Y91" s="584"/>
      <c r="Z91" s="584"/>
      <c r="AA91" s="584"/>
      <c r="AB91" s="700"/>
      <c r="AC91" s="584"/>
      <c r="AD91" s="584"/>
      <c r="AE91" s="584"/>
      <c r="AF91" s="584"/>
      <c r="AG91" s="584"/>
      <c r="AH91" s="584"/>
      <c r="AI91" s="584"/>
      <c r="AJ91" s="584"/>
      <c r="AK91" s="497"/>
      <c r="AL91" s="584"/>
      <c r="AM91" s="584"/>
      <c r="AN91" s="584"/>
      <c r="AO91" s="584"/>
      <c r="AP91" s="584"/>
      <c r="AQ91" s="584"/>
      <c r="AR91" s="584"/>
      <c r="AS91" s="584"/>
      <c r="AT91" s="497"/>
      <c r="AU91" s="584"/>
      <c r="AV91" s="584"/>
      <c r="AW91" s="584"/>
      <c r="AX91" s="584"/>
      <c r="AY91" s="584"/>
      <c r="AZ91" s="584"/>
      <c r="BA91" s="584"/>
      <c r="BB91" s="625"/>
      <c r="BC91" s="625"/>
      <c r="BD91" s="584"/>
      <c r="BE91" s="584"/>
      <c r="BF91" s="497"/>
      <c r="BG91" s="584"/>
      <c r="BH91" s="584"/>
      <c r="BI91" s="584"/>
      <c r="BJ91" s="497"/>
      <c r="BK91" s="510"/>
      <c r="BL91" s="510"/>
      <c r="BM91" s="510"/>
      <c r="BN91" s="510"/>
      <c r="BO91" s="497"/>
      <c r="BP91" s="584"/>
      <c r="BQ91" s="584"/>
      <c r="BR91" s="584"/>
      <c r="BS91" s="584"/>
      <c r="BT91" s="584"/>
      <c r="BU91" s="584"/>
      <c r="BV91" s="584"/>
      <c r="BW91" s="584"/>
      <c r="BY91" s="584"/>
      <c r="BZ91" s="584"/>
      <c r="CA91" s="584"/>
      <c r="CB91" s="584"/>
      <c r="CC91" s="584"/>
      <c r="CD91" s="584"/>
      <c r="CE91" s="584"/>
      <c r="CF91" s="497"/>
      <c r="CG91" s="591"/>
      <c r="CH91" s="559"/>
      <c r="CI91" s="559"/>
      <c r="CJ91" s="1025"/>
      <c r="CK91" s="1025"/>
      <c r="CL91" s="1025"/>
      <c r="CM91" s="1025"/>
      <c r="CN91" s="1025"/>
      <c r="CO91" s="1025"/>
      <c r="CP91" s="1025"/>
      <c r="CQ91" s="1025"/>
      <c r="CR91" s="1025"/>
      <c r="CS91" s="1025"/>
      <c r="CT91" s="1025"/>
      <c r="CU91" s="1025"/>
      <c r="CV91" s="1025"/>
      <c r="CW91" s="1066"/>
      <c r="CX91" s="1025"/>
      <c r="CY91" s="1025"/>
      <c r="CZ91" s="1025"/>
      <c r="DA91" s="1025"/>
      <c r="DB91" s="1025"/>
      <c r="DC91" s="1025"/>
      <c r="DD91" s="1025"/>
      <c r="DE91" s="1025"/>
      <c r="DF91" s="1025"/>
      <c r="DG91" s="1025"/>
      <c r="DH91" s="1025"/>
      <c r="DI91" s="1025"/>
      <c r="DJ91" s="1025"/>
      <c r="DK91" s="1025"/>
      <c r="DL91" s="1026"/>
      <c r="DM91" s="1026"/>
      <c r="DN91" s="1027"/>
      <c r="DO91" s="1027"/>
      <c r="DP91" s="1029"/>
      <c r="DQ91" s="1029"/>
      <c r="DR91" s="1029"/>
      <c r="DS91" s="1030"/>
      <c r="DT91" s="1026"/>
      <c r="DU91" s="1027"/>
      <c r="DV91" s="1027"/>
      <c r="DX91" s="1029"/>
      <c r="DY91" s="1029"/>
      <c r="DZ91" s="497"/>
      <c r="EC91" s="1029"/>
      <c r="ED91" s="1026"/>
      <c r="EE91" s="497"/>
      <c r="EF91" s="510"/>
      <c r="EG91" s="1067"/>
      <c r="EH91" s="1025"/>
      <c r="EI91" s="1025"/>
      <c r="EJ91" s="1025"/>
      <c r="EK91" s="1025">
        <v>1</v>
      </c>
      <c r="EL91" s="1025"/>
      <c r="EM91" s="1025">
        <f t="shared" si="192"/>
        <v>1</v>
      </c>
      <c r="EN91" s="1025"/>
      <c r="EO91" s="1025">
        <v>2</v>
      </c>
      <c r="EP91" s="1025"/>
      <c r="EQ91" s="1025">
        <f t="shared" si="219"/>
        <v>0</v>
      </c>
      <c r="ER91" s="1025"/>
      <c r="ES91" s="1025">
        <f>+EU91-EK91</f>
        <v>1</v>
      </c>
      <c r="ET91" s="1025"/>
      <c r="EU91" s="1066">
        <v>2</v>
      </c>
      <c r="EV91" s="1030"/>
      <c r="EW91" s="1025"/>
      <c r="EX91" s="1025">
        <f>EX89-EX90</f>
        <v>-1</v>
      </c>
      <c r="EY91" s="1025">
        <v>0</v>
      </c>
      <c r="EZ91" s="1025">
        <f t="shared" si="193"/>
        <v>0</v>
      </c>
      <c r="FA91" s="1025"/>
      <c r="FB91" s="1025">
        <f>FB89-FB90</f>
        <v>-1</v>
      </c>
      <c r="FC91" s="1025">
        <v>-0.5</v>
      </c>
      <c r="FD91" s="1069">
        <v>0</v>
      </c>
      <c r="FE91" s="1025">
        <f>FC91+FB91</f>
        <v>-1.5</v>
      </c>
      <c r="FF91" s="1025"/>
      <c r="FG91" s="1025">
        <f t="shared" si="213"/>
        <v>0.5</v>
      </c>
      <c r="FH91" s="1025">
        <f t="shared" si="179"/>
        <v>1.5</v>
      </c>
      <c r="FI91" s="1025">
        <f t="shared" si="194"/>
        <v>0</v>
      </c>
      <c r="FJ91" s="1025">
        <f t="shared" si="180"/>
        <v>1</v>
      </c>
      <c r="FK91" s="1066">
        <v>-1</v>
      </c>
      <c r="FL91" s="1026"/>
      <c r="FM91" s="1027"/>
      <c r="FN91" s="1029"/>
      <c r="FO91" s="1029"/>
      <c r="FP91" s="1029"/>
      <c r="FQ91" s="1030"/>
      <c r="FR91" s="1030"/>
      <c r="FS91" s="1025"/>
      <c r="FT91" s="1029"/>
      <c r="FU91" s="1029"/>
      <c r="FV91" s="1025">
        <f t="shared" si="226"/>
        <v>0</v>
      </c>
      <c r="FW91" s="1029"/>
      <c r="FX91" s="1029"/>
      <c r="FY91" s="1025"/>
      <c r="FZ91" s="1025"/>
      <c r="GA91" s="1025"/>
      <c r="GB91" s="1025">
        <f t="shared" si="184"/>
        <v>-1</v>
      </c>
      <c r="GC91" s="1025">
        <f>GD91-FY91</f>
        <v>-1</v>
      </c>
      <c r="GD91" s="1066">
        <v>-1</v>
      </c>
      <c r="GE91" s="1025"/>
      <c r="GF91" s="1025"/>
      <c r="GG91" s="1025"/>
      <c r="GH91" s="1029"/>
      <c r="GI91" s="1029"/>
      <c r="GJ91" s="1032"/>
      <c r="GK91" s="1029"/>
      <c r="GL91" s="1029"/>
      <c r="GM91" s="1029"/>
      <c r="GN91" s="1029"/>
      <c r="GO91" s="1029"/>
      <c r="GP91" s="1029"/>
      <c r="GQ91" s="1029"/>
      <c r="GR91" s="1025"/>
      <c r="GS91" s="1025"/>
      <c r="GT91" s="1025">
        <f t="shared" si="186"/>
        <v>0</v>
      </c>
      <c r="GU91" s="1025">
        <f>GV91-GP91</f>
        <v>0</v>
      </c>
      <c r="GV91" s="1066"/>
      <c r="GW91" s="1025"/>
      <c r="GX91" s="1029"/>
      <c r="GY91" s="1029"/>
      <c r="GZ91" s="1029"/>
      <c r="HA91" s="1032"/>
      <c r="HB91" s="1029"/>
      <c r="HC91" s="1029"/>
      <c r="HD91" s="1029"/>
      <c r="HE91" s="1029"/>
      <c r="HF91" s="1029"/>
      <c r="HG91" s="1029"/>
      <c r="HH91" s="1029"/>
      <c r="HI91" s="1029"/>
      <c r="HJ91" s="1029"/>
      <c r="HK91" s="1029"/>
      <c r="HL91" s="1029"/>
      <c r="HM91" s="1029"/>
      <c r="HN91" s="1025"/>
      <c r="HO91" s="1025"/>
      <c r="HP91" s="1025"/>
      <c r="HQ91" s="1025"/>
      <c r="HR91" s="1025">
        <f t="shared" si="188"/>
        <v>-2</v>
      </c>
      <c r="HS91" s="1025"/>
      <c r="HT91" s="1025">
        <f>HV91-HI91</f>
        <v>-2</v>
      </c>
      <c r="HU91" s="1025"/>
      <c r="HV91" s="1069">
        <v>-2</v>
      </c>
      <c r="HW91" s="1029"/>
      <c r="HX91" s="1029"/>
      <c r="HY91" s="1029"/>
      <c r="HZ91" s="1025"/>
      <c r="IA91" s="1029"/>
      <c r="IB91" s="1029"/>
      <c r="IC91" s="1032"/>
      <c r="ID91" s="1029"/>
      <c r="IE91" s="1033">
        <v>-2</v>
      </c>
      <c r="IF91" s="1029">
        <f t="shared" si="198"/>
        <v>-2</v>
      </c>
      <c r="IG91" s="1070">
        <v>-4</v>
      </c>
      <c r="IH91" s="1029">
        <v>-3</v>
      </c>
      <c r="II91" s="1029"/>
      <c r="IJ91" s="1029">
        <f>IH91+IG91</f>
        <v>-7</v>
      </c>
      <c r="IK91" s="1029"/>
      <c r="IL91" s="1029"/>
      <c r="IM91" s="1029">
        <f t="shared" si="189"/>
        <v>-3</v>
      </c>
      <c r="IN91" s="1029"/>
      <c r="IO91" s="1029">
        <f>IR91-IG91</f>
        <v>-6</v>
      </c>
      <c r="IP91" s="1030"/>
      <c r="IQ91" s="1029"/>
      <c r="IR91" s="1030">
        <v>-10</v>
      </c>
      <c r="IS91" s="1294"/>
      <c r="IT91" s="1029"/>
      <c r="IU91" s="1071">
        <v>-3</v>
      </c>
      <c r="IV91" s="1029">
        <f t="shared" si="200"/>
        <v>-2</v>
      </c>
      <c r="IW91" s="1029"/>
      <c r="IX91" s="1029">
        <v>-5</v>
      </c>
      <c r="IY91" s="1029"/>
      <c r="IZ91" s="1029">
        <f t="shared" si="201"/>
        <v>-3</v>
      </c>
      <c r="JA91" s="1029">
        <v>-8</v>
      </c>
      <c r="JB91" s="1029"/>
      <c r="JC91" s="1029"/>
      <c r="JD91" s="1084">
        <v>-12</v>
      </c>
      <c r="JE91" s="1029"/>
      <c r="JF91" s="1029"/>
      <c r="JG91" s="1029"/>
      <c r="JH91" s="1030"/>
      <c r="JI91" s="1294"/>
      <c r="JJ91" s="1033"/>
      <c r="JK91" s="1029"/>
      <c r="JL91" s="1028">
        <v>-1</v>
      </c>
      <c r="JM91" s="1028">
        <f t="shared" si="227"/>
        <v>-1</v>
      </c>
      <c r="JN91" s="1028">
        <f t="shared" si="228"/>
        <v>2</v>
      </c>
      <c r="JO91" s="1028"/>
      <c r="JP91" s="1028">
        <v>-2</v>
      </c>
      <c r="JQ91" s="1028"/>
      <c r="JR91" s="1028"/>
      <c r="JS91" s="1028"/>
      <c r="JT91" s="1029"/>
      <c r="JU91" s="1029"/>
      <c r="JV91" s="1029"/>
      <c r="JW91" s="1029"/>
      <c r="JX91" s="1029"/>
      <c r="JY91" s="1029"/>
      <c r="JZ91" s="1071"/>
      <c r="KA91" s="1072"/>
      <c r="KB91" s="1071">
        <f t="shared" si="204"/>
        <v>-2</v>
      </c>
      <c r="KC91" s="1071">
        <v>-3</v>
      </c>
      <c r="KD91" s="1071">
        <f t="shared" si="229"/>
        <v>0</v>
      </c>
      <c r="KE91" s="1071">
        <f t="shared" si="206"/>
        <v>-2</v>
      </c>
      <c r="KF91" s="1071"/>
      <c r="KG91" s="1071">
        <v>-4</v>
      </c>
      <c r="KH91" s="1084">
        <v>-3</v>
      </c>
      <c r="KI91" s="1072"/>
      <c r="KJ91" s="1071"/>
      <c r="KK91" s="1029"/>
      <c r="KL91" s="1029">
        <f t="shared" si="207"/>
        <v>-5</v>
      </c>
      <c r="KM91" s="1071">
        <v>-10</v>
      </c>
      <c r="KN91" s="1071"/>
      <c r="KO91" s="1071">
        <v>-1</v>
      </c>
      <c r="KP91" s="1029">
        <v>-1</v>
      </c>
      <c r="KQ91" s="1030">
        <v>-2</v>
      </c>
      <c r="KR91" s="1029">
        <v>-7</v>
      </c>
      <c r="KS91" s="1030">
        <v>-11</v>
      </c>
      <c r="KT91" s="1029">
        <f t="shared" si="208"/>
        <v>-2</v>
      </c>
      <c r="KU91" s="1029">
        <v>-4</v>
      </c>
      <c r="KV91" s="1029">
        <f t="shared" si="209"/>
        <v>-4</v>
      </c>
      <c r="KW91" s="1030">
        <v>-8</v>
      </c>
      <c r="KX91" s="1029"/>
      <c r="KY91" s="1029"/>
      <c r="KZ91" s="1030"/>
      <c r="LA91" s="1029"/>
      <c r="LB91" s="1029"/>
      <c r="LC91" s="1030"/>
      <c r="LD91" s="1030"/>
      <c r="LE91" s="1029"/>
      <c r="LF91" s="1029"/>
      <c r="LG91" s="1030"/>
    </row>
    <row r="92" spans="1:319" s="705" customFormat="1">
      <c r="A92" s="510"/>
      <c r="B92" s="1064" t="s">
        <v>1195</v>
      </c>
      <c r="C92" s="698" t="s">
        <v>1424</v>
      </c>
      <c r="D92" s="497"/>
      <c r="E92" s="510"/>
      <c r="F92" s="510"/>
      <c r="G92" s="699"/>
      <c r="H92" s="510"/>
      <c r="I92" s="510"/>
      <c r="J92" s="699"/>
      <c r="K92" s="584"/>
      <c r="L92" s="584"/>
      <c r="M92" s="584"/>
      <c r="N92" s="584"/>
      <c r="O92" s="584"/>
      <c r="P92" s="584"/>
      <c r="Q92" s="584"/>
      <c r="R92" s="584"/>
      <c r="S92" s="700"/>
      <c r="T92" s="584"/>
      <c r="U92" s="584"/>
      <c r="V92" s="584"/>
      <c r="W92" s="584"/>
      <c r="X92" s="584"/>
      <c r="Y92" s="584"/>
      <c r="Z92" s="584"/>
      <c r="AA92" s="584"/>
      <c r="AB92" s="700"/>
      <c r="AC92" s="584"/>
      <c r="AD92" s="584"/>
      <c r="AE92" s="584"/>
      <c r="AF92" s="584"/>
      <c r="AG92" s="584"/>
      <c r="AH92" s="584"/>
      <c r="AI92" s="584"/>
      <c r="AJ92" s="584"/>
      <c r="AK92" s="497"/>
      <c r="AL92" s="584"/>
      <c r="AM92" s="584"/>
      <c r="AN92" s="584"/>
      <c r="AO92" s="584"/>
      <c r="AP92" s="584"/>
      <c r="AQ92" s="584"/>
      <c r="AR92" s="584"/>
      <c r="AS92" s="584"/>
      <c r="AT92" s="497"/>
      <c r="AU92" s="584"/>
      <c r="AV92" s="584"/>
      <c r="AW92" s="584"/>
      <c r="AX92" s="584"/>
      <c r="AY92" s="584"/>
      <c r="AZ92" s="584"/>
      <c r="BA92" s="584"/>
      <c r="BB92" s="625"/>
      <c r="BC92" s="625"/>
      <c r="BD92" s="584"/>
      <c r="BE92" s="584"/>
      <c r="BF92" s="497"/>
      <c r="BG92" s="584"/>
      <c r="BH92" s="584"/>
      <c r="BI92" s="584"/>
      <c r="BJ92" s="497"/>
      <c r="BK92" s="510"/>
      <c r="BL92" s="510"/>
      <c r="BM92" s="510"/>
      <c r="BN92" s="510"/>
      <c r="BO92" s="497"/>
      <c r="BP92" s="584"/>
      <c r="BQ92" s="584"/>
      <c r="BR92" s="584"/>
      <c r="BS92" s="584"/>
      <c r="BT92" s="584"/>
      <c r="BU92" s="584"/>
      <c r="BV92" s="584"/>
      <c r="BW92" s="584"/>
      <c r="BY92" s="584"/>
      <c r="BZ92" s="584"/>
      <c r="CA92" s="584"/>
      <c r="CB92" s="584"/>
      <c r="CC92" s="584"/>
      <c r="CD92" s="584"/>
      <c r="CE92" s="584"/>
      <c r="CF92" s="497"/>
      <c r="CG92" s="591">
        <v>-5</v>
      </c>
      <c r="CH92" s="559"/>
      <c r="CI92" s="559"/>
      <c r="CJ92" s="1025">
        <f t="shared" ref="CJ92:CJ102" si="231">CR92-CG92</f>
        <v>-4</v>
      </c>
      <c r="CK92" s="1025"/>
      <c r="CL92" s="1025">
        <v>-5</v>
      </c>
      <c r="CM92" s="1025"/>
      <c r="CN92" s="1025"/>
      <c r="CO92" s="1025">
        <v>-2</v>
      </c>
      <c r="CP92" s="1025">
        <f>CR92+CL92</f>
        <v>-14</v>
      </c>
      <c r="CQ92" s="1025"/>
      <c r="CR92" s="1025">
        <f>CR93+CR94</f>
        <v>-9</v>
      </c>
      <c r="CS92" s="1025"/>
      <c r="CT92" s="1025"/>
      <c r="CU92" s="1025">
        <f t="shared" si="218"/>
        <v>-7</v>
      </c>
      <c r="CV92" s="1025"/>
      <c r="CW92" s="1066">
        <f>CP92+CO92</f>
        <v>-16</v>
      </c>
      <c r="CX92" s="1025"/>
      <c r="CY92" s="1025"/>
      <c r="CZ92" s="1025"/>
      <c r="DA92" s="1025"/>
      <c r="DB92" s="1029">
        <f>DB93+DB94</f>
        <v>0</v>
      </c>
      <c r="DC92" s="1029">
        <v>-1</v>
      </c>
      <c r="DD92" s="1029">
        <f>DD93+DD94</f>
        <v>-1</v>
      </c>
      <c r="DE92" s="1029">
        <f t="shared" si="42"/>
        <v>0</v>
      </c>
      <c r="DF92" s="1029"/>
      <c r="DG92" s="1025">
        <f>+DC92+DB92</f>
        <v>-1</v>
      </c>
      <c r="DH92" s="1029"/>
      <c r="DI92" s="1029">
        <f t="shared" si="224"/>
        <v>-1</v>
      </c>
      <c r="DJ92" s="1025"/>
      <c r="DK92" s="1025">
        <v>-1</v>
      </c>
      <c r="DL92" s="1026"/>
      <c r="DM92" s="1026"/>
      <c r="DN92" s="1027"/>
      <c r="DO92" s="1027"/>
      <c r="DP92" s="1029">
        <f>DP93+DP94</f>
        <v>-1</v>
      </c>
      <c r="DQ92" s="1029">
        <f>DQ93+DQ94</f>
        <v>-1</v>
      </c>
      <c r="DR92" s="1029">
        <f>DR93+DR94</f>
        <v>-2</v>
      </c>
      <c r="DS92" s="1030">
        <f>DS93+DS94</f>
        <v>-2</v>
      </c>
      <c r="DT92" s="1026"/>
      <c r="DU92" s="1027"/>
      <c r="DV92" s="1027"/>
      <c r="DW92" s="705">
        <f>DW93+DW94</f>
        <v>1</v>
      </c>
      <c r="DX92" s="1029">
        <f>DY92-DB92</f>
        <v>-3</v>
      </c>
      <c r="DY92" s="1029">
        <v>-3</v>
      </c>
      <c r="DZ92" s="497"/>
      <c r="EC92" s="1029">
        <f>EC93+EC94</f>
        <v>-4</v>
      </c>
      <c r="ED92" s="1026">
        <f t="shared" si="230"/>
        <v>-13</v>
      </c>
      <c r="EE92" s="497"/>
      <c r="EF92" s="510"/>
      <c r="EG92" s="1067"/>
      <c r="EH92" s="1025"/>
      <c r="EI92" s="1025">
        <f t="shared" si="177"/>
        <v>0</v>
      </c>
      <c r="EJ92" s="1025"/>
      <c r="EK92" s="1025"/>
      <c r="EL92" s="1025"/>
      <c r="EM92" s="1025"/>
      <c r="EN92" s="1025"/>
      <c r="EO92" s="1025"/>
      <c r="EP92" s="1025"/>
      <c r="EQ92" s="1025"/>
      <c r="ER92" s="1025"/>
      <c r="ES92" s="1025"/>
      <c r="ET92" s="1025"/>
      <c r="EU92" s="1066"/>
      <c r="EV92" s="1030"/>
      <c r="EW92" s="1025"/>
      <c r="EX92" s="1025"/>
      <c r="EY92" s="1025">
        <v>0</v>
      </c>
      <c r="EZ92" s="1025">
        <f t="shared" si="193"/>
        <v>0</v>
      </c>
      <c r="FA92" s="1025"/>
      <c r="FB92" s="1025"/>
      <c r="FC92" s="1025" t="s">
        <v>1254</v>
      </c>
      <c r="FD92" s="1025">
        <v>0</v>
      </c>
      <c r="FE92" s="1025"/>
      <c r="FF92" s="1025"/>
      <c r="FG92" s="1025">
        <f t="shared" si="213"/>
        <v>0</v>
      </c>
      <c r="FH92" s="1025">
        <f t="shared" si="179"/>
        <v>0</v>
      </c>
      <c r="FI92" s="1025"/>
      <c r="FJ92" s="1025">
        <f t="shared" si="180"/>
        <v>0</v>
      </c>
      <c r="FK92" s="1066"/>
      <c r="FL92" s="1026"/>
      <c r="FM92" s="1027"/>
      <c r="FN92" s="1029"/>
      <c r="FO92" s="1029"/>
      <c r="FP92" s="1029"/>
      <c r="FQ92" s="1030"/>
      <c r="FR92" s="1030"/>
      <c r="FS92" s="1025"/>
      <c r="FT92" s="1029"/>
      <c r="FU92" s="1029"/>
      <c r="FV92" s="1025"/>
      <c r="FW92" s="1029"/>
      <c r="FX92" s="1029"/>
      <c r="FY92" s="1025"/>
      <c r="FZ92" s="1025"/>
      <c r="GA92" s="1025"/>
      <c r="GB92" s="1025"/>
      <c r="GC92" s="1025"/>
      <c r="GD92" s="1066"/>
      <c r="GE92" s="1025"/>
      <c r="GF92" s="1025"/>
      <c r="GG92" s="1025"/>
      <c r="GH92" s="1029"/>
      <c r="GI92" s="1029"/>
      <c r="GJ92" s="1032"/>
      <c r="GK92" s="1029"/>
      <c r="GL92" s="1029"/>
      <c r="GM92" s="1029"/>
      <c r="GN92" s="1029"/>
      <c r="GO92" s="1029"/>
      <c r="GP92" s="1029"/>
      <c r="GQ92" s="1029"/>
      <c r="GR92" s="1025"/>
      <c r="GS92" s="1025"/>
      <c r="GT92" s="1025"/>
      <c r="GU92" s="1025"/>
      <c r="GV92" s="1066"/>
      <c r="GW92" s="1025"/>
      <c r="GX92" s="1029"/>
      <c r="GY92" s="1029"/>
      <c r="GZ92" s="1029"/>
      <c r="HA92" s="1032"/>
      <c r="HB92" s="1029"/>
      <c r="HC92" s="1029"/>
      <c r="HD92" s="1029"/>
      <c r="HE92" s="1029"/>
      <c r="HF92" s="1029"/>
      <c r="HG92" s="1029"/>
      <c r="HH92" s="1029"/>
      <c r="HI92" s="1029"/>
      <c r="HJ92" s="1029"/>
      <c r="HK92" s="1029"/>
      <c r="HL92" s="1029"/>
      <c r="HM92" s="1029"/>
      <c r="HN92" s="1025"/>
      <c r="HO92" s="1025"/>
      <c r="HP92" s="1025"/>
      <c r="HQ92" s="1025"/>
      <c r="HR92" s="1025"/>
      <c r="HS92" s="1025"/>
      <c r="HT92" s="1025"/>
      <c r="HU92" s="1025"/>
      <c r="HV92" s="1069"/>
      <c r="HW92" s="1029"/>
      <c r="HX92" s="1029"/>
      <c r="HY92" s="1029"/>
      <c r="HZ92" s="1025"/>
      <c r="IA92" s="1029"/>
      <c r="IB92" s="1029"/>
      <c r="IC92" s="1032"/>
      <c r="ID92" s="1029"/>
      <c r="IE92" s="1033"/>
      <c r="IF92" s="1029"/>
      <c r="IG92" s="1029"/>
      <c r="IH92" s="1029"/>
      <c r="II92" s="1029"/>
      <c r="IJ92" s="1029"/>
      <c r="IK92" s="1029"/>
      <c r="IL92" s="1029"/>
      <c r="IM92" s="1029"/>
      <c r="IN92" s="1029"/>
      <c r="IO92" s="1029"/>
      <c r="IP92" s="1030"/>
      <c r="IQ92" s="1029"/>
      <c r="IR92" s="1030"/>
      <c r="IS92" s="1033"/>
      <c r="IT92" s="1029"/>
      <c r="IU92" s="1029"/>
      <c r="IV92" s="1029"/>
      <c r="IW92" s="1029"/>
      <c r="IX92" s="1029"/>
      <c r="IY92" s="1029"/>
      <c r="IZ92" s="1029"/>
      <c r="JA92" s="1029"/>
      <c r="JB92" s="1029"/>
      <c r="JC92" s="1029"/>
      <c r="JD92" s="1029"/>
      <c r="JE92" s="1029"/>
      <c r="JF92" s="1029"/>
      <c r="JG92" s="1029"/>
      <c r="JH92" s="1030"/>
      <c r="JI92" s="1033"/>
      <c r="JJ92" s="1033"/>
      <c r="JK92" s="1029"/>
      <c r="JL92" s="1029"/>
      <c r="JM92" s="1029"/>
      <c r="JN92" s="1029"/>
      <c r="JO92" s="1029"/>
      <c r="JP92" s="1029"/>
      <c r="JQ92" s="1029"/>
      <c r="JR92" s="1029"/>
      <c r="JS92" s="1029"/>
      <c r="JT92" s="1029"/>
      <c r="JU92" s="1029"/>
      <c r="JV92" s="1029"/>
      <c r="JW92" s="1029"/>
      <c r="JX92" s="1029"/>
      <c r="JY92" s="1029"/>
      <c r="JZ92" s="1029"/>
      <c r="KA92" s="1030"/>
      <c r="KB92" s="1029"/>
      <c r="KC92" s="1029"/>
      <c r="KD92" s="1029"/>
      <c r="KE92" s="1029"/>
      <c r="KF92" s="1029"/>
      <c r="KG92" s="1029"/>
      <c r="KH92" s="1029"/>
      <c r="KI92" s="1030"/>
      <c r="KJ92" s="1029"/>
      <c r="KK92" s="1029"/>
      <c r="KL92" s="1029"/>
      <c r="KM92" s="1029"/>
      <c r="KN92" s="1029"/>
      <c r="KO92" s="1029"/>
      <c r="KP92" s="1029"/>
      <c r="KQ92" s="1030"/>
      <c r="KR92" s="1029"/>
      <c r="KS92" s="1030"/>
      <c r="KT92" s="1029"/>
      <c r="KU92" s="1029"/>
      <c r="KV92" s="1029"/>
      <c r="KW92" s="1030"/>
      <c r="KX92" s="1029"/>
      <c r="KY92" s="1029"/>
      <c r="KZ92" s="1030"/>
      <c r="LA92" s="1029"/>
      <c r="LB92" s="1029"/>
      <c r="LC92" s="1030"/>
      <c r="LD92" s="1030"/>
      <c r="LE92" s="1029"/>
      <c r="LF92" s="1029"/>
      <c r="LG92" s="1030"/>
    </row>
    <row r="93" spans="1:319" s="705" customFormat="1">
      <c r="A93" s="510"/>
      <c r="B93" s="1085" t="s">
        <v>1196</v>
      </c>
      <c r="C93" s="1086" t="s">
        <v>1095</v>
      </c>
      <c r="D93" s="497"/>
      <c r="E93" s="510"/>
      <c r="F93" s="510"/>
      <c r="G93" s="699"/>
      <c r="H93" s="510"/>
      <c r="I93" s="510"/>
      <c r="J93" s="699"/>
      <c r="K93" s="584"/>
      <c r="L93" s="584"/>
      <c r="M93" s="584"/>
      <c r="N93" s="584"/>
      <c r="O93" s="584"/>
      <c r="P93" s="584"/>
      <c r="Q93" s="584"/>
      <c r="R93" s="584"/>
      <c r="S93" s="700"/>
      <c r="T93" s="584"/>
      <c r="U93" s="584"/>
      <c r="V93" s="584"/>
      <c r="W93" s="584"/>
      <c r="X93" s="584"/>
      <c r="Y93" s="584"/>
      <c r="Z93" s="584"/>
      <c r="AA93" s="584"/>
      <c r="AB93" s="700"/>
      <c r="AC93" s="584"/>
      <c r="AD93" s="584"/>
      <c r="AE93" s="584"/>
      <c r="AF93" s="584"/>
      <c r="AG93" s="584"/>
      <c r="AH93" s="584"/>
      <c r="AI93" s="584"/>
      <c r="AJ93" s="584"/>
      <c r="AK93" s="497"/>
      <c r="AL93" s="584"/>
      <c r="AM93" s="584"/>
      <c r="AN93" s="584"/>
      <c r="AO93" s="584"/>
      <c r="AP93" s="584"/>
      <c r="AQ93" s="584"/>
      <c r="AR93" s="584"/>
      <c r="AS93" s="584"/>
      <c r="AT93" s="497"/>
      <c r="AU93" s="584"/>
      <c r="AV93" s="584"/>
      <c r="AW93" s="584"/>
      <c r="AX93" s="584"/>
      <c r="AY93" s="584"/>
      <c r="AZ93" s="584"/>
      <c r="BA93" s="584"/>
      <c r="BB93" s="625"/>
      <c r="BC93" s="625"/>
      <c r="BD93" s="584"/>
      <c r="BE93" s="584"/>
      <c r="BF93" s="497"/>
      <c r="BG93" s="584"/>
      <c r="BH93" s="584"/>
      <c r="BI93" s="584"/>
      <c r="BJ93" s="497"/>
      <c r="BK93" s="510"/>
      <c r="BL93" s="510"/>
      <c r="BM93" s="510"/>
      <c r="BN93" s="510"/>
      <c r="BO93" s="497"/>
      <c r="BP93" s="584"/>
      <c r="BQ93" s="584"/>
      <c r="BR93" s="584"/>
      <c r="BS93" s="584"/>
      <c r="BT93" s="584"/>
      <c r="BU93" s="584"/>
      <c r="BV93" s="584"/>
      <c r="BW93" s="584"/>
      <c r="BY93" s="584"/>
      <c r="BZ93" s="584"/>
      <c r="CA93" s="584"/>
      <c r="CB93" s="584"/>
      <c r="CC93" s="584"/>
      <c r="CD93" s="584"/>
      <c r="CE93" s="584"/>
      <c r="CF93" s="497"/>
      <c r="CG93" s="591">
        <v>-2</v>
      </c>
      <c r="CH93" s="559"/>
      <c r="CI93" s="559"/>
      <c r="CJ93" s="1025">
        <f t="shared" si="231"/>
        <v>-3</v>
      </c>
      <c r="CK93" s="1025"/>
      <c r="CL93" s="1025">
        <v>-5</v>
      </c>
      <c r="CM93" s="1025"/>
      <c r="CN93" s="1025"/>
      <c r="CO93" s="1025">
        <v>-2</v>
      </c>
      <c r="CP93" s="1025">
        <f t="shared" ref="CP93:CP96" si="232">CR93+CL93</f>
        <v>-10</v>
      </c>
      <c r="CQ93" s="1025"/>
      <c r="CR93" s="1025">
        <v>-5</v>
      </c>
      <c r="CS93" s="1025"/>
      <c r="CT93" s="1025"/>
      <c r="CU93" s="1025">
        <f>CW93-CR93</f>
        <v>-7</v>
      </c>
      <c r="CV93" s="1025"/>
      <c r="CW93" s="1066">
        <f>CP93+CO93</f>
        <v>-12</v>
      </c>
      <c r="CX93" s="1025"/>
      <c r="CY93" s="1025"/>
      <c r="CZ93" s="1025"/>
      <c r="DA93" s="1025"/>
      <c r="DB93" s="1025">
        <v>-4</v>
      </c>
      <c r="DC93" s="1025">
        <v>-1</v>
      </c>
      <c r="DD93" s="1025">
        <v>-1</v>
      </c>
      <c r="DE93" s="1025">
        <f t="shared" si="42"/>
        <v>0</v>
      </c>
      <c r="DF93" s="1025"/>
      <c r="DG93" s="1025">
        <f>DC93+DB93</f>
        <v>-5</v>
      </c>
      <c r="DH93" s="1025"/>
      <c r="DI93" s="1025">
        <f t="shared" si="224"/>
        <v>-1</v>
      </c>
      <c r="DJ93" s="1025"/>
      <c r="DK93" s="1025">
        <v>-5</v>
      </c>
      <c r="DL93" s="1026"/>
      <c r="DM93" s="1026"/>
      <c r="DN93" s="1027"/>
      <c r="DO93" s="1027"/>
      <c r="DP93" s="1029">
        <v>-1</v>
      </c>
      <c r="DQ93" s="1029">
        <v>-1</v>
      </c>
      <c r="DR93" s="1029">
        <f>+DQ93+DP93</f>
        <v>-2</v>
      </c>
      <c r="DS93" s="1030">
        <f>+DR93+DB93</f>
        <v>-6</v>
      </c>
      <c r="DT93" s="1026"/>
      <c r="DU93" s="1027"/>
      <c r="DV93" s="1027"/>
      <c r="DW93" s="705">
        <v>4</v>
      </c>
      <c r="DX93" s="1029">
        <f>DY93-DB93</f>
        <v>4</v>
      </c>
      <c r="DY93" s="1029"/>
      <c r="DZ93" s="497"/>
      <c r="EC93" s="1029">
        <v>-4</v>
      </c>
      <c r="ED93" s="1026">
        <f t="shared" si="230"/>
        <v>-9</v>
      </c>
      <c r="EE93" s="497"/>
      <c r="EF93" s="510"/>
      <c r="EG93" s="1067"/>
      <c r="EH93" s="1025"/>
      <c r="EI93" s="1025">
        <f t="shared" si="177"/>
        <v>0</v>
      </c>
      <c r="EJ93" s="1025"/>
      <c r="EK93" s="1025"/>
      <c r="EL93" s="1025"/>
      <c r="EM93" s="1025"/>
      <c r="EN93" s="1025"/>
      <c r="EO93" s="1025"/>
      <c r="EP93" s="1025"/>
      <c r="EQ93" s="1025"/>
      <c r="ER93" s="1025"/>
      <c r="ES93" s="1025"/>
      <c r="ET93" s="1025"/>
      <c r="EU93" s="1066"/>
      <c r="EV93" s="1030"/>
      <c r="EW93" s="1025"/>
      <c r="EX93" s="1025"/>
      <c r="EY93" s="1025"/>
      <c r="EZ93" s="1025">
        <f t="shared" si="193"/>
        <v>0</v>
      </c>
      <c r="FA93" s="1025"/>
      <c r="FB93" s="1025"/>
      <c r="FC93" s="1025"/>
      <c r="FD93" s="1025"/>
      <c r="FE93" s="1025"/>
      <c r="FF93" s="1025"/>
      <c r="FG93" s="1025"/>
      <c r="FH93" s="1025"/>
      <c r="FI93" s="1025"/>
      <c r="FJ93" s="1025"/>
      <c r="FK93" s="1066"/>
      <c r="FL93" s="1026"/>
      <c r="FM93" s="1027"/>
      <c r="FN93" s="1029"/>
      <c r="FO93" s="1029"/>
      <c r="FP93" s="1029"/>
      <c r="FQ93" s="1030"/>
      <c r="FR93" s="1030"/>
      <c r="FS93" s="1025"/>
      <c r="FT93" s="1029"/>
      <c r="FU93" s="1029"/>
      <c r="FV93" s="1025"/>
      <c r="FW93" s="1029"/>
      <c r="FX93" s="1029"/>
      <c r="FY93" s="1025"/>
      <c r="FZ93" s="1025"/>
      <c r="GA93" s="1025"/>
      <c r="GB93" s="1025"/>
      <c r="GC93" s="1025"/>
      <c r="GD93" s="1066"/>
      <c r="GE93" s="1025"/>
      <c r="GF93" s="1025"/>
      <c r="GG93" s="1025"/>
      <c r="GH93" s="1029"/>
      <c r="GI93" s="1029"/>
      <c r="GJ93" s="1032"/>
      <c r="GK93" s="1029"/>
      <c r="GL93" s="1029"/>
      <c r="GM93" s="1029"/>
      <c r="GN93" s="1029"/>
      <c r="GO93" s="1029"/>
      <c r="GP93" s="1029"/>
      <c r="GQ93" s="1029"/>
      <c r="GR93" s="1025"/>
      <c r="GS93" s="1025"/>
      <c r="GT93" s="1025"/>
      <c r="GU93" s="1025"/>
      <c r="GV93" s="1066"/>
      <c r="GW93" s="1025"/>
      <c r="GX93" s="1029"/>
      <c r="GY93" s="1029"/>
      <c r="GZ93" s="1029"/>
      <c r="HA93" s="1032"/>
      <c r="HB93" s="1029"/>
      <c r="HC93" s="1029"/>
      <c r="HD93" s="1029"/>
      <c r="HE93" s="1029"/>
      <c r="HF93" s="1029"/>
      <c r="HG93" s="1029"/>
      <c r="HH93" s="1029"/>
      <c r="HI93" s="1029"/>
      <c r="HJ93" s="1029"/>
      <c r="HK93" s="1029"/>
      <c r="HL93" s="1029"/>
      <c r="HM93" s="1029"/>
      <c r="HN93" s="1025"/>
      <c r="HO93" s="1025"/>
      <c r="HP93" s="1025"/>
      <c r="HQ93" s="1025"/>
      <c r="HR93" s="1025"/>
      <c r="HS93" s="1025"/>
      <c r="HT93" s="1025"/>
      <c r="HU93" s="1025"/>
      <c r="HV93" s="1069"/>
      <c r="HW93" s="1029"/>
      <c r="HX93" s="1029"/>
      <c r="HY93" s="1029"/>
      <c r="HZ93" s="1025"/>
      <c r="IA93" s="1029"/>
      <c r="IB93" s="1029"/>
      <c r="IC93" s="1032"/>
      <c r="ID93" s="1029"/>
      <c r="IE93" s="1033"/>
      <c r="IF93" s="1029"/>
      <c r="IG93" s="1029"/>
      <c r="IH93" s="1029"/>
      <c r="II93" s="1029"/>
      <c r="IJ93" s="1029"/>
      <c r="IK93" s="1029"/>
      <c r="IL93" s="1029"/>
      <c r="IM93" s="1029"/>
      <c r="IN93" s="1029"/>
      <c r="IO93" s="1029"/>
      <c r="IP93" s="1030"/>
      <c r="IQ93" s="1029"/>
      <c r="IR93" s="1030"/>
      <c r="IS93" s="1033"/>
      <c r="IT93" s="1029"/>
      <c r="IU93" s="1029"/>
      <c r="IV93" s="1029"/>
      <c r="IW93" s="1029"/>
      <c r="IX93" s="1029"/>
      <c r="IY93" s="1029"/>
      <c r="IZ93" s="1029"/>
      <c r="JA93" s="1029"/>
      <c r="JB93" s="1029"/>
      <c r="JC93" s="1029"/>
      <c r="JD93" s="1029"/>
      <c r="JE93" s="1029"/>
      <c r="JF93" s="1029"/>
      <c r="JG93" s="1029"/>
      <c r="JH93" s="1030"/>
      <c r="JI93" s="1033"/>
      <c r="JJ93" s="1033"/>
      <c r="JK93" s="1029"/>
      <c r="JL93" s="1029"/>
      <c r="JM93" s="1029"/>
      <c r="JN93" s="1029"/>
      <c r="JO93" s="1029"/>
      <c r="JP93" s="1029"/>
      <c r="JQ93" s="1029"/>
      <c r="JR93" s="1029"/>
      <c r="JS93" s="1029"/>
      <c r="JT93" s="1029"/>
      <c r="JU93" s="1029"/>
      <c r="JV93" s="1029"/>
      <c r="JW93" s="1029"/>
      <c r="JX93" s="1029"/>
      <c r="JY93" s="1029"/>
      <c r="JZ93" s="1029"/>
      <c r="KA93" s="1030"/>
      <c r="KB93" s="1029"/>
      <c r="KC93" s="1029"/>
      <c r="KD93" s="1029"/>
      <c r="KE93" s="1029"/>
      <c r="KF93" s="1029"/>
      <c r="KG93" s="1029"/>
      <c r="KH93" s="1029"/>
      <c r="KI93" s="1030"/>
      <c r="KJ93" s="1029"/>
      <c r="KK93" s="1029"/>
      <c r="KL93" s="1029"/>
      <c r="KM93" s="1029"/>
      <c r="KN93" s="1029"/>
      <c r="KO93" s="1029"/>
      <c r="KP93" s="1029"/>
      <c r="KQ93" s="1030"/>
      <c r="KR93" s="1029"/>
      <c r="KS93" s="1030"/>
      <c r="KT93" s="1029"/>
      <c r="KU93" s="1029"/>
      <c r="KV93" s="1029"/>
      <c r="KW93" s="1030"/>
      <c r="KX93" s="1029"/>
      <c r="KY93" s="1029"/>
      <c r="KZ93" s="1030"/>
      <c r="LA93" s="1029"/>
      <c r="LB93" s="1029"/>
      <c r="LC93" s="1030"/>
      <c r="LD93" s="1030"/>
      <c r="LE93" s="1029"/>
      <c r="LF93" s="1029"/>
      <c r="LG93" s="1030"/>
    </row>
    <row r="94" spans="1:319" s="705" customFormat="1">
      <c r="A94" s="510"/>
      <c r="B94" s="1085" t="s">
        <v>1197</v>
      </c>
      <c r="C94" s="1086" t="s">
        <v>1096</v>
      </c>
      <c r="D94" s="497"/>
      <c r="E94" s="510"/>
      <c r="F94" s="510"/>
      <c r="G94" s="699"/>
      <c r="H94" s="510"/>
      <c r="I94" s="510"/>
      <c r="J94" s="699"/>
      <c r="K94" s="584"/>
      <c r="L94" s="584"/>
      <c r="M94" s="584"/>
      <c r="N94" s="584"/>
      <c r="O94" s="584"/>
      <c r="P94" s="584"/>
      <c r="Q94" s="584"/>
      <c r="R94" s="584"/>
      <c r="S94" s="700"/>
      <c r="T94" s="584"/>
      <c r="U94" s="584"/>
      <c r="V94" s="584"/>
      <c r="W94" s="584"/>
      <c r="X94" s="584"/>
      <c r="Y94" s="584"/>
      <c r="Z94" s="584"/>
      <c r="AA94" s="584"/>
      <c r="AB94" s="700"/>
      <c r="AC94" s="584"/>
      <c r="AD94" s="584"/>
      <c r="AE94" s="584"/>
      <c r="AF94" s="584"/>
      <c r="AG94" s="584"/>
      <c r="AH94" s="584"/>
      <c r="AI94" s="584"/>
      <c r="AJ94" s="584"/>
      <c r="AK94" s="497"/>
      <c r="AL94" s="584"/>
      <c r="AM94" s="584"/>
      <c r="AN94" s="584"/>
      <c r="AO94" s="584"/>
      <c r="AP94" s="584"/>
      <c r="AQ94" s="584"/>
      <c r="AR94" s="584"/>
      <c r="AS94" s="584"/>
      <c r="AT94" s="497"/>
      <c r="AU94" s="584"/>
      <c r="AV94" s="584"/>
      <c r="AW94" s="584"/>
      <c r="AX94" s="584"/>
      <c r="AY94" s="584"/>
      <c r="AZ94" s="584"/>
      <c r="BA94" s="584"/>
      <c r="BB94" s="625"/>
      <c r="BC94" s="625"/>
      <c r="BD94" s="584"/>
      <c r="BE94" s="584"/>
      <c r="BF94" s="497"/>
      <c r="BG94" s="584"/>
      <c r="BH94" s="584"/>
      <c r="BI94" s="584"/>
      <c r="BJ94" s="497"/>
      <c r="BK94" s="510"/>
      <c r="BL94" s="510"/>
      <c r="BM94" s="510"/>
      <c r="BN94" s="510"/>
      <c r="BO94" s="497"/>
      <c r="BP94" s="584"/>
      <c r="BQ94" s="584"/>
      <c r="BR94" s="584"/>
      <c r="BS94" s="584"/>
      <c r="BT94" s="584"/>
      <c r="BU94" s="584"/>
      <c r="BV94" s="584"/>
      <c r="BW94" s="584"/>
      <c r="BY94" s="584"/>
      <c r="BZ94" s="584"/>
      <c r="CA94" s="584"/>
      <c r="CB94" s="584"/>
      <c r="CC94" s="584"/>
      <c r="CD94" s="584"/>
      <c r="CE94" s="584"/>
      <c r="CF94" s="497"/>
      <c r="CG94" s="591">
        <v>-3</v>
      </c>
      <c r="CH94" s="559"/>
      <c r="CI94" s="559"/>
      <c r="CJ94" s="1025">
        <f t="shared" si="231"/>
        <v>-1</v>
      </c>
      <c r="CK94" s="1025"/>
      <c r="CL94" s="1025">
        <v>0</v>
      </c>
      <c r="CM94" s="1025"/>
      <c r="CN94" s="1025"/>
      <c r="CO94" s="1025">
        <v>0</v>
      </c>
      <c r="CP94" s="1025">
        <f t="shared" si="232"/>
        <v>-4</v>
      </c>
      <c r="CQ94" s="1025"/>
      <c r="CR94" s="1025">
        <v>-4</v>
      </c>
      <c r="CS94" s="1025"/>
      <c r="CT94" s="1025"/>
      <c r="CU94" s="1025">
        <f>CW94-CR94</f>
        <v>0</v>
      </c>
      <c r="CV94" s="1025"/>
      <c r="CW94" s="1066">
        <f>CP94+CO94</f>
        <v>-4</v>
      </c>
      <c r="CX94" s="1025"/>
      <c r="CY94" s="1025"/>
      <c r="CZ94" s="1025"/>
      <c r="DA94" s="1025"/>
      <c r="DB94" s="1025">
        <v>4</v>
      </c>
      <c r="DC94" s="1025">
        <v>0</v>
      </c>
      <c r="DD94" s="1025">
        <v>0</v>
      </c>
      <c r="DE94" s="1025">
        <f t="shared" si="42"/>
        <v>0</v>
      </c>
      <c r="DF94" s="1025"/>
      <c r="DG94" s="1025">
        <f>DC94+DB94</f>
        <v>4</v>
      </c>
      <c r="DH94" s="1025"/>
      <c r="DI94" s="1025">
        <f t="shared" si="224"/>
        <v>0</v>
      </c>
      <c r="DJ94" s="1025"/>
      <c r="DK94" s="1025">
        <v>4</v>
      </c>
      <c r="DL94" s="1026"/>
      <c r="DM94" s="1026"/>
      <c r="DN94" s="1027"/>
      <c r="DO94" s="1027"/>
      <c r="DP94" s="1029">
        <v>0</v>
      </c>
      <c r="DQ94" s="1029">
        <v>0</v>
      </c>
      <c r="DR94" s="1029">
        <f>+DQ94+DP94</f>
        <v>0</v>
      </c>
      <c r="DS94" s="1030">
        <f>+DR94+DB94</f>
        <v>4</v>
      </c>
      <c r="DT94" s="1026"/>
      <c r="DU94" s="1027"/>
      <c r="DV94" s="1027"/>
      <c r="DW94" s="705">
        <v>-3</v>
      </c>
      <c r="DX94" s="1029">
        <f>DY94-DB94</f>
        <v>-4</v>
      </c>
      <c r="DY94" s="1029"/>
      <c r="DZ94" s="497"/>
      <c r="EC94" s="1029">
        <v>0</v>
      </c>
      <c r="ED94" s="1026">
        <f t="shared" si="230"/>
        <v>-4</v>
      </c>
      <c r="EE94" s="497"/>
      <c r="EF94" s="510"/>
      <c r="EG94" s="1067"/>
      <c r="EH94" s="1025"/>
      <c r="EI94" s="1025">
        <f t="shared" si="177"/>
        <v>0</v>
      </c>
      <c r="EJ94" s="1025"/>
      <c r="EK94" s="1025"/>
      <c r="EL94" s="1025"/>
      <c r="EM94" s="1025"/>
      <c r="EN94" s="1025"/>
      <c r="EO94" s="1025"/>
      <c r="EP94" s="1025"/>
      <c r="EQ94" s="1025"/>
      <c r="ER94" s="1025"/>
      <c r="ES94" s="1025"/>
      <c r="ET94" s="1025"/>
      <c r="EU94" s="1066"/>
      <c r="EV94" s="1030"/>
      <c r="EW94" s="1025"/>
      <c r="EX94" s="1025"/>
      <c r="EY94" s="1025"/>
      <c r="EZ94" s="1025">
        <f t="shared" si="193"/>
        <v>0</v>
      </c>
      <c r="FA94" s="1025"/>
      <c r="FB94" s="1025"/>
      <c r="FC94" s="1025"/>
      <c r="FD94" s="1025"/>
      <c r="FE94" s="1025"/>
      <c r="FF94" s="1025"/>
      <c r="FG94" s="1025"/>
      <c r="FH94" s="1025"/>
      <c r="FI94" s="1025"/>
      <c r="FJ94" s="1025"/>
      <c r="FK94" s="1066"/>
      <c r="FL94" s="1026"/>
      <c r="FM94" s="1027"/>
      <c r="FN94" s="1029"/>
      <c r="FO94" s="1029"/>
      <c r="FP94" s="1029"/>
      <c r="FQ94" s="1030"/>
      <c r="FR94" s="1030"/>
      <c r="FS94" s="1025"/>
      <c r="FT94" s="1029"/>
      <c r="FU94" s="1029"/>
      <c r="FV94" s="1025"/>
      <c r="FW94" s="1029"/>
      <c r="FX94" s="1029"/>
      <c r="FY94" s="1025"/>
      <c r="FZ94" s="1025"/>
      <c r="GA94" s="1025"/>
      <c r="GB94" s="1025"/>
      <c r="GC94" s="1025"/>
      <c r="GD94" s="1066"/>
      <c r="GE94" s="1025"/>
      <c r="GF94" s="1025"/>
      <c r="GG94" s="1025"/>
      <c r="GH94" s="1029"/>
      <c r="GI94" s="1029"/>
      <c r="GJ94" s="1032"/>
      <c r="GK94" s="1029"/>
      <c r="GL94" s="1029"/>
      <c r="GM94" s="1029"/>
      <c r="GN94" s="1029"/>
      <c r="GO94" s="1029"/>
      <c r="GP94" s="1029"/>
      <c r="GQ94" s="1029"/>
      <c r="GR94" s="1025"/>
      <c r="GS94" s="1025"/>
      <c r="GT94" s="1025"/>
      <c r="GU94" s="1025"/>
      <c r="GV94" s="1066"/>
      <c r="GW94" s="1025"/>
      <c r="GX94" s="1029"/>
      <c r="GY94" s="1029"/>
      <c r="GZ94" s="1029"/>
      <c r="HA94" s="1032"/>
      <c r="HB94" s="1029"/>
      <c r="HC94" s="1029"/>
      <c r="HD94" s="1029"/>
      <c r="HE94" s="1029"/>
      <c r="HF94" s="1029"/>
      <c r="HG94" s="1029"/>
      <c r="HH94" s="1029"/>
      <c r="HI94" s="1029"/>
      <c r="HJ94" s="1029"/>
      <c r="HK94" s="1029"/>
      <c r="HL94" s="1029"/>
      <c r="HM94" s="1029"/>
      <c r="HN94" s="1025"/>
      <c r="HO94" s="1025"/>
      <c r="HP94" s="1025"/>
      <c r="HQ94" s="1025"/>
      <c r="HR94" s="1025"/>
      <c r="HS94" s="1025"/>
      <c r="HT94" s="1025"/>
      <c r="HU94" s="1025"/>
      <c r="HV94" s="1069"/>
      <c r="HW94" s="1029"/>
      <c r="HX94" s="1029"/>
      <c r="HY94" s="1029"/>
      <c r="HZ94" s="1025"/>
      <c r="IA94" s="1029"/>
      <c r="IB94" s="1029"/>
      <c r="IC94" s="1032"/>
      <c r="ID94" s="1029"/>
      <c r="IE94" s="1033"/>
      <c r="IF94" s="1029"/>
      <c r="IG94" s="1029"/>
      <c r="IH94" s="1029"/>
      <c r="II94" s="1029"/>
      <c r="IJ94" s="1029"/>
      <c r="IK94" s="1029"/>
      <c r="IL94" s="1029"/>
      <c r="IM94" s="1029"/>
      <c r="IN94" s="1029"/>
      <c r="IO94" s="1029"/>
      <c r="IP94" s="1030"/>
      <c r="IQ94" s="1029"/>
      <c r="IR94" s="1030"/>
      <c r="IS94" s="1033"/>
      <c r="IT94" s="1029"/>
      <c r="IU94" s="1029"/>
      <c r="IV94" s="1029"/>
      <c r="IW94" s="1029"/>
      <c r="IX94" s="1029"/>
      <c r="IY94" s="1029"/>
      <c r="IZ94" s="1029"/>
      <c r="JA94" s="1029"/>
      <c r="JB94" s="1029"/>
      <c r="JC94" s="1029"/>
      <c r="JD94" s="1029"/>
      <c r="JE94" s="1029"/>
      <c r="JF94" s="1029"/>
      <c r="JG94" s="1029"/>
      <c r="JH94" s="1030"/>
      <c r="JI94" s="1033"/>
      <c r="JJ94" s="1033"/>
      <c r="JK94" s="1029"/>
      <c r="JL94" s="1029"/>
      <c r="JM94" s="1029"/>
      <c r="JN94" s="1029"/>
      <c r="JO94" s="1029"/>
      <c r="JP94" s="1029"/>
      <c r="JQ94" s="1029"/>
      <c r="JR94" s="1029"/>
      <c r="JS94" s="1029"/>
      <c r="JT94" s="1029"/>
      <c r="JU94" s="1029"/>
      <c r="JV94" s="1029"/>
      <c r="JW94" s="1029"/>
      <c r="JX94" s="1029"/>
      <c r="JY94" s="1029"/>
      <c r="JZ94" s="1029"/>
      <c r="KA94" s="1030"/>
      <c r="KB94" s="1029"/>
      <c r="KC94" s="1029"/>
      <c r="KD94" s="1029"/>
      <c r="KE94" s="1029"/>
      <c r="KF94" s="1029"/>
      <c r="KG94" s="1029"/>
      <c r="KH94" s="1029"/>
      <c r="KI94" s="1030"/>
      <c r="KJ94" s="1029"/>
      <c r="KK94" s="1029"/>
      <c r="KL94" s="1029"/>
      <c r="KM94" s="1029"/>
      <c r="KN94" s="1029"/>
      <c r="KO94" s="1029"/>
      <c r="KP94" s="1029"/>
      <c r="KQ94" s="1030"/>
      <c r="KR94" s="1029"/>
      <c r="KS94" s="1030"/>
      <c r="KT94" s="1029"/>
      <c r="KU94" s="1029"/>
      <c r="KV94" s="1029"/>
      <c r="KW94" s="1030"/>
      <c r="KX94" s="1029"/>
      <c r="KY94" s="1029"/>
      <c r="KZ94" s="1030"/>
      <c r="LA94" s="1029"/>
      <c r="LB94" s="1029"/>
      <c r="LC94" s="1030"/>
      <c r="LD94" s="1030"/>
      <c r="LE94" s="1029"/>
      <c r="LF94" s="1029"/>
      <c r="LG94" s="1030"/>
    </row>
    <row r="95" spans="1:319" s="705" customFormat="1">
      <c r="A95" s="510"/>
      <c r="B95" s="1064" t="s">
        <v>170</v>
      </c>
      <c r="C95" s="1065" t="s">
        <v>946</v>
      </c>
      <c r="D95" s="497"/>
      <c r="E95" s="510"/>
      <c r="F95" s="510"/>
      <c r="G95" s="699"/>
      <c r="H95" s="510"/>
      <c r="I95" s="510"/>
      <c r="J95" s="699"/>
      <c r="K95" s="584"/>
      <c r="L95" s="584"/>
      <c r="M95" s="584"/>
      <c r="N95" s="584"/>
      <c r="O95" s="584"/>
      <c r="P95" s="584"/>
      <c r="Q95" s="584"/>
      <c r="R95" s="584"/>
      <c r="S95" s="700"/>
      <c r="T95" s="584"/>
      <c r="U95" s="584"/>
      <c r="V95" s="584"/>
      <c r="W95" s="584"/>
      <c r="X95" s="584"/>
      <c r="Y95" s="584"/>
      <c r="Z95" s="584"/>
      <c r="AA95" s="584"/>
      <c r="AB95" s="700"/>
      <c r="AC95" s="584"/>
      <c r="AD95" s="584"/>
      <c r="AE95" s="584"/>
      <c r="AF95" s="584"/>
      <c r="AG95" s="584"/>
      <c r="AH95" s="584"/>
      <c r="AI95" s="584"/>
      <c r="AJ95" s="584"/>
      <c r="AK95" s="497"/>
      <c r="AL95" s="584"/>
      <c r="AM95" s="584"/>
      <c r="AN95" s="584"/>
      <c r="AO95" s="584"/>
      <c r="AP95" s="584"/>
      <c r="AQ95" s="584"/>
      <c r="AR95" s="584"/>
      <c r="AS95" s="584"/>
      <c r="AT95" s="497"/>
      <c r="AU95" s="584"/>
      <c r="AV95" s="584"/>
      <c r="AW95" s="584"/>
      <c r="AX95" s="584"/>
      <c r="AY95" s="584"/>
      <c r="AZ95" s="584"/>
      <c r="BA95" s="584"/>
      <c r="BB95" s="625"/>
      <c r="BC95" s="625"/>
      <c r="BD95" s="584"/>
      <c r="BE95" s="584"/>
      <c r="BF95" s="497"/>
      <c r="BG95" s="584"/>
      <c r="BH95" s="584"/>
      <c r="BI95" s="584"/>
      <c r="BJ95" s="497"/>
      <c r="BK95" s="510"/>
      <c r="BL95" s="510"/>
      <c r="BM95" s="510"/>
      <c r="BN95" s="510"/>
      <c r="BO95" s="497"/>
      <c r="BP95" s="584"/>
      <c r="BQ95" s="584"/>
      <c r="BR95" s="584"/>
      <c r="BS95" s="584"/>
      <c r="BT95" s="584"/>
      <c r="BU95" s="584"/>
      <c r="BV95" s="584"/>
      <c r="BW95" s="584"/>
      <c r="BY95" s="584"/>
      <c r="BZ95" s="584"/>
      <c r="CA95" s="584"/>
      <c r="CB95" s="584"/>
      <c r="CC95" s="584"/>
      <c r="CD95" s="584"/>
      <c r="CE95" s="584"/>
      <c r="CF95" s="497"/>
      <c r="CG95" s="591">
        <v>-3</v>
      </c>
      <c r="CH95" s="559"/>
      <c r="CI95" s="559"/>
      <c r="CJ95" s="1025">
        <f t="shared" si="231"/>
        <v>-1.5</v>
      </c>
      <c r="CK95" s="1025"/>
      <c r="CL95" s="1025">
        <v>-2</v>
      </c>
      <c r="CM95" s="1025"/>
      <c r="CN95" s="1025"/>
      <c r="CO95" s="1025">
        <v>-2</v>
      </c>
      <c r="CP95" s="1025">
        <f t="shared" si="232"/>
        <v>-6.5</v>
      </c>
      <c r="CQ95" s="1025"/>
      <c r="CR95" s="1025">
        <v>-4.5</v>
      </c>
      <c r="CS95" s="1025"/>
      <c r="CT95" s="1025"/>
      <c r="CU95" s="1025">
        <f t="shared" si="218"/>
        <v>-4</v>
      </c>
      <c r="CV95" s="1025"/>
      <c r="CW95" s="1066">
        <f>CP95+CO95</f>
        <v>-8.5</v>
      </c>
      <c r="CX95" s="1025"/>
      <c r="CY95" s="1025"/>
      <c r="CZ95" s="1025"/>
      <c r="DA95" s="1025"/>
      <c r="DB95" s="1025"/>
      <c r="DC95" s="1025"/>
      <c r="DD95" s="1025"/>
      <c r="DE95" s="1025">
        <f t="shared" si="42"/>
        <v>0</v>
      </c>
      <c r="DF95" s="1025"/>
      <c r="DG95" s="1025"/>
      <c r="DH95" s="1025"/>
      <c r="DI95" s="1025">
        <f t="shared" si="224"/>
        <v>0</v>
      </c>
      <c r="DJ95" s="1025"/>
      <c r="DK95" s="1025"/>
      <c r="DL95" s="1026"/>
      <c r="DM95" s="1026"/>
      <c r="DN95" s="1027"/>
      <c r="DO95" s="1027"/>
      <c r="DP95" s="1029"/>
      <c r="DQ95" s="1029"/>
      <c r="DR95" s="1029"/>
      <c r="DS95" s="1030"/>
      <c r="DT95" s="1026"/>
      <c r="DU95" s="1027"/>
      <c r="DV95" s="1027"/>
      <c r="DW95" s="705">
        <v>0</v>
      </c>
      <c r="DX95" s="1029">
        <f>DY95-DB95</f>
        <v>0</v>
      </c>
      <c r="DY95" s="1029">
        <v>0</v>
      </c>
      <c r="DZ95" s="497"/>
      <c r="EC95" s="1029">
        <v>-4.5</v>
      </c>
      <c r="ED95" s="1026">
        <f t="shared" si="230"/>
        <v>-9</v>
      </c>
      <c r="EE95" s="497"/>
      <c r="EF95" s="510"/>
      <c r="EG95" s="1067"/>
      <c r="EH95" s="1025"/>
      <c r="EI95" s="1025">
        <f t="shared" si="177"/>
        <v>0</v>
      </c>
      <c r="EJ95" s="1025"/>
      <c r="EK95" s="1025"/>
      <c r="EL95" s="1025"/>
      <c r="EM95" s="1025"/>
      <c r="EN95" s="1025"/>
      <c r="EO95" s="1025"/>
      <c r="EP95" s="1025"/>
      <c r="EQ95" s="1025"/>
      <c r="ER95" s="1025"/>
      <c r="ES95" s="1025"/>
      <c r="ET95" s="1025"/>
      <c r="EU95" s="1066"/>
      <c r="EV95" s="1030"/>
      <c r="EW95" s="1025"/>
      <c r="EX95" s="1025"/>
      <c r="EY95" s="1025">
        <v>0</v>
      </c>
      <c r="EZ95" s="1025">
        <f t="shared" si="193"/>
        <v>0</v>
      </c>
      <c r="FA95" s="1025"/>
      <c r="FB95" s="1025"/>
      <c r="FC95" s="1025">
        <f>+FE95-FB95</f>
        <v>0</v>
      </c>
      <c r="FD95" s="1025">
        <v>0</v>
      </c>
      <c r="FE95" s="1025"/>
      <c r="FF95" s="1025"/>
      <c r="FG95" s="1025">
        <f t="shared" ref="FG95:FG102" si="233">FK95-FE95</f>
        <v>0</v>
      </c>
      <c r="FH95" s="1025">
        <f>+FL95-FE95</f>
        <v>0</v>
      </c>
      <c r="FI95" s="1025"/>
      <c r="FJ95" s="1025">
        <f>+FL95-FB95</f>
        <v>0</v>
      </c>
      <c r="FK95" s="1066"/>
      <c r="FL95" s="1026"/>
      <c r="FM95" s="1027"/>
      <c r="FN95" s="1029"/>
      <c r="FO95" s="1029"/>
      <c r="FP95" s="1029"/>
      <c r="FQ95" s="1030"/>
      <c r="FR95" s="1030"/>
      <c r="FS95" s="1025">
        <v>-1</v>
      </c>
      <c r="FT95" s="1029"/>
      <c r="FU95" s="1029"/>
      <c r="FV95" s="1025">
        <f t="shared" si="226"/>
        <v>-1</v>
      </c>
      <c r="FW95" s="1029"/>
      <c r="FX95" s="1029"/>
      <c r="FY95" s="1025">
        <v>-2</v>
      </c>
      <c r="FZ95" s="1025">
        <v>-1</v>
      </c>
      <c r="GA95" s="1025">
        <f>FZ95+FY95</f>
        <v>-3</v>
      </c>
      <c r="GB95" s="1025">
        <f t="shared" ref="GB95" si="234">+GD95-GA95</f>
        <v>-1</v>
      </c>
      <c r="GC95" s="1025">
        <f>GD95-FY95</f>
        <v>-2</v>
      </c>
      <c r="GD95" s="1066">
        <v>-4</v>
      </c>
      <c r="GE95" s="1025"/>
      <c r="GF95" s="1025"/>
      <c r="GG95" s="1025"/>
      <c r="GH95" s="1029"/>
      <c r="GI95" s="1029"/>
      <c r="GJ95" s="1032"/>
      <c r="GK95" s="1029"/>
      <c r="GL95" s="1029">
        <v>-0.5</v>
      </c>
      <c r="GM95" s="1029"/>
      <c r="GN95" s="1029"/>
      <c r="GO95" s="1029">
        <f t="shared" ref="GO95" si="235">+GP95-GL95</f>
        <v>-0.5</v>
      </c>
      <c r="GP95" s="1029">
        <v>-1</v>
      </c>
      <c r="GQ95" s="1029"/>
      <c r="GR95" s="1025">
        <v>-0.5</v>
      </c>
      <c r="GS95" s="1025">
        <f>GR95+GP95</f>
        <v>-1.5</v>
      </c>
      <c r="GT95" s="1025">
        <f>+GU95-GR95</f>
        <v>0</v>
      </c>
      <c r="GU95" s="1025">
        <f>GV95-GP95</f>
        <v>-0.5</v>
      </c>
      <c r="GV95" s="1066">
        <v>-1.5</v>
      </c>
      <c r="GW95" s="1025"/>
      <c r="GX95" s="1029"/>
      <c r="GY95" s="1029"/>
      <c r="GZ95" s="1029"/>
      <c r="HA95" s="1032"/>
      <c r="HB95" s="1029"/>
      <c r="HC95" s="1029"/>
      <c r="HD95" s="1029">
        <v>-0.5</v>
      </c>
      <c r="HE95" s="1029">
        <v>-0.5</v>
      </c>
      <c r="HF95" s="1029">
        <f>+HI95-HD95</f>
        <v>-0.5</v>
      </c>
      <c r="HG95" s="1029">
        <f>+HL95-HE95</f>
        <v>-0.5</v>
      </c>
      <c r="HH95" s="1029">
        <f>HM95-HE95</f>
        <v>-0.5</v>
      </c>
      <c r="HI95" s="1029">
        <v>-1</v>
      </c>
      <c r="HJ95" s="1029"/>
      <c r="HK95" s="1029"/>
      <c r="HL95" s="1029">
        <v>-1</v>
      </c>
      <c r="HM95" s="1029">
        <v>-1</v>
      </c>
      <c r="HN95" s="1025">
        <v>-0.5</v>
      </c>
      <c r="HO95" s="1025">
        <v>-0.5</v>
      </c>
      <c r="HP95" s="1025">
        <f>HN95+HI95</f>
        <v>-1.5</v>
      </c>
      <c r="HQ95" s="1025">
        <f>HO95+HM95</f>
        <v>-1.5</v>
      </c>
      <c r="HR95" s="1025">
        <f>+HT95-HN95</f>
        <v>-0.5</v>
      </c>
      <c r="HS95" s="1025"/>
      <c r="HT95" s="1025">
        <f>HV95-HI95</f>
        <v>-1</v>
      </c>
      <c r="HU95" s="1025"/>
      <c r="HV95" s="1069">
        <v>-2</v>
      </c>
      <c r="HW95" s="1029"/>
      <c r="HX95" s="1029"/>
      <c r="HY95" s="1029"/>
      <c r="HZ95" s="1025"/>
      <c r="IA95" s="1029"/>
      <c r="IB95" s="1029"/>
      <c r="IC95" s="1032"/>
      <c r="ID95" s="1029"/>
      <c r="IE95" s="1033">
        <v>-1</v>
      </c>
      <c r="IF95" s="1029">
        <f>IG95-IE95</f>
        <v>-2</v>
      </c>
      <c r="IG95" s="1070">
        <v>-3</v>
      </c>
      <c r="IH95" s="1029">
        <v>-1</v>
      </c>
      <c r="II95" s="1029"/>
      <c r="IJ95" s="1029">
        <f>IH95+IG95</f>
        <v>-4</v>
      </c>
      <c r="IK95" s="1029">
        <f>+IP95-IL95</f>
        <v>0</v>
      </c>
      <c r="IL95" s="1029"/>
      <c r="IM95" s="1029">
        <f>+IO95-IH95</f>
        <v>-1</v>
      </c>
      <c r="IN95" s="1029"/>
      <c r="IO95" s="1029">
        <f>IR95-IG95</f>
        <v>-2</v>
      </c>
      <c r="IP95" s="1030"/>
      <c r="IQ95" s="1029"/>
      <c r="IR95" s="1030">
        <v>-5</v>
      </c>
      <c r="IS95" s="1294"/>
      <c r="IT95" s="1029"/>
      <c r="IU95" s="1071">
        <v>-1</v>
      </c>
      <c r="IV95" s="1029">
        <f>IX95-IU95</f>
        <v>-1</v>
      </c>
      <c r="IW95" s="1029"/>
      <c r="IX95" s="1029">
        <v>-2</v>
      </c>
      <c r="IY95" s="1029"/>
      <c r="IZ95" s="1029">
        <f>JA95-IX95</f>
        <v>0</v>
      </c>
      <c r="JA95" s="1029">
        <v>-2</v>
      </c>
      <c r="JB95" s="1029"/>
      <c r="JC95" s="1029"/>
      <c r="JD95" s="1084">
        <v>-3</v>
      </c>
      <c r="JE95" s="1029"/>
      <c r="JF95" s="1029"/>
      <c r="JG95" s="1029"/>
      <c r="JH95" s="1030"/>
      <c r="JI95" s="1294"/>
      <c r="JJ95" s="1804">
        <v>-0.5</v>
      </c>
      <c r="JK95" s="1805">
        <v>0</v>
      </c>
      <c r="JL95" s="2242">
        <v>0</v>
      </c>
      <c r="JM95" s="1028">
        <f t="shared" ref="JM95" si="236">+JP95-JL95</f>
        <v>0</v>
      </c>
      <c r="JN95" s="1028">
        <f t="shared" ref="JN95" si="237">JS95-JP95</f>
        <v>0</v>
      </c>
      <c r="JO95" s="2242"/>
      <c r="JP95" s="2242">
        <v>0</v>
      </c>
      <c r="JQ95" s="2242"/>
      <c r="JR95" s="2242"/>
      <c r="JS95" s="2242"/>
      <c r="JT95" s="1805">
        <v>-1</v>
      </c>
      <c r="JU95" s="1805">
        <v>-1</v>
      </c>
      <c r="JV95" s="1029">
        <f>+JL95+JK95</f>
        <v>0</v>
      </c>
      <c r="JW95" s="1029">
        <f>+JN95+JU95</f>
        <v>-1</v>
      </c>
      <c r="JX95" s="1029">
        <f>+JP95+JW95</f>
        <v>-1</v>
      </c>
      <c r="JY95" s="1029">
        <f>+JP95+JT95</f>
        <v>-1</v>
      </c>
      <c r="JZ95" s="1071"/>
      <c r="KA95" s="1072"/>
      <c r="KB95" s="1071">
        <f>+KC95-JL95</f>
        <v>-1</v>
      </c>
      <c r="KC95" s="1071">
        <v>-1</v>
      </c>
      <c r="KD95" s="1071">
        <f t="shared" ref="KD95" si="238">+KH95-KC95</f>
        <v>-1</v>
      </c>
      <c r="KE95" s="1071">
        <f>+KG95-JP95</f>
        <v>-1</v>
      </c>
      <c r="KF95" s="1071"/>
      <c r="KG95" s="1071">
        <v>-1</v>
      </c>
      <c r="KH95" s="1084">
        <v>-2</v>
      </c>
      <c r="KI95" s="1072"/>
      <c r="KJ95" s="1071"/>
      <c r="KK95" s="1029"/>
      <c r="KL95" s="1029">
        <f>KM95-IX95</f>
        <v>-2</v>
      </c>
      <c r="KM95" s="1071">
        <v>-4</v>
      </c>
      <c r="KN95" s="1071"/>
      <c r="KO95" s="1071">
        <v>-2</v>
      </c>
      <c r="KP95" s="1029">
        <v>-3</v>
      </c>
      <c r="KQ95" s="1030">
        <v>-5</v>
      </c>
      <c r="KR95" s="1029">
        <v>-3</v>
      </c>
      <c r="KS95" s="1030">
        <v>-6</v>
      </c>
      <c r="KT95" s="1029">
        <f>KU95-IE95</f>
        <v>-2</v>
      </c>
      <c r="KU95" s="1029">
        <v>-3</v>
      </c>
      <c r="KV95" s="1029">
        <f>KW95-KU95</f>
        <v>-4</v>
      </c>
      <c r="KW95" s="1030">
        <v>-7</v>
      </c>
      <c r="KX95" s="1029">
        <f>KY95-HN95</f>
        <v>-0.5</v>
      </c>
      <c r="KY95" s="1029">
        <f>KZ95-HI95</f>
        <v>-1</v>
      </c>
      <c r="KZ95" s="1030">
        <v>-2</v>
      </c>
      <c r="LA95" s="1029">
        <v>-1</v>
      </c>
      <c r="LB95" s="1029">
        <f>LC95-LA95</f>
        <v>-1</v>
      </c>
      <c r="LC95" s="1030">
        <v>-2</v>
      </c>
      <c r="LD95" s="1030">
        <f>LB95+LC95</f>
        <v>-3</v>
      </c>
      <c r="LE95" s="1029">
        <f>LF95-GR95</f>
        <v>-0.5</v>
      </c>
      <c r="LF95" s="1029">
        <f>LG95-GP95</f>
        <v>-1</v>
      </c>
      <c r="LG95" s="1030">
        <v>-2</v>
      </c>
    </row>
    <row r="96" spans="1:319" s="705" customFormat="1">
      <c r="A96" s="510"/>
      <c r="B96" s="1064" t="s">
        <v>1198</v>
      </c>
      <c r="C96" s="1065" t="s">
        <v>1214</v>
      </c>
      <c r="D96" s="497"/>
      <c r="E96" s="510"/>
      <c r="F96" s="510"/>
      <c r="G96" s="699"/>
      <c r="H96" s="510"/>
      <c r="I96" s="510"/>
      <c r="J96" s="699"/>
      <c r="K96" s="584"/>
      <c r="L96" s="584"/>
      <c r="M96" s="584"/>
      <c r="N96" s="584"/>
      <c r="O96" s="584"/>
      <c r="P96" s="584"/>
      <c r="Q96" s="584"/>
      <c r="R96" s="584"/>
      <c r="S96" s="700"/>
      <c r="T96" s="584"/>
      <c r="U96" s="584"/>
      <c r="V96" s="584"/>
      <c r="W96" s="584"/>
      <c r="X96" s="584"/>
      <c r="Y96" s="584"/>
      <c r="Z96" s="584"/>
      <c r="AA96" s="584"/>
      <c r="AB96" s="700"/>
      <c r="AC96" s="584"/>
      <c r="AD96" s="584"/>
      <c r="AE96" s="584"/>
      <c r="AF96" s="584"/>
      <c r="AG96" s="584"/>
      <c r="AH96" s="584"/>
      <c r="AI96" s="584"/>
      <c r="AJ96" s="584"/>
      <c r="AK96" s="497"/>
      <c r="AL96" s="584"/>
      <c r="AM96" s="584"/>
      <c r="AN96" s="584"/>
      <c r="AO96" s="584"/>
      <c r="AP96" s="584"/>
      <c r="AQ96" s="584"/>
      <c r="AR96" s="584"/>
      <c r="AS96" s="584"/>
      <c r="AT96" s="497"/>
      <c r="AU96" s="584"/>
      <c r="AV96" s="584"/>
      <c r="AW96" s="584"/>
      <c r="AX96" s="584"/>
      <c r="AY96" s="584"/>
      <c r="AZ96" s="584"/>
      <c r="BA96" s="584"/>
      <c r="BB96" s="625"/>
      <c r="BC96" s="625"/>
      <c r="BD96" s="584"/>
      <c r="BE96" s="584"/>
      <c r="BF96" s="497"/>
      <c r="BG96" s="584"/>
      <c r="BH96" s="584"/>
      <c r="BI96" s="584"/>
      <c r="BJ96" s="497"/>
      <c r="BK96" s="510"/>
      <c r="BL96" s="510"/>
      <c r="BM96" s="510"/>
      <c r="BN96" s="510"/>
      <c r="BO96" s="497"/>
      <c r="BP96" s="584"/>
      <c r="BQ96" s="584"/>
      <c r="BR96" s="584"/>
      <c r="BS96" s="584"/>
      <c r="BT96" s="584"/>
      <c r="BU96" s="584"/>
      <c r="BV96" s="584"/>
      <c r="BW96" s="584"/>
      <c r="BY96" s="584"/>
      <c r="BZ96" s="584"/>
      <c r="CA96" s="584"/>
      <c r="CB96" s="584"/>
      <c r="CC96" s="584"/>
      <c r="CD96" s="584"/>
      <c r="CE96" s="584"/>
      <c r="CF96" s="497"/>
      <c r="CG96" s="591">
        <v>-1</v>
      </c>
      <c r="CH96" s="559"/>
      <c r="CI96" s="559"/>
      <c r="CJ96" s="1025">
        <f t="shared" si="231"/>
        <v>0</v>
      </c>
      <c r="CK96" s="1025"/>
      <c r="CL96" s="1025">
        <v>0</v>
      </c>
      <c r="CM96" s="1025"/>
      <c r="CN96" s="1025"/>
      <c r="CO96" s="1025">
        <v>1</v>
      </c>
      <c r="CP96" s="1025">
        <f t="shared" si="232"/>
        <v>-1</v>
      </c>
      <c r="CQ96" s="1025"/>
      <c r="CR96" s="1025">
        <v>-1</v>
      </c>
      <c r="CS96" s="1025"/>
      <c r="CT96" s="1025"/>
      <c r="CU96" s="1025">
        <f>CW96-CR96</f>
        <v>1</v>
      </c>
      <c r="CV96" s="1025"/>
      <c r="CW96" s="1066">
        <f>CP96+CO96</f>
        <v>0</v>
      </c>
      <c r="CX96" s="1025"/>
      <c r="CY96" s="1025"/>
      <c r="CZ96" s="1025"/>
      <c r="DA96" s="1025"/>
      <c r="DB96" s="1025"/>
      <c r="DC96" s="1025"/>
      <c r="DD96" s="1025"/>
      <c r="DE96" s="1025">
        <f t="shared" si="42"/>
        <v>0</v>
      </c>
      <c r="DF96" s="1025"/>
      <c r="DG96" s="1025"/>
      <c r="DH96" s="1025"/>
      <c r="DI96" s="1025">
        <f t="shared" si="224"/>
        <v>0</v>
      </c>
      <c r="DJ96" s="1025"/>
      <c r="DK96" s="1025"/>
      <c r="DL96" s="1026"/>
      <c r="DM96" s="1026"/>
      <c r="DN96" s="1027"/>
      <c r="DO96" s="1027"/>
      <c r="DP96" s="1029"/>
      <c r="DQ96" s="1029"/>
      <c r="DR96" s="1029"/>
      <c r="DS96" s="1030"/>
      <c r="DT96" s="1026"/>
      <c r="DU96" s="1027"/>
      <c r="DV96" s="1027"/>
      <c r="DW96" s="705">
        <v>-1</v>
      </c>
      <c r="DX96" s="1029">
        <v>-1</v>
      </c>
      <c r="DY96" s="1029">
        <v>-1</v>
      </c>
      <c r="DZ96" s="497"/>
      <c r="EC96" s="1029">
        <v>2</v>
      </c>
      <c r="ED96" s="1026">
        <f t="shared" si="230"/>
        <v>1</v>
      </c>
      <c r="EE96" s="497"/>
      <c r="EF96" s="510"/>
      <c r="EG96" s="1067"/>
      <c r="EH96" s="1025"/>
      <c r="EI96" s="1025">
        <f t="shared" si="177"/>
        <v>0</v>
      </c>
      <c r="EJ96" s="1025"/>
      <c r="EK96" s="1025"/>
      <c r="EL96" s="1025"/>
      <c r="EM96" s="1025"/>
      <c r="EN96" s="1025"/>
      <c r="EO96" s="1025"/>
      <c r="EP96" s="1025"/>
      <c r="EQ96" s="1025"/>
      <c r="ER96" s="1025"/>
      <c r="ES96" s="1025"/>
      <c r="ET96" s="1025"/>
      <c r="EU96" s="1066"/>
      <c r="EV96" s="1030"/>
      <c r="EW96" s="1025"/>
      <c r="EX96" s="1025"/>
      <c r="EY96" s="1025">
        <v>0</v>
      </c>
      <c r="EZ96" s="1025">
        <f t="shared" si="193"/>
        <v>0</v>
      </c>
      <c r="FA96" s="1025"/>
      <c r="FB96" s="1025"/>
      <c r="FC96" s="1025">
        <f>+FE96-FB96</f>
        <v>0</v>
      </c>
      <c r="FD96" s="1025">
        <v>0</v>
      </c>
      <c r="FE96" s="1025"/>
      <c r="FF96" s="1025"/>
      <c r="FG96" s="1025">
        <f t="shared" si="233"/>
        <v>0</v>
      </c>
      <c r="FH96" s="1025">
        <f>+FL96-FE96</f>
        <v>0</v>
      </c>
      <c r="FI96" s="1025"/>
      <c r="FJ96" s="1025">
        <f>+FL96-FB96</f>
        <v>0</v>
      </c>
      <c r="FK96" s="1066"/>
      <c r="FL96" s="1026"/>
      <c r="FM96" s="1027"/>
      <c r="FN96" s="1029"/>
      <c r="FO96" s="1029"/>
      <c r="FP96" s="1029"/>
      <c r="FQ96" s="1030"/>
      <c r="FR96" s="1030"/>
      <c r="FS96" s="1025"/>
      <c r="FT96" s="1029"/>
      <c r="FU96" s="1029"/>
      <c r="FV96" s="1025"/>
      <c r="FW96" s="1029"/>
      <c r="FX96" s="1029"/>
      <c r="FY96" s="1025"/>
      <c r="FZ96" s="1025"/>
      <c r="GA96" s="1025"/>
      <c r="GB96" s="1025"/>
      <c r="GC96" s="1025"/>
      <c r="GD96" s="1066"/>
      <c r="GE96" s="1025"/>
      <c r="GF96" s="1025"/>
      <c r="GG96" s="1025"/>
      <c r="GH96" s="1029"/>
      <c r="GI96" s="1029"/>
      <c r="GJ96" s="1032"/>
      <c r="GK96" s="1029"/>
      <c r="GL96" s="1029"/>
      <c r="GM96" s="1029"/>
      <c r="GN96" s="1029"/>
      <c r="GO96" s="1029"/>
      <c r="GP96" s="1029"/>
      <c r="GQ96" s="1029"/>
      <c r="GR96" s="1025"/>
      <c r="GS96" s="1025"/>
      <c r="GT96" s="1025"/>
      <c r="GU96" s="1025"/>
      <c r="GV96" s="1066"/>
      <c r="GW96" s="1025"/>
      <c r="GX96" s="1029"/>
      <c r="GY96" s="1029"/>
      <c r="GZ96" s="1029"/>
      <c r="HA96" s="1032"/>
      <c r="HB96" s="1029"/>
      <c r="HC96" s="1029"/>
      <c r="HD96" s="1029"/>
      <c r="HE96" s="1029"/>
      <c r="HF96" s="1029"/>
      <c r="HG96" s="1029"/>
      <c r="HH96" s="1029"/>
      <c r="HI96" s="1029"/>
      <c r="HJ96" s="1029"/>
      <c r="HK96" s="1029"/>
      <c r="HL96" s="1029"/>
      <c r="HM96" s="1029"/>
      <c r="HN96" s="1025"/>
      <c r="HO96" s="1025"/>
      <c r="HP96" s="1025"/>
      <c r="HQ96" s="1025"/>
      <c r="HR96" s="1025"/>
      <c r="HS96" s="1025"/>
      <c r="HT96" s="1025"/>
      <c r="HU96" s="1025"/>
      <c r="HV96" s="1069"/>
      <c r="HW96" s="1029"/>
      <c r="HX96" s="1029"/>
      <c r="HY96" s="1029"/>
      <c r="HZ96" s="1025"/>
      <c r="IA96" s="1029"/>
      <c r="IB96" s="1029"/>
      <c r="IC96" s="1032"/>
      <c r="ID96" s="1029"/>
      <c r="IE96" s="1033"/>
      <c r="IF96" s="1029"/>
      <c r="IG96" s="1029"/>
      <c r="IH96" s="1029"/>
      <c r="II96" s="1029"/>
      <c r="IJ96" s="1029"/>
      <c r="IK96" s="1029"/>
      <c r="IL96" s="1029"/>
      <c r="IM96" s="1029"/>
      <c r="IN96" s="1029"/>
      <c r="IO96" s="1029"/>
      <c r="IP96" s="1030"/>
      <c r="IQ96" s="1029"/>
      <c r="IR96" s="1030"/>
      <c r="IS96" s="1033"/>
      <c r="IT96" s="1029"/>
      <c r="IU96" s="1029"/>
      <c r="IV96" s="1029"/>
      <c r="IW96" s="1029"/>
      <c r="IX96" s="1029"/>
      <c r="IY96" s="1029"/>
      <c r="IZ96" s="1029"/>
      <c r="JA96" s="1029"/>
      <c r="JB96" s="1029"/>
      <c r="JC96" s="1029"/>
      <c r="JD96" s="1029"/>
      <c r="JE96" s="1029"/>
      <c r="JF96" s="1029"/>
      <c r="JG96" s="1029"/>
      <c r="JH96" s="1030"/>
      <c r="JI96" s="1033"/>
      <c r="JJ96" s="1033"/>
      <c r="JK96" s="1029"/>
      <c r="JL96" s="1029"/>
      <c r="JM96" s="1029"/>
      <c r="JN96" s="1029"/>
      <c r="JO96" s="1029"/>
      <c r="JP96" s="1029"/>
      <c r="JQ96" s="1029"/>
      <c r="JR96" s="1029"/>
      <c r="JS96" s="1029"/>
      <c r="JT96" s="1029"/>
      <c r="JU96" s="1029"/>
      <c r="JV96" s="1029"/>
      <c r="JW96" s="1029"/>
      <c r="JX96" s="1029"/>
      <c r="JY96" s="1029"/>
      <c r="JZ96" s="1029"/>
      <c r="KA96" s="1030"/>
      <c r="KB96" s="1029"/>
      <c r="KC96" s="1029"/>
      <c r="KD96" s="1029"/>
      <c r="KE96" s="1029"/>
      <c r="KF96" s="1029"/>
      <c r="KG96" s="1029"/>
      <c r="KH96" s="1029"/>
      <c r="KI96" s="1030"/>
      <c r="KJ96" s="1029"/>
      <c r="KK96" s="1029"/>
      <c r="KL96" s="1029"/>
      <c r="KM96" s="1029"/>
      <c r="KN96" s="1029"/>
      <c r="KO96" s="1029"/>
      <c r="KP96" s="1029"/>
      <c r="KQ96" s="1030"/>
      <c r="KR96" s="1029"/>
      <c r="KS96" s="1030"/>
      <c r="KT96" s="1029"/>
      <c r="KU96" s="1029"/>
      <c r="KV96" s="1029"/>
      <c r="KW96" s="1030"/>
      <c r="KX96" s="1029"/>
      <c r="KY96" s="1029"/>
      <c r="KZ96" s="1030"/>
      <c r="LA96" s="1029"/>
      <c r="LB96" s="1029"/>
      <c r="LC96" s="1030"/>
      <c r="LD96" s="1030"/>
      <c r="LE96" s="1029"/>
      <c r="LF96" s="1029"/>
      <c r="LG96" s="1030"/>
    </row>
    <row r="97" spans="1:319" s="705" customFormat="1">
      <c r="A97" s="510"/>
      <c r="B97" s="1064" t="s">
        <v>196</v>
      </c>
      <c r="C97" s="1065" t="s">
        <v>1295</v>
      </c>
      <c r="D97" s="497"/>
      <c r="E97" s="510"/>
      <c r="F97" s="510"/>
      <c r="G97" s="699"/>
      <c r="H97" s="510"/>
      <c r="I97" s="510"/>
      <c r="J97" s="699"/>
      <c r="K97" s="584"/>
      <c r="L97" s="584"/>
      <c r="M97" s="584"/>
      <c r="N97" s="584"/>
      <c r="O97" s="584"/>
      <c r="P97" s="584"/>
      <c r="Q97" s="584"/>
      <c r="R97" s="584"/>
      <c r="S97" s="700"/>
      <c r="T97" s="584"/>
      <c r="U97" s="584"/>
      <c r="V97" s="584"/>
      <c r="W97" s="584"/>
      <c r="X97" s="584"/>
      <c r="Y97" s="584"/>
      <c r="Z97" s="584"/>
      <c r="AA97" s="584"/>
      <c r="AB97" s="700"/>
      <c r="AC97" s="584"/>
      <c r="AD97" s="584"/>
      <c r="AE97" s="584"/>
      <c r="AF97" s="584"/>
      <c r="AG97" s="584"/>
      <c r="AH97" s="584"/>
      <c r="AI97" s="584"/>
      <c r="AJ97" s="584"/>
      <c r="AK97" s="497"/>
      <c r="AL97" s="584"/>
      <c r="AM97" s="584"/>
      <c r="AN97" s="584"/>
      <c r="AO97" s="584"/>
      <c r="AP97" s="584"/>
      <c r="AQ97" s="584"/>
      <c r="AR97" s="584"/>
      <c r="AS97" s="584"/>
      <c r="AT97" s="497"/>
      <c r="AU97" s="584"/>
      <c r="AV97" s="584"/>
      <c r="AW97" s="584"/>
      <c r="AX97" s="584"/>
      <c r="AY97" s="584"/>
      <c r="AZ97" s="584"/>
      <c r="BA97" s="584"/>
      <c r="BB97" s="625"/>
      <c r="BC97" s="625"/>
      <c r="BD97" s="584"/>
      <c r="BE97" s="584"/>
      <c r="BF97" s="497"/>
      <c r="BG97" s="584"/>
      <c r="BH97" s="584"/>
      <c r="BI97" s="584"/>
      <c r="BJ97" s="497"/>
      <c r="BK97" s="510"/>
      <c r="BL97" s="510"/>
      <c r="BM97" s="510"/>
      <c r="BN97" s="510"/>
      <c r="BO97" s="497"/>
      <c r="BP97" s="584"/>
      <c r="BQ97" s="584"/>
      <c r="BR97" s="584"/>
      <c r="BS97" s="584"/>
      <c r="BT97" s="584"/>
      <c r="BU97" s="584"/>
      <c r="BV97" s="584"/>
      <c r="BW97" s="584"/>
      <c r="BY97" s="584"/>
      <c r="BZ97" s="584"/>
      <c r="CA97" s="584"/>
      <c r="CB97" s="584"/>
      <c r="CC97" s="584"/>
      <c r="CD97" s="584"/>
      <c r="CE97" s="584"/>
      <c r="CF97" s="497"/>
      <c r="CG97" s="591"/>
      <c r="CH97" s="559"/>
      <c r="CI97" s="559"/>
      <c r="CJ97" s="1025"/>
      <c r="CK97" s="1025"/>
      <c r="CL97" s="1025"/>
      <c r="CM97" s="1025"/>
      <c r="CN97" s="1025"/>
      <c r="CO97" s="1025"/>
      <c r="CP97" s="1025"/>
      <c r="CQ97" s="1025"/>
      <c r="CR97" s="1025"/>
      <c r="CS97" s="1025"/>
      <c r="CT97" s="1025"/>
      <c r="CU97" s="1025"/>
      <c r="CV97" s="1025"/>
      <c r="CW97" s="1066"/>
      <c r="CX97" s="1025"/>
      <c r="CY97" s="1025"/>
      <c r="CZ97" s="1025"/>
      <c r="DA97" s="1025"/>
      <c r="DB97" s="1025">
        <v>0</v>
      </c>
      <c r="DC97" s="1025">
        <v>1</v>
      </c>
      <c r="DD97" s="1025"/>
      <c r="DE97" s="1025">
        <f t="shared" si="42"/>
        <v>2</v>
      </c>
      <c r="DF97" s="1025"/>
      <c r="DG97" s="1025">
        <f>+DC97+DB97</f>
        <v>1</v>
      </c>
      <c r="DH97" s="1025"/>
      <c r="DI97" s="1025">
        <f t="shared" si="224"/>
        <v>3</v>
      </c>
      <c r="DJ97" s="1025"/>
      <c r="DK97" s="1025">
        <v>3</v>
      </c>
      <c r="DL97" s="1026"/>
      <c r="DM97" s="1026"/>
      <c r="DN97" s="1027"/>
      <c r="DO97" s="1027"/>
      <c r="DP97" s="1029">
        <v>-0.5</v>
      </c>
      <c r="DQ97" s="1029">
        <v>-0.5</v>
      </c>
      <c r="DR97" s="1029">
        <v>-1</v>
      </c>
      <c r="DS97" s="1030">
        <f>DR97+DB97</f>
        <v>-1</v>
      </c>
      <c r="DT97" s="1026"/>
      <c r="DU97" s="1027"/>
      <c r="DV97" s="1027"/>
      <c r="DX97" s="1029"/>
      <c r="DY97" s="1029"/>
      <c r="DZ97" s="497"/>
      <c r="EC97" s="1029"/>
      <c r="ED97" s="1026"/>
      <c r="EE97" s="497"/>
      <c r="EF97" s="510"/>
      <c r="EG97" s="1067">
        <v>2</v>
      </c>
      <c r="EH97" s="1025"/>
      <c r="EI97" s="1025">
        <f t="shared" si="177"/>
        <v>0</v>
      </c>
      <c r="EJ97" s="1025"/>
      <c r="EK97" s="1025">
        <v>2</v>
      </c>
      <c r="EL97" s="1025"/>
      <c r="EM97" s="1025">
        <f>+EO97-EK97</f>
        <v>0</v>
      </c>
      <c r="EN97" s="1025"/>
      <c r="EO97" s="1025">
        <v>2</v>
      </c>
      <c r="EP97" s="1025"/>
      <c r="EQ97" s="1025">
        <f>+EU97-EO97</f>
        <v>-1</v>
      </c>
      <c r="ER97" s="1025"/>
      <c r="ES97" s="1025"/>
      <c r="ET97" s="1025"/>
      <c r="EU97" s="1066">
        <v>1</v>
      </c>
      <c r="EV97" s="1030"/>
      <c r="EW97" s="1025"/>
      <c r="EX97" s="1025">
        <v>-1</v>
      </c>
      <c r="EY97" s="1025">
        <v>1</v>
      </c>
      <c r="EZ97" s="1025">
        <f t="shared" si="193"/>
        <v>0</v>
      </c>
      <c r="FA97" s="1025"/>
      <c r="FB97" s="1025">
        <v>-1</v>
      </c>
      <c r="FC97" s="1025">
        <f>+FE97-FB97</f>
        <v>1</v>
      </c>
      <c r="FD97" s="1025">
        <v>0</v>
      </c>
      <c r="FE97" s="1025"/>
      <c r="FF97" s="1025"/>
      <c r="FG97" s="1025">
        <f t="shared" si="233"/>
        <v>-1</v>
      </c>
      <c r="FH97" s="1025">
        <f>+FL97-FE97</f>
        <v>0</v>
      </c>
      <c r="FI97" s="1025"/>
      <c r="FJ97" s="1025">
        <f>+FL97-FB97</f>
        <v>1</v>
      </c>
      <c r="FK97" s="1066">
        <v>-1</v>
      </c>
      <c r="FL97" s="1026"/>
      <c r="FM97" s="1027"/>
      <c r="FN97" s="1029"/>
      <c r="FO97" s="1029"/>
      <c r="FP97" s="1029"/>
      <c r="FQ97" s="1030">
        <v>-1</v>
      </c>
      <c r="FR97" s="1030"/>
      <c r="FS97" s="1025">
        <v>1</v>
      </c>
      <c r="FT97" s="1029"/>
      <c r="FU97" s="1029"/>
      <c r="FV97" s="1025">
        <f t="shared" si="226"/>
        <v>0</v>
      </c>
      <c r="FW97" s="1029"/>
      <c r="FX97" s="1029"/>
      <c r="FY97" s="1025">
        <v>1</v>
      </c>
      <c r="FZ97" s="1025">
        <v>-2</v>
      </c>
      <c r="GA97" s="1025">
        <f>FZ97+FY97</f>
        <v>-1</v>
      </c>
      <c r="GB97" s="1025">
        <f t="shared" ref="GB97" si="239">+GD97-GA97</f>
        <v>-1</v>
      </c>
      <c r="GC97" s="1025">
        <f>GD97-FY97</f>
        <v>-3</v>
      </c>
      <c r="GD97" s="1066">
        <v>-2</v>
      </c>
      <c r="GE97" s="1025"/>
      <c r="GF97" s="1025"/>
      <c r="GG97" s="1025"/>
      <c r="GH97" s="1029"/>
      <c r="GI97" s="1029"/>
      <c r="GJ97" s="1032"/>
      <c r="GK97" s="1029"/>
      <c r="GL97" s="1029">
        <v>-0.5</v>
      </c>
      <c r="GM97" s="1029"/>
      <c r="GN97" s="1029"/>
      <c r="GO97" s="1029">
        <f t="shared" ref="GO97:GO101" si="240">+GP97-GL97</f>
        <v>-0.5</v>
      </c>
      <c r="GP97" s="1029">
        <v>-1</v>
      </c>
      <c r="GQ97" s="1029"/>
      <c r="GR97" s="1025">
        <v>-1.5</v>
      </c>
      <c r="GS97" s="1025">
        <f>GR97+GP97</f>
        <v>-2.5</v>
      </c>
      <c r="GT97" s="1025">
        <f>+GU97-GR97</f>
        <v>0</v>
      </c>
      <c r="GU97" s="1025">
        <f>GV97-GP97</f>
        <v>-1.5</v>
      </c>
      <c r="GV97" s="1066">
        <v>-2.5</v>
      </c>
      <c r="GW97" s="1025"/>
      <c r="GX97" s="1029"/>
      <c r="GY97" s="1029"/>
      <c r="GZ97" s="1029"/>
      <c r="HA97" s="1032"/>
      <c r="HB97" s="1029"/>
      <c r="HC97" s="1029"/>
      <c r="HD97" s="1029">
        <v>-1.5</v>
      </c>
      <c r="HE97" s="1029">
        <v>-1.5</v>
      </c>
      <c r="HF97" s="1029">
        <f t="shared" ref="HF97:HF102" si="241">+HI97-HD97</f>
        <v>-0.5</v>
      </c>
      <c r="HG97" s="1029">
        <f t="shared" ref="HG97:HG102" si="242">+HL97-HE97</f>
        <v>-0.5</v>
      </c>
      <c r="HH97" s="1029">
        <f t="shared" ref="HH97:HH102" si="243">HM97-HE97</f>
        <v>-0.5</v>
      </c>
      <c r="HI97" s="1029">
        <v>-2</v>
      </c>
      <c r="HJ97" s="1029"/>
      <c r="HK97" s="1029"/>
      <c r="HL97" s="1029">
        <v>-2</v>
      </c>
      <c r="HM97" s="1029">
        <v>-2</v>
      </c>
      <c r="HN97" s="1025">
        <v>-0.5</v>
      </c>
      <c r="HO97" s="1025">
        <v>-0.5</v>
      </c>
      <c r="HP97" s="1025">
        <f>HN97+HI97</f>
        <v>-2.5</v>
      </c>
      <c r="HQ97" s="1025">
        <f>HO97+HM97</f>
        <v>-2.5</v>
      </c>
      <c r="HR97" s="1025">
        <f>+HT97-HN97</f>
        <v>2.5</v>
      </c>
      <c r="HS97" s="1025"/>
      <c r="HT97" s="1025">
        <f>HV97-HI97</f>
        <v>2</v>
      </c>
      <c r="HU97" s="1025"/>
      <c r="HV97" s="1069"/>
      <c r="HW97" s="1029"/>
      <c r="HX97" s="1029"/>
      <c r="HY97" s="1029"/>
      <c r="HZ97" s="1025"/>
      <c r="IA97" s="1029"/>
      <c r="IB97" s="1029"/>
      <c r="IC97" s="1032"/>
      <c r="ID97" s="1029"/>
      <c r="IE97" s="1033"/>
      <c r="IF97" s="1029"/>
      <c r="IG97" s="1029"/>
      <c r="IH97" s="1029"/>
      <c r="II97" s="1029"/>
      <c r="IJ97" s="1029">
        <f>IH97+IG97</f>
        <v>0</v>
      </c>
      <c r="IK97" s="1029">
        <f t="shared" ref="IK97:IK102" si="244">+IP97-IL97</f>
        <v>0</v>
      </c>
      <c r="IL97" s="1029"/>
      <c r="IM97" s="1029">
        <f>+IO97-IH97</f>
        <v>0</v>
      </c>
      <c r="IN97" s="1029"/>
      <c r="IO97" s="1029">
        <f>IR97-IG97</f>
        <v>0</v>
      </c>
      <c r="IP97" s="1030"/>
      <c r="IQ97" s="1029"/>
      <c r="IR97" s="1030"/>
      <c r="IS97" s="1033"/>
      <c r="IT97" s="1029"/>
      <c r="IU97" s="1029"/>
      <c r="IV97" s="1029"/>
      <c r="IW97" s="1029"/>
      <c r="IX97" s="1029"/>
      <c r="IY97" s="1029"/>
      <c r="IZ97" s="1029"/>
      <c r="JA97" s="1655">
        <v>-8</v>
      </c>
      <c r="JB97" s="1029"/>
      <c r="JC97" s="1029"/>
      <c r="JD97" s="1084"/>
      <c r="JE97" s="1029"/>
      <c r="JF97" s="1029"/>
      <c r="JG97" s="1029"/>
      <c r="JH97" s="1030"/>
      <c r="JI97" s="1033"/>
      <c r="JJ97" s="1033"/>
      <c r="JK97" s="1029"/>
      <c r="JL97" s="1029"/>
      <c r="JM97" s="1029"/>
      <c r="JN97" s="1029"/>
      <c r="JO97" s="1029"/>
      <c r="JP97" s="1029"/>
      <c r="JQ97" s="1029"/>
      <c r="JR97" s="1029"/>
      <c r="JS97" s="1029"/>
      <c r="JT97" s="1029"/>
      <c r="JU97" s="1029"/>
      <c r="JV97" s="1029"/>
      <c r="JW97" s="1029"/>
      <c r="JX97" s="1029"/>
      <c r="JY97" s="1029"/>
      <c r="JZ97" s="1029"/>
      <c r="KA97" s="1030"/>
      <c r="KB97" s="1029"/>
      <c r="KC97" s="1029"/>
      <c r="KD97" s="1029">
        <f t="shared" ref="KD97" si="245">+KH97-KC97</f>
        <v>-2</v>
      </c>
      <c r="KE97" s="1029">
        <f>+KG97-JP97</f>
        <v>0</v>
      </c>
      <c r="KF97" s="1029"/>
      <c r="KG97" s="1029"/>
      <c r="KH97" s="1084">
        <f>+KH89-KH90-KH91-KH95</f>
        <v>-2</v>
      </c>
      <c r="KI97" s="1030"/>
      <c r="KJ97" s="1029"/>
      <c r="KK97" s="1029"/>
      <c r="KL97" s="1029"/>
      <c r="KM97" s="1029"/>
      <c r="KN97" s="1029"/>
      <c r="KO97" s="1029"/>
      <c r="KP97" s="1029"/>
      <c r="KQ97" s="1030"/>
      <c r="KR97" s="1029"/>
      <c r="KS97" s="1030"/>
      <c r="KT97" s="1029">
        <f t="shared" ref="KT97:KT102" si="246">KU97-IE97</f>
        <v>0</v>
      </c>
      <c r="KU97" s="1029"/>
      <c r="KV97" s="1029">
        <f t="shared" ref="KV97:KV102" si="247">KW97-KU97</f>
        <v>0</v>
      </c>
      <c r="KW97" s="1030"/>
      <c r="KX97" s="1029">
        <f t="shared" ref="KX97:KX102" si="248">KY97-HN97</f>
        <v>-0.5</v>
      </c>
      <c r="KY97" s="1029">
        <f>KZ97-HI97</f>
        <v>-1</v>
      </c>
      <c r="KZ97" s="1030">
        <v>-3</v>
      </c>
      <c r="LA97" s="1029">
        <v>-3</v>
      </c>
      <c r="LB97" s="1029">
        <f t="shared" ref="LB97:LB102" si="249">LC97-LA97</f>
        <v>-1</v>
      </c>
      <c r="LC97" s="1030">
        <v>-4</v>
      </c>
      <c r="LD97" s="1030">
        <f>LB97+LC97</f>
        <v>-5</v>
      </c>
      <c r="LE97" s="1029">
        <f>LF97-GR97</f>
        <v>-1.5</v>
      </c>
      <c r="LF97" s="1029">
        <f>LG97-GP97</f>
        <v>-3</v>
      </c>
      <c r="LG97" s="1030">
        <v>-4</v>
      </c>
    </row>
    <row r="98" spans="1:319" s="1044" customFormat="1" ht="12">
      <c r="A98" s="1036"/>
      <c r="B98" s="1037" t="s">
        <v>983</v>
      </c>
      <c r="C98" s="1038" t="s">
        <v>940</v>
      </c>
      <c r="D98" s="1039"/>
      <c r="E98" s="1036"/>
      <c r="F98" s="1036"/>
      <c r="G98" s="1040"/>
      <c r="H98" s="1036"/>
      <c r="I98" s="1036"/>
      <c r="J98" s="1040"/>
      <c r="K98" s="1041"/>
      <c r="L98" s="1041"/>
      <c r="M98" s="1041"/>
      <c r="N98" s="1041"/>
      <c r="O98" s="1041"/>
      <c r="P98" s="1041"/>
      <c r="Q98" s="1041"/>
      <c r="R98" s="1041"/>
      <c r="S98" s="1042"/>
      <c r="T98" s="1041"/>
      <c r="U98" s="1041"/>
      <c r="V98" s="1041"/>
      <c r="W98" s="1041"/>
      <c r="X98" s="1041"/>
      <c r="Y98" s="1041"/>
      <c r="Z98" s="1041"/>
      <c r="AA98" s="1041"/>
      <c r="AB98" s="1042"/>
      <c r="AC98" s="1041"/>
      <c r="AD98" s="1041"/>
      <c r="AE98" s="1041"/>
      <c r="AF98" s="1041"/>
      <c r="AG98" s="1041"/>
      <c r="AH98" s="1041">
        <v>-4</v>
      </c>
      <c r="AI98" s="1041">
        <f>+AJ98-AH98</f>
        <v>-1</v>
      </c>
      <c r="AJ98" s="1041">
        <v>-5</v>
      </c>
      <c r="AK98" s="1039"/>
      <c r="AL98" s="1041">
        <v>-1</v>
      </c>
      <c r="AM98" s="1041">
        <f>+AQ98-AL98</f>
        <v>-1</v>
      </c>
      <c r="AN98" s="1041">
        <f>+AP98-AQ98</f>
        <v>-2</v>
      </c>
      <c r="AO98" s="1041">
        <f>+AR98-AN98</f>
        <v>-1</v>
      </c>
      <c r="AP98" s="1041">
        <v>-4</v>
      </c>
      <c r="AQ98" s="1041">
        <v>-2</v>
      </c>
      <c r="AR98" s="1041">
        <f>+AS98-AQ98</f>
        <v>-3</v>
      </c>
      <c r="AS98" s="1041">
        <v>-5</v>
      </c>
      <c r="AT98" s="1039"/>
      <c r="AU98" s="1041">
        <v>1</v>
      </c>
      <c r="AV98" s="1041">
        <f>+BB98-AU98</f>
        <v>0</v>
      </c>
      <c r="AW98" s="1041">
        <f>+BA98-BB98</f>
        <v>0</v>
      </c>
      <c r="AX98" s="1041">
        <v>-1</v>
      </c>
      <c r="AY98" s="1041">
        <f t="shared" si="173"/>
        <v>-1</v>
      </c>
      <c r="AZ98" s="1041"/>
      <c r="BA98" s="1041">
        <v>1</v>
      </c>
      <c r="BB98" s="1043">
        <v>1</v>
      </c>
      <c r="BC98" s="1043">
        <f t="shared" si="172"/>
        <v>-1</v>
      </c>
      <c r="BD98" s="1041"/>
      <c r="BE98" s="1041">
        <v>0</v>
      </c>
      <c r="BF98" s="1039"/>
      <c r="BG98" s="1041">
        <f>BH98-AW98</f>
        <v>-5</v>
      </c>
      <c r="BH98" s="1041">
        <f>+BI98-BB98</f>
        <v>-5</v>
      </c>
      <c r="BI98" s="1041">
        <v>-4</v>
      </c>
      <c r="BJ98" s="1039"/>
      <c r="BK98" s="1036">
        <v>-3</v>
      </c>
      <c r="BL98" s="1036">
        <v>-5</v>
      </c>
      <c r="BM98" s="1036">
        <v>-8</v>
      </c>
      <c r="BN98" s="1036"/>
      <c r="BO98" s="1039"/>
      <c r="BP98" s="1041">
        <v>1</v>
      </c>
      <c r="BQ98" s="1041"/>
      <c r="BR98" s="1041">
        <f t="shared" si="190"/>
        <v>-1</v>
      </c>
      <c r="BS98" s="1041">
        <v>0</v>
      </c>
      <c r="BT98" s="1041">
        <v>1</v>
      </c>
      <c r="BU98" s="1041">
        <v>-1</v>
      </c>
      <c r="BV98" s="1041">
        <f t="shared" si="216"/>
        <v>-2</v>
      </c>
      <c r="BW98" s="1041"/>
      <c r="BX98" s="1044">
        <v>1</v>
      </c>
      <c r="BY98" s="1041">
        <v>0</v>
      </c>
      <c r="BZ98" s="1041"/>
      <c r="CA98" s="1041"/>
      <c r="CB98" s="1041"/>
      <c r="CC98" s="1041">
        <f t="shared" si="217"/>
        <v>-1</v>
      </c>
      <c r="CD98" s="1041"/>
      <c r="CE98" s="1041">
        <v>-1</v>
      </c>
      <c r="CF98" s="1039"/>
      <c r="CG98" s="1087">
        <v>0</v>
      </c>
      <c r="CH98" s="1036"/>
      <c r="CI98" s="1036"/>
      <c r="CJ98" s="1047">
        <f t="shared" si="231"/>
        <v>1</v>
      </c>
      <c r="CK98" s="1047">
        <v>0</v>
      </c>
      <c r="CL98" s="1047">
        <f>CP98-CR98</f>
        <v>0</v>
      </c>
      <c r="CM98" s="1047">
        <v>-1</v>
      </c>
      <c r="CN98" s="1047"/>
      <c r="CO98" s="1047">
        <f t="shared" ref="CO98" si="250">CW98-CP98</f>
        <v>0</v>
      </c>
      <c r="CP98" s="1047">
        <v>1</v>
      </c>
      <c r="CQ98" s="1047"/>
      <c r="CR98" s="1047">
        <v>1</v>
      </c>
      <c r="CS98" s="1047"/>
      <c r="CT98" s="1047"/>
      <c r="CU98" s="1047">
        <f t="shared" si="218"/>
        <v>0</v>
      </c>
      <c r="CV98" s="1047"/>
      <c r="CW98" s="1048">
        <v>1</v>
      </c>
      <c r="CX98" s="1047"/>
      <c r="CY98" s="1047">
        <v>0</v>
      </c>
      <c r="CZ98" s="1047">
        <f>+DB98-CY98</f>
        <v>1</v>
      </c>
      <c r="DA98" s="1047"/>
      <c r="DB98" s="1047">
        <v>1</v>
      </c>
      <c r="DC98" s="1047">
        <f t="shared" ref="DC98" si="251">+DG98-DB98</f>
        <v>1</v>
      </c>
      <c r="DD98" s="1047">
        <v>1</v>
      </c>
      <c r="DE98" s="1047">
        <f t="shared" si="42"/>
        <v>0</v>
      </c>
      <c r="DF98" s="1047"/>
      <c r="DG98" s="1047">
        <v>2</v>
      </c>
      <c r="DH98" s="1047"/>
      <c r="DI98" s="1047">
        <f t="shared" si="224"/>
        <v>1</v>
      </c>
      <c r="DJ98" s="1047"/>
      <c r="DK98" s="1047">
        <v>2</v>
      </c>
      <c r="DL98" s="1049"/>
      <c r="DM98" s="1049"/>
      <c r="DN98" s="1050"/>
      <c r="DO98" s="1050"/>
      <c r="DP98" s="1088">
        <v>0</v>
      </c>
      <c r="DQ98" s="1088">
        <v>0</v>
      </c>
      <c r="DR98" s="1051">
        <f>DS98-DB98</f>
        <v>0</v>
      </c>
      <c r="DS98" s="1052">
        <v>1</v>
      </c>
      <c r="DT98" s="1049"/>
      <c r="DU98" s="1050"/>
      <c r="DV98" s="1053">
        <f>DW98-CY98</f>
        <v>0</v>
      </c>
      <c r="DW98" s="1054">
        <v>0</v>
      </c>
      <c r="DX98" s="1051">
        <f>DY98-DB98</f>
        <v>-2</v>
      </c>
      <c r="DY98" s="1051">
        <v>-1</v>
      </c>
      <c r="DZ98" s="1039"/>
      <c r="EB98" s="1054">
        <f>ED98-CP98</f>
        <v>-1</v>
      </c>
      <c r="EC98" s="1051"/>
      <c r="ED98" s="1049"/>
      <c r="EE98" s="1039"/>
      <c r="EF98" s="1036"/>
      <c r="EG98" s="1055">
        <v>1</v>
      </c>
      <c r="EH98" s="1047"/>
      <c r="EI98" s="1047">
        <f t="shared" si="177"/>
        <v>1</v>
      </c>
      <c r="EJ98" s="1047"/>
      <c r="EK98" s="1047">
        <v>2</v>
      </c>
      <c r="EL98" s="1047"/>
      <c r="EM98" s="1047">
        <f>+EO98-EK98</f>
        <v>0</v>
      </c>
      <c r="EN98" s="1047"/>
      <c r="EO98" s="1047">
        <v>2</v>
      </c>
      <c r="EP98" s="1047"/>
      <c r="EQ98" s="1047">
        <f>+EU98-EO98</f>
        <v>0</v>
      </c>
      <c r="ER98" s="1047"/>
      <c r="ES98" s="1047">
        <f>+EU98-EK98</f>
        <v>0</v>
      </c>
      <c r="ET98" s="1047"/>
      <c r="EU98" s="1048">
        <v>2</v>
      </c>
      <c r="EV98" s="1030"/>
      <c r="EW98" s="1047"/>
      <c r="EX98" s="1047">
        <v>-1</v>
      </c>
      <c r="EY98" s="1047">
        <v>0</v>
      </c>
      <c r="EZ98" s="1047">
        <f t="shared" si="193"/>
        <v>-2</v>
      </c>
      <c r="FA98" s="1047">
        <v>-1</v>
      </c>
      <c r="FB98" s="1047">
        <v>-3</v>
      </c>
      <c r="FC98" s="1047">
        <f>+FE98-FB98</f>
        <v>-3</v>
      </c>
      <c r="FD98" s="1047">
        <v>0</v>
      </c>
      <c r="FE98" s="1047">
        <v>-6</v>
      </c>
      <c r="FF98" s="1047"/>
      <c r="FG98" s="1047">
        <f>FI98-FC98</f>
        <v>-7</v>
      </c>
      <c r="FH98" s="1047">
        <f>+FL98-FE98</f>
        <v>6</v>
      </c>
      <c r="FI98" s="1047">
        <f>FK98-FB98</f>
        <v>-10</v>
      </c>
      <c r="FJ98" s="1047">
        <f>+FL98-FB98</f>
        <v>3</v>
      </c>
      <c r="FK98" s="1048">
        <v>-13</v>
      </c>
      <c r="FL98" s="1049"/>
      <c r="FM98" s="1050">
        <f>+FN98-EX98</f>
        <v>0</v>
      </c>
      <c r="FN98" s="1051">
        <v>-1</v>
      </c>
      <c r="FO98" s="1051">
        <f>+FQ98-FE98</f>
        <v>3</v>
      </c>
      <c r="FP98" s="1051">
        <f>+FQ98-FB98</f>
        <v>0</v>
      </c>
      <c r="FQ98" s="1052">
        <v>-3</v>
      </c>
      <c r="FR98" s="1052"/>
      <c r="FS98" s="1047">
        <v>-3</v>
      </c>
      <c r="FT98" s="1051"/>
      <c r="FU98" s="1051"/>
      <c r="FV98" s="1047">
        <f t="shared" si="226"/>
        <v>-2</v>
      </c>
      <c r="FW98" s="1051"/>
      <c r="FX98" s="1051"/>
      <c r="FY98" s="1047">
        <v>-5</v>
      </c>
      <c r="FZ98" s="1047">
        <f>+GA98-FY98</f>
        <v>0</v>
      </c>
      <c r="GA98" s="1047">
        <v>-5</v>
      </c>
      <c r="GB98" s="1047">
        <f t="shared" si="184"/>
        <v>3</v>
      </c>
      <c r="GC98" s="1047">
        <f>+GD98-FY98</f>
        <v>3</v>
      </c>
      <c r="GD98" s="1048">
        <v>-2</v>
      </c>
      <c r="GE98" s="1047"/>
      <c r="GF98" s="1047"/>
      <c r="GG98" s="1047"/>
      <c r="GH98" s="1051"/>
      <c r="GI98" s="1051"/>
      <c r="GJ98" s="1057"/>
      <c r="GK98" s="1051"/>
      <c r="GL98" s="1051">
        <v>1</v>
      </c>
      <c r="GM98" s="1051"/>
      <c r="GN98" s="1051"/>
      <c r="GO98" s="1051">
        <f>+GP98-GL98</f>
        <v>1</v>
      </c>
      <c r="GP98" s="1051">
        <v>2</v>
      </c>
      <c r="GQ98" s="1051"/>
      <c r="GR98" s="1047">
        <f>+GS98-GP98</f>
        <v>0</v>
      </c>
      <c r="GS98" s="1047">
        <v>2</v>
      </c>
      <c r="GT98" s="1047">
        <f>+GU98-GR98</f>
        <v>2</v>
      </c>
      <c r="GU98" s="1047">
        <f>+GV98-GP98</f>
        <v>2</v>
      </c>
      <c r="GV98" s="1048">
        <v>4</v>
      </c>
      <c r="GW98" s="1047"/>
      <c r="GX98" s="1051"/>
      <c r="GY98" s="1051"/>
      <c r="GZ98" s="1051"/>
      <c r="HA98" s="1057"/>
      <c r="HB98" s="1051"/>
      <c r="HC98" s="1051"/>
      <c r="HD98" s="1051">
        <v>-2</v>
      </c>
      <c r="HE98" s="1051">
        <v>-2</v>
      </c>
      <c r="HF98" s="1051">
        <f t="shared" si="241"/>
        <v>-3</v>
      </c>
      <c r="HG98" s="1051">
        <f t="shared" si="242"/>
        <v>-3</v>
      </c>
      <c r="HH98" s="1051">
        <f t="shared" si="243"/>
        <v>-3</v>
      </c>
      <c r="HI98" s="1051">
        <v>-5</v>
      </c>
      <c r="HJ98" s="1051"/>
      <c r="HK98" s="1051"/>
      <c r="HL98" s="1051">
        <v>-5</v>
      </c>
      <c r="HM98" s="1051">
        <v>-5</v>
      </c>
      <c r="HN98" s="1047">
        <f>+HP98-HI98</f>
        <v>-2</v>
      </c>
      <c r="HO98" s="1047">
        <f>+HQ98-HM98</f>
        <v>5</v>
      </c>
      <c r="HP98" s="1047">
        <v>-7</v>
      </c>
      <c r="HQ98" s="1089"/>
      <c r="HR98" s="1047">
        <f>+HT98-HN98</f>
        <v>-4</v>
      </c>
      <c r="HS98" s="1047"/>
      <c r="HT98" s="1047">
        <f>+HV98-HI98</f>
        <v>-6</v>
      </c>
      <c r="HU98" s="1047">
        <f>HZ98-HM98</f>
        <v>-6</v>
      </c>
      <c r="HV98" s="1047">
        <v>-11</v>
      </c>
      <c r="HW98" s="1051"/>
      <c r="HX98" s="1051"/>
      <c r="HY98" s="1051"/>
      <c r="HZ98" s="1047">
        <v>-11</v>
      </c>
      <c r="IA98" s="1051"/>
      <c r="IB98" s="1051"/>
      <c r="IC98" s="1057"/>
      <c r="ID98" s="1051"/>
      <c r="IE98" s="1078">
        <v>-3</v>
      </c>
      <c r="IF98" s="1051">
        <f>IG98-IE98</f>
        <v>-5</v>
      </c>
      <c r="IG98" s="1059">
        <v>-8</v>
      </c>
      <c r="IH98" s="1051">
        <f>+IJ98-IG98</f>
        <v>-11</v>
      </c>
      <c r="II98" s="1051"/>
      <c r="IJ98" s="1060">
        <v>-19</v>
      </c>
      <c r="IK98" s="1051">
        <f t="shared" si="244"/>
        <v>0</v>
      </c>
      <c r="IL98" s="1051"/>
      <c r="IM98" s="1051">
        <f>+IO98-IH98</f>
        <v>-8</v>
      </c>
      <c r="IN98" s="1051"/>
      <c r="IO98" s="1051">
        <f>+IR98-IG98</f>
        <v>-19</v>
      </c>
      <c r="IP98" s="1052"/>
      <c r="IQ98" s="1051"/>
      <c r="IR98" s="1061">
        <v>-27</v>
      </c>
      <c r="IS98" s="1294"/>
      <c r="IT98" s="1063">
        <v>-4</v>
      </c>
      <c r="IU98" s="1063">
        <v>-4</v>
      </c>
      <c r="IV98" s="2272">
        <f>IX98-IU98</f>
        <v>-2</v>
      </c>
      <c r="IW98" s="1063">
        <v>-5</v>
      </c>
      <c r="IX98" s="1051">
        <v>-6</v>
      </c>
      <c r="IY98" s="1051">
        <v>-9</v>
      </c>
      <c r="IZ98" s="1051">
        <f>JA98-IX98</f>
        <v>5</v>
      </c>
      <c r="JA98" s="1051">
        <v>-1</v>
      </c>
      <c r="JB98" s="1051">
        <f>+JC98-IZ98</f>
        <v>0</v>
      </c>
      <c r="JC98" s="1051">
        <f>+JD98-IX98</f>
        <v>5</v>
      </c>
      <c r="JD98" s="1051">
        <v>-1</v>
      </c>
      <c r="JE98" s="1051"/>
      <c r="JF98" s="1051"/>
      <c r="JG98" s="1051"/>
      <c r="JH98" s="1052"/>
      <c r="JI98" s="1294"/>
      <c r="JJ98" s="1078">
        <f>+JJ99+JJ100</f>
        <v>-4</v>
      </c>
      <c r="JK98" s="1051">
        <f>+JK99+JK100</f>
        <v>-4</v>
      </c>
      <c r="JL98" s="1051">
        <v>0</v>
      </c>
      <c r="JM98" s="1051">
        <f t="shared" ref="JM98:JM100" si="252">+JP98-JL98</f>
        <v>-1</v>
      </c>
      <c r="JN98" s="1051">
        <f t="shared" ref="JN98:JN100" si="253">JS98-JP98</f>
        <v>1</v>
      </c>
      <c r="JO98" s="1051"/>
      <c r="JP98" s="1051">
        <v>-1</v>
      </c>
      <c r="JQ98" s="1051"/>
      <c r="JR98" s="1051"/>
      <c r="JS98" s="1051">
        <v>0</v>
      </c>
      <c r="JT98" s="1051">
        <f t="shared" ref="JT98" si="254">+JT99+JT100</f>
        <v>-4</v>
      </c>
      <c r="JU98" s="1051">
        <f>+JW98-JN98</f>
        <v>-5</v>
      </c>
      <c r="JV98" s="1051">
        <f>+JL98+JK98</f>
        <v>-4</v>
      </c>
      <c r="JW98" s="1051">
        <f>+JX98-JP98</f>
        <v>-4</v>
      </c>
      <c r="JX98" s="1051">
        <f>+'maruchan inc'!AG82</f>
        <v>-5</v>
      </c>
      <c r="JY98" s="1051">
        <f t="shared" ref="JY98:JY102" si="255">+JP98+JT98</f>
        <v>-5</v>
      </c>
      <c r="JZ98" s="1071"/>
      <c r="KA98" s="1072"/>
      <c r="KB98" s="1063">
        <f>+KC98-JL98</f>
        <v>-6</v>
      </c>
      <c r="KC98" s="1063">
        <v>-6</v>
      </c>
      <c r="KD98" s="1063">
        <f t="shared" ref="KD98:KD100" si="256">+KH98-KC98</f>
        <v>-10</v>
      </c>
      <c r="KE98" s="1063">
        <f>+KG98-JP98</f>
        <v>-9</v>
      </c>
      <c r="KF98" s="1063"/>
      <c r="KG98" s="1063">
        <v>-10</v>
      </c>
      <c r="KH98" s="1063">
        <v>-16</v>
      </c>
      <c r="KI98" s="1072"/>
      <c r="KJ98" s="1071"/>
      <c r="KK98" s="1051">
        <f>KL98-IZ98</f>
        <v>-2</v>
      </c>
      <c r="KL98" s="1051">
        <f>KM98-IX98</f>
        <v>3</v>
      </c>
      <c r="KM98" s="1063">
        <v>-3</v>
      </c>
      <c r="KN98" s="1071"/>
      <c r="KO98" s="1063">
        <v>-9</v>
      </c>
      <c r="KP98" s="1051">
        <v>0</v>
      </c>
      <c r="KQ98" s="1052">
        <v>-9</v>
      </c>
      <c r="KR98" s="1051">
        <v>-12</v>
      </c>
      <c r="KS98" s="1052">
        <v>-20</v>
      </c>
      <c r="KT98" s="1051">
        <f t="shared" si="246"/>
        <v>1</v>
      </c>
      <c r="KU98" s="1051">
        <v>-2</v>
      </c>
      <c r="KV98" s="1051">
        <f t="shared" si="247"/>
        <v>-1</v>
      </c>
      <c r="KW98" s="1052">
        <v>-3</v>
      </c>
      <c r="KX98" s="1051">
        <f t="shared" si="248"/>
        <v>-6</v>
      </c>
      <c r="KY98" s="1051">
        <f>KZ98-HI98</f>
        <v>-8</v>
      </c>
      <c r="KZ98" s="1052">
        <v>-13</v>
      </c>
      <c r="LA98" s="1051">
        <v>-1</v>
      </c>
      <c r="LB98" s="1051">
        <f t="shared" si="249"/>
        <v>-2</v>
      </c>
      <c r="LC98" s="1052">
        <v>-3</v>
      </c>
      <c r="LD98" s="1052"/>
      <c r="LE98" s="1051">
        <f>LF98-GR98</f>
        <v>3</v>
      </c>
      <c r="LF98" s="1051">
        <f>LG98-GP98</f>
        <v>3</v>
      </c>
      <c r="LG98" s="1052">
        <v>5</v>
      </c>
    </row>
    <row r="99" spans="1:319" s="705" customFormat="1" ht="12">
      <c r="A99" s="510"/>
      <c r="B99" s="1064" t="s">
        <v>1273</v>
      </c>
      <c r="C99" s="1065" t="s">
        <v>1256</v>
      </c>
      <c r="D99" s="497"/>
      <c r="E99" s="510"/>
      <c r="F99" s="510"/>
      <c r="G99" s="699"/>
      <c r="H99" s="510"/>
      <c r="I99" s="510"/>
      <c r="J99" s="699"/>
      <c r="K99" s="584"/>
      <c r="L99" s="584"/>
      <c r="M99" s="584"/>
      <c r="N99" s="584"/>
      <c r="O99" s="584"/>
      <c r="P99" s="584"/>
      <c r="Q99" s="584"/>
      <c r="R99" s="584"/>
      <c r="S99" s="700"/>
      <c r="T99" s="584"/>
      <c r="U99" s="584"/>
      <c r="V99" s="584"/>
      <c r="W99" s="584"/>
      <c r="X99" s="584"/>
      <c r="Y99" s="584"/>
      <c r="Z99" s="584"/>
      <c r="AA99" s="584"/>
      <c r="AB99" s="700"/>
      <c r="AC99" s="584"/>
      <c r="AD99" s="584"/>
      <c r="AE99" s="584"/>
      <c r="AF99" s="584"/>
      <c r="AG99" s="584"/>
      <c r="AH99" s="584"/>
      <c r="AI99" s="584"/>
      <c r="AJ99" s="584"/>
      <c r="AK99" s="497"/>
      <c r="AL99" s="584"/>
      <c r="AM99" s="584"/>
      <c r="AN99" s="584"/>
      <c r="AO99" s="584"/>
      <c r="AP99" s="584"/>
      <c r="AQ99" s="584"/>
      <c r="AR99" s="584"/>
      <c r="AS99" s="584"/>
      <c r="AT99" s="497"/>
      <c r="AU99" s="584"/>
      <c r="AV99" s="584"/>
      <c r="AW99" s="584"/>
      <c r="AX99" s="584"/>
      <c r="AY99" s="584"/>
      <c r="AZ99" s="584"/>
      <c r="BA99" s="584"/>
      <c r="BB99" s="625"/>
      <c r="BC99" s="625"/>
      <c r="BD99" s="584"/>
      <c r="BE99" s="584"/>
      <c r="BF99" s="497"/>
      <c r="BG99" s="584"/>
      <c r="BH99" s="584"/>
      <c r="BI99" s="584"/>
      <c r="BJ99" s="497"/>
      <c r="BK99" s="510"/>
      <c r="BL99" s="510"/>
      <c r="BM99" s="510"/>
      <c r="BN99" s="510"/>
      <c r="BO99" s="497"/>
      <c r="BP99" s="584"/>
      <c r="BQ99" s="584"/>
      <c r="BR99" s="584"/>
      <c r="BS99" s="584"/>
      <c r="BT99" s="584"/>
      <c r="BU99" s="584"/>
      <c r="BV99" s="584"/>
      <c r="BW99" s="584"/>
      <c r="BY99" s="584"/>
      <c r="BZ99" s="584"/>
      <c r="CA99" s="584"/>
      <c r="CB99" s="584"/>
      <c r="CC99" s="584"/>
      <c r="CD99" s="584"/>
      <c r="CE99" s="584"/>
      <c r="CF99" s="497"/>
      <c r="CG99" s="714"/>
      <c r="CH99" s="510"/>
      <c r="CI99" s="510"/>
      <c r="CJ99" s="1025"/>
      <c r="CK99" s="1025"/>
      <c r="CL99" s="1025"/>
      <c r="CM99" s="1025"/>
      <c r="CN99" s="1025"/>
      <c r="CO99" s="1025"/>
      <c r="CP99" s="1025"/>
      <c r="CQ99" s="1025"/>
      <c r="CR99" s="1025"/>
      <c r="CS99" s="1025"/>
      <c r="CT99" s="1025"/>
      <c r="CU99" s="1025"/>
      <c r="CV99" s="1025"/>
      <c r="CW99" s="1066"/>
      <c r="CX99" s="1025"/>
      <c r="CY99" s="1025"/>
      <c r="CZ99" s="1025"/>
      <c r="DA99" s="1025"/>
      <c r="DB99" s="1025"/>
      <c r="DC99" s="1025"/>
      <c r="DD99" s="1025"/>
      <c r="DE99" s="1025"/>
      <c r="DF99" s="1025"/>
      <c r="DG99" s="1025"/>
      <c r="DH99" s="1025"/>
      <c r="DI99" s="1025"/>
      <c r="DJ99" s="1025"/>
      <c r="DK99" s="1025"/>
      <c r="DL99" s="1026"/>
      <c r="DM99" s="1026"/>
      <c r="DN99" s="1027"/>
      <c r="DO99" s="1027"/>
      <c r="DP99" s="1090"/>
      <c r="DQ99" s="1090"/>
      <c r="DR99" s="1029"/>
      <c r="DS99" s="1030"/>
      <c r="DT99" s="1026"/>
      <c r="DU99" s="1027"/>
      <c r="DV99" s="759"/>
      <c r="DW99" s="1091"/>
      <c r="DX99" s="1029"/>
      <c r="DY99" s="1029"/>
      <c r="DZ99" s="497"/>
      <c r="EB99" s="1091"/>
      <c r="EC99" s="1029"/>
      <c r="ED99" s="1026"/>
      <c r="EE99" s="497"/>
      <c r="EF99" s="510"/>
      <c r="EG99" s="1067"/>
      <c r="EH99" s="1025"/>
      <c r="EI99" s="1025"/>
      <c r="EJ99" s="1025"/>
      <c r="EK99" s="1025"/>
      <c r="EL99" s="1025"/>
      <c r="EM99" s="1025"/>
      <c r="EN99" s="1025"/>
      <c r="EO99" s="1025"/>
      <c r="EP99" s="1025"/>
      <c r="EQ99" s="1025"/>
      <c r="ER99" s="1025"/>
      <c r="ES99" s="1025"/>
      <c r="ET99" s="1025"/>
      <c r="EU99" s="1066"/>
      <c r="EV99" s="1030"/>
      <c r="EW99" s="1025"/>
      <c r="EX99" s="1025"/>
      <c r="EY99" s="1025"/>
      <c r="EZ99" s="1025"/>
      <c r="FA99" s="1025"/>
      <c r="FB99" s="1025">
        <v>-2</v>
      </c>
      <c r="FC99" s="1025"/>
      <c r="FD99" s="1025"/>
      <c r="FE99" s="1025"/>
      <c r="FF99" s="1025"/>
      <c r="FG99" s="1025">
        <v>-6</v>
      </c>
      <c r="FH99" s="1025"/>
      <c r="FI99" s="1025">
        <f>FK99-FB99</f>
        <v>-9</v>
      </c>
      <c r="FJ99" s="1025"/>
      <c r="FK99" s="1066">
        <v>-11</v>
      </c>
      <c r="FL99" s="1026"/>
      <c r="FM99" s="1027"/>
      <c r="FN99" s="1029"/>
      <c r="FO99" s="1029"/>
      <c r="FP99" s="1029"/>
      <c r="FQ99" s="1030"/>
      <c r="FR99" s="1030"/>
      <c r="FS99" s="1025">
        <v>-3</v>
      </c>
      <c r="FT99" s="1029"/>
      <c r="FU99" s="1029"/>
      <c r="FV99" s="1025">
        <f t="shared" si="226"/>
        <v>-2</v>
      </c>
      <c r="FW99" s="1029"/>
      <c r="FX99" s="1029"/>
      <c r="FY99" s="1025">
        <v>-5</v>
      </c>
      <c r="FZ99" s="1025">
        <v>-1</v>
      </c>
      <c r="GA99" s="1025">
        <f>FZ99+FY99</f>
        <v>-6</v>
      </c>
      <c r="GB99" s="1069">
        <f>GD99-GA99</f>
        <v>3</v>
      </c>
      <c r="GC99" s="1025">
        <f>GD99-FY99</f>
        <v>2</v>
      </c>
      <c r="GD99" s="1066">
        <v>-3</v>
      </c>
      <c r="GE99" s="1025"/>
      <c r="GF99" s="1025"/>
      <c r="GG99" s="1025"/>
      <c r="GH99" s="1029"/>
      <c r="GI99" s="1029"/>
      <c r="GJ99" s="1032"/>
      <c r="GK99" s="1029"/>
      <c r="GL99" s="1029">
        <v>1</v>
      </c>
      <c r="GM99" s="1029"/>
      <c r="GN99" s="1029"/>
      <c r="GO99" s="1029">
        <f t="shared" si="240"/>
        <v>2</v>
      </c>
      <c r="GP99" s="1029">
        <v>3</v>
      </c>
      <c r="GQ99" s="1029"/>
      <c r="GR99" s="1025">
        <v>1</v>
      </c>
      <c r="GS99" s="1025">
        <f>GR99+GP99</f>
        <v>4</v>
      </c>
      <c r="GT99" s="1069">
        <f>GU99-GR99</f>
        <v>2</v>
      </c>
      <c r="GU99" s="1025">
        <f>GV99-GP99</f>
        <v>3</v>
      </c>
      <c r="GV99" s="1066">
        <v>6</v>
      </c>
      <c r="GW99" s="1025"/>
      <c r="GX99" s="1029"/>
      <c r="GY99" s="1029"/>
      <c r="GZ99" s="1029"/>
      <c r="HA99" s="1032"/>
      <c r="HB99" s="1029"/>
      <c r="HC99" s="1029"/>
      <c r="HD99" s="1029">
        <v>-2</v>
      </c>
      <c r="HE99" s="1029">
        <v>-2</v>
      </c>
      <c r="HF99" s="1029">
        <f t="shared" si="241"/>
        <v>-5</v>
      </c>
      <c r="HG99" s="1029">
        <f t="shared" si="242"/>
        <v>-5</v>
      </c>
      <c r="HH99" s="1029">
        <f t="shared" si="243"/>
        <v>-5</v>
      </c>
      <c r="HI99" s="1029">
        <v>-7</v>
      </c>
      <c r="HJ99" s="1029"/>
      <c r="HK99" s="1029"/>
      <c r="HL99" s="1029">
        <v>-7</v>
      </c>
      <c r="HM99" s="1029">
        <v>-7</v>
      </c>
      <c r="HN99" s="1025">
        <v>-2</v>
      </c>
      <c r="HO99" s="1025">
        <v>-2</v>
      </c>
      <c r="HP99" s="1025">
        <f>HN99+HI99</f>
        <v>-9</v>
      </c>
      <c r="HQ99" s="1025">
        <f>HO99+HM99</f>
        <v>-9</v>
      </c>
      <c r="HR99" s="1025">
        <f>HT99-HN99</f>
        <v>-2</v>
      </c>
      <c r="HS99" s="1025"/>
      <c r="HT99" s="1025">
        <f>HV99-HI99</f>
        <v>-4</v>
      </c>
      <c r="HU99" s="1025">
        <f>HZ99-HM99</f>
        <v>-4</v>
      </c>
      <c r="HV99" s="1025">
        <v>-11</v>
      </c>
      <c r="HW99" s="1029"/>
      <c r="HX99" s="1029"/>
      <c r="HY99" s="1029"/>
      <c r="HZ99" s="1025">
        <v>-11</v>
      </c>
      <c r="IA99" s="1029"/>
      <c r="IB99" s="1029"/>
      <c r="IC99" s="1032"/>
      <c r="ID99" s="1029"/>
      <c r="IE99" s="1033">
        <v>-2.5</v>
      </c>
      <c r="IF99" s="1029">
        <f>IG99-IE99</f>
        <v>-3.5</v>
      </c>
      <c r="IG99" s="1070">
        <v>-6</v>
      </c>
      <c r="IH99" s="1074">
        <v>-10</v>
      </c>
      <c r="II99" s="1029"/>
      <c r="IJ99" s="1029">
        <f>IH99+IG99</f>
        <v>-16</v>
      </c>
      <c r="IK99" s="1029">
        <f t="shared" si="244"/>
        <v>0</v>
      </c>
      <c r="IL99" s="1029"/>
      <c r="IM99" s="1029">
        <f>IO99-IH99</f>
        <v>-10</v>
      </c>
      <c r="IN99" s="1029"/>
      <c r="IO99" s="1029">
        <f>IR99-IG99</f>
        <v>-20</v>
      </c>
      <c r="IP99" s="1030"/>
      <c r="IQ99" s="1029"/>
      <c r="IR99" s="1030">
        <v>-26</v>
      </c>
      <c r="IS99" s="1294"/>
      <c r="IT99" s="1029"/>
      <c r="IU99" s="1071">
        <v>-3.5</v>
      </c>
      <c r="IV99" s="1029">
        <f>IX99-IU99</f>
        <v>-2.5</v>
      </c>
      <c r="IW99" s="1029"/>
      <c r="IX99" s="1029">
        <v>-6</v>
      </c>
      <c r="IY99" s="1029"/>
      <c r="IZ99" s="1029"/>
      <c r="JA99" s="1029">
        <v>0</v>
      </c>
      <c r="JB99" s="1029"/>
      <c r="JC99" s="1029"/>
      <c r="JD99" s="1084">
        <v>2</v>
      </c>
      <c r="JE99" s="1029"/>
      <c r="JF99" s="1029"/>
      <c r="JG99" s="1029"/>
      <c r="JH99" s="1030"/>
      <c r="JI99" s="1294"/>
      <c r="JJ99" s="1804">
        <v>-2</v>
      </c>
      <c r="JK99" s="1805">
        <v>-2</v>
      </c>
      <c r="JL99" s="2242">
        <v>2</v>
      </c>
      <c r="JM99" s="1028">
        <f t="shared" si="252"/>
        <v>0</v>
      </c>
      <c r="JN99" s="1028">
        <f t="shared" si="253"/>
        <v>-2</v>
      </c>
      <c r="JO99" s="2242"/>
      <c r="JP99" s="2242">
        <v>2</v>
      </c>
      <c r="JQ99" s="2242"/>
      <c r="JR99" s="2242"/>
      <c r="JS99" s="2242"/>
      <c r="JT99" s="1805">
        <v>-3</v>
      </c>
      <c r="JU99" s="1805">
        <v>-3</v>
      </c>
      <c r="JV99" s="1029">
        <f>+JL99+JK99</f>
        <v>0</v>
      </c>
      <c r="JW99" s="1029">
        <f>+JN99+JU99</f>
        <v>-5</v>
      </c>
      <c r="JX99" s="1029">
        <f>+JP99+JW99</f>
        <v>-3</v>
      </c>
      <c r="JY99" s="1029">
        <f t="shared" si="255"/>
        <v>-1</v>
      </c>
      <c r="JZ99" s="1071"/>
      <c r="KA99" s="1072"/>
      <c r="KB99" s="1071">
        <f>+KC99-JL99</f>
        <v>-5</v>
      </c>
      <c r="KC99" s="1071">
        <v>-3</v>
      </c>
      <c r="KD99" s="1071">
        <f t="shared" si="256"/>
        <v>-3</v>
      </c>
      <c r="KE99" s="1071">
        <f>+KG99-JP99</f>
        <v>-2</v>
      </c>
      <c r="KF99" s="1071"/>
      <c r="KG99" s="1071">
        <v>0</v>
      </c>
      <c r="KH99" s="1084">
        <v>-6</v>
      </c>
      <c r="KI99" s="1072"/>
      <c r="KJ99" s="1071"/>
      <c r="KK99" s="1029"/>
      <c r="KL99" s="1029">
        <f>KM99-IX99</f>
        <v>3</v>
      </c>
      <c r="KM99" s="1071">
        <v>-3</v>
      </c>
      <c r="KN99" s="1071"/>
      <c r="KO99" s="1071">
        <v>-9</v>
      </c>
      <c r="KP99" s="1029">
        <v>0</v>
      </c>
      <c r="KQ99" s="1030">
        <v>-9</v>
      </c>
      <c r="KR99" s="1029">
        <v>-12</v>
      </c>
      <c r="KS99" s="1030">
        <v>-18</v>
      </c>
      <c r="KT99" s="1029">
        <f t="shared" si="246"/>
        <v>2.5</v>
      </c>
      <c r="KU99" s="1029">
        <v>0</v>
      </c>
      <c r="KV99" s="1029">
        <f t="shared" si="247"/>
        <v>-1</v>
      </c>
      <c r="KW99" s="1030">
        <v>-1</v>
      </c>
      <c r="KX99" s="1029">
        <f t="shared" si="248"/>
        <v>-4</v>
      </c>
      <c r="KY99" s="1029">
        <f>KZ99-HI99</f>
        <v>-6</v>
      </c>
      <c r="KZ99" s="1030">
        <v>-13</v>
      </c>
      <c r="LA99" s="1029">
        <v>0</v>
      </c>
      <c r="LB99" s="1029">
        <f t="shared" si="249"/>
        <v>0</v>
      </c>
      <c r="LC99" s="1030"/>
      <c r="LD99" s="1030">
        <f>LB99+LC99</f>
        <v>0</v>
      </c>
      <c r="LE99" s="1029">
        <v>3</v>
      </c>
      <c r="LF99" s="1029">
        <v>3</v>
      </c>
      <c r="LG99" s="1030">
        <v>6</v>
      </c>
    </row>
    <row r="100" spans="1:319" s="705" customFormat="1" ht="12">
      <c r="A100" s="510"/>
      <c r="B100" s="1064" t="s">
        <v>1274</v>
      </c>
      <c r="C100" s="1065" t="s">
        <v>1257</v>
      </c>
      <c r="D100" s="497"/>
      <c r="E100" s="510"/>
      <c r="F100" s="510"/>
      <c r="G100" s="699"/>
      <c r="H100" s="510"/>
      <c r="I100" s="510"/>
      <c r="J100" s="699"/>
      <c r="K100" s="584"/>
      <c r="L100" s="584"/>
      <c r="M100" s="584"/>
      <c r="N100" s="584"/>
      <c r="O100" s="584"/>
      <c r="P100" s="584"/>
      <c r="Q100" s="584"/>
      <c r="R100" s="584"/>
      <c r="S100" s="700"/>
      <c r="T100" s="584"/>
      <c r="U100" s="584"/>
      <c r="V100" s="584"/>
      <c r="W100" s="584"/>
      <c r="X100" s="584"/>
      <c r="Y100" s="584"/>
      <c r="Z100" s="584"/>
      <c r="AA100" s="584"/>
      <c r="AB100" s="700"/>
      <c r="AC100" s="584"/>
      <c r="AD100" s="584"/>
      <c r="AE100" s="584"/>
      <c r="AF100" s="584"/>
      <c r="AG100" s="584"/>
      <c r="AH100" s="584"/>
      <c r="AI100" s="584"/>
      <c r="AJ100" s="584"/>
      <c r="AK100" s="497"/>
      <c r="AL100" s="584"/>
      <c r="AM100" s="584"/>
      <c r="AN100" s="584"/>
      <c r="AO100" s="584"/>
      <c r="AP100" s="584"/>
      <c r="AQ100" s="584"/>
      <c r="AR100" s="584"/>
      <c r="AS100" s="584"/>
      <c r="AT100" s="497"/>
      <c r="AU100" s="584"/>
      <c r="AV100" s="584"/>
      <c r="AW100" s="584"/>
      <c r="AX100" s="584"/>
      <c r="AY100" s="584"/>
      <c r="AZ100" s="584"/>
      <c r="BA100" s="584"/>
      <c r="BB100" s="625"/>
      <c r="BC100" s="625"/>
      <c r="BD100" s="584"/>
      <c r="BE100" s="584"/>
      <c r="BF100" s="497"/>
      <c r="BG100" s="584"/>
      <c r="BH100" s="584"/>
      <c r="BI100" s="584"/>
      <c r="BJ100" s="497"/>
      <c r="BK100" s="510"/>
      <c r="BL100" s="510"/>
      <c r="BM100" s="510"/>
      <c r="BN100" s="510"/>
      <c r="BO100" s="497"/>
      <c r="BP100" s="584"/>
      <c r="BQ100" s="584"/>
      <c r="BR100" s="584"/>
      <c r="BS100" s="584"/>
      <c r="BT100" s="584"/>
      <c r="BU100" s="584"/>
      <c r="BV100" s="584"/>
      <c r="BW100" s="584"/>
      <c r="BY100" s="584"/>
      <c r="BZ100" s="584"/>
      <c r="CA100" s="584"/>
      <c r="CB100" s="584"/>
      <c r="CC100" s="584"/>
      <c r="CD100" s="584"/>
      <c r="CE100" s="584"/>
      <c r="CF100" s="497"/>
      <c r="CG100" s="714"/>
      <c r="CH100" s="510"/>
      <c r="CI100" s="510"/>
      <c r="CJ100" s="1025"/>
      <c r="CK100" s="1025"/>
      <c r="CL100" s="1025"/>
      <c r="CM100" s="1025"/>
      <c r="CN100" s="1025"/>
      <c r="CO100" s="1025"/>
      <c r="CP100" s="1025"/>
      <c r="CQ100" s="1025"/>
      <c r="CR100" s="1025"/>
      <c r="CS100" s="1025"/>
      <c r="CT100" s="1025"/>
      <c r="CU100" s="1025"/>
      <c r="CV100" s="1025"/>
      <c r="CW100" s="1066"/>
      <c r="CX100" s="1025"/>
      <c r="CY100" s="1025"/>
      <c r="CZ100" s="1025"/>
      <c r="DA100" s="1025"/>
      <c r="DB100" s="1025"/>
      <c r="DC100" s="1025"/>
      <c r="DD100" s="1025"/>
      <c r="DE100" s="1025"/>
      <c r="DF100" s="1025"/>
      <c r="DG100" s="1025"/>
      <c r="DH100" s="1025"/>
      <c r="DI100" s="1025"/>
      <c r="DJ100" s="1025"/>
      <c r="DK100" s="1025"/>
      <c r="DL100" s="1026"/>
      <c r="DM100" s="1026"/>
      <c r="DN100" s="1027"/>
      <c r="DO100" s="1027"/>
      <c r="DP100" s="1090"/>
      <c r="DQ100" s="1090"/>
      <c r="DR100" s="1029"/>
      <c r="DS100" s="1030"/>
      <c r="DT100" s="1026"/>
      <c r="DU100" s="1027"/>
      <c r="DV100" s="759"/>
      <c r="DW100" s="1091"/>
      <c r="DX100" s="1029"/>
      <c r="DY100" s="1029"/>
      <c r="DZ100" s="497"/>
      <c r="EB100" s="1091"/>
      <c r="EC100" s="1029"/>
      <c r="ED100" s="1026"/>
      <c r="EE100" s="497"/>
      <c r="EF100" s="510"/>
      <c r="EG100" s="1067"/>
      <c r="EH100" s="1025"/>
      <c r="EI100" s="1025"/>
      <c r="EJ100" s="1025"/>
      <c r="EK100" s="1025"/>
      <c r="EL100" s="1025"/>
      <c r="EM100" s="1025"/>
      <c r="EN100" s="1025"/>
      <c r="EO100" s="1025"/>
      <c r="EP100" s="1025"/>
      <c r="EQ100" s="1025"/>
      <c r="ER100" s="1025"/>
      <c r="ES100" s="1025"/>
      <c r="ET100" s="1025"/>
      <c r="EU100" s="1066"/>
      <c r="EV100" s="1030"/>
      <c r="EW100" s="1025"/>
      <c r="EX100" s="1025"/>
      <c r="EY100" s="1025"/>
      <c r="EZ100" s="1025"/>
      <c r="FA100" s="1025"/>
      <c r="FB100" s="1025"/>
      <c r="FC100" s="1025"/>
      <c r="FD100" s="1025"/>
      <c r="FE100" s="1025"/>
      <c r="FF100" s="1025"/>
      <c r="FG100" s="1025"/>
      <c r="FH100" s="1025"/>
      <c r="FI100" s="1025"/>
      <c r="FJ100" s="1025"/>
      <c r="FK100" s="1066">
        <v>-2</v>
      </c>
      <c r="FL100" s="1026"/>
      <c r="FM100" s="1027"/>
      <c r="FN100" s="1029"/>
      <c r="FO100" s="1029"/>
      <c r="FP100" s="1029"/>
      <c r="FQ100" s="1030"/>
      <c r="FR100" s="1030"/>
      <c r="FS100" s="1025"/>
      <c r="FT100" s="1029"/>
      <c r="FU100" s="1029"/>
      <c r="FV100" s="1025"/>
      <c r="FW100" s="1029"/>
      <c r="FX100" s="1029"/>
      <c r="FY100" s="1025">
        <v>0</v>
      </c>
      <c r="FZ100" s="1025">
        <v>0</v>
      </c>
      <c r="GA100" s="1025">
        <f>FZ100+FY100</f>
        <v>0</v>
      </c>
      <c r="GB100" s="1025">
        <f>GD100-GA100</f>
        <v>0</v>
      </c>
      <c r="GC100" s="1025">
        <f>GD100-FY100</f>
        <v>0</v>
      </c>
      <c r="GD100" s="1066">
        <v>0</v>
      </c>
      <c r="GE100" s="1025"/>
      <c r="GF100" s="1025"/>
      <c r="GG100" s="1025"/>
      <c r="GH100" s="1029"/>
      <c r="GI100" s="1029"/>
      <c r="GJ100" s="1032"/>
      <c r="GK100" s="1029"/>
      <c r="GL100" s="1029">
        <v>0</v>
      </c>
      <c r="GM100" s="1029"/>
      <c r="GN100" s="1029"/>
      <c r="GO100" s="1029">
        <f t="shared" si="240"/>
        <v>-1</v>
      </c>
      <c r="GP100" s="1029">
        <v>-1</v>
      </c>
      <c r="GQ100" s="1029"/>
      <c r="GR100" s="1025">
        <v>0</v>
      </c>
      <c r="GS100" s="1025">
        <f>GR100+GP100</f>
        <v>-1</v>
      </c>
      <c r="GT100" s="1025">
        <f>GU100-GR100</f>
        <v>0</v>
      </c>
      <c r="GU100" s="1025">
        <f>GV100-GP100</f>
        <v>0</v>
      </c>
      <c r="GV100" s="1066">
        <v>-1</v>
      </c>
      <c r="GW100" s="1025"/>
      <c r="GX100" s="1029"/>
      <c r="GY100" s="1029"/>
      <c r="GZ100" s="1029"/>
      <c r="HA100" s="1032"/>
      <c r="HB100" s="1029"/>
      <c r="HC100" s="1029"/>
      <c r="HD100" s="1029"/>
      <c r="HE100" s="1029"/>
      <c r="HF100" s="1029">
        <f t="shared" si="241"/>
        <v>2</v>
      </c>
      <c r="HG100" s="1029">
        <f t="shared" si="242"/>
        <v>2</v>
      </c>
      <c r="HH100" s="1029">
        <f t="shared" si="243"/>
        <v>2</v>
      </c>
      <c r="HI100" s="1029">
        <v>2</v>
      </c>
      <c r="HJ100" s="1029"/>
      <c r="HK100" s="1029"/>
      <c r="HL100" s="1029">
        <v>2</v>
      </c>
      <c r="HM100" s="1029">
        <v>2</v>
      </c>
      <c r="HN100" s="1025">
        <v>0</v>
      </c>
      <c r="HO100" s="1025">
        <v>0</v>
      </c>
      <c r="HP100" s="1025">
        <f>HN100+HI100</f>
        <v>2</v>
      </c>
      <c r="HQ100" s="1025">
        <f>HO100+HM100</f>
        <v>2</v>
      </c>
      <c r="HR100" s="1025">
        <f>HT100-HN100</f>
        <v>-2</v>
      </c>
      <c r="HS100" s="1025"/>
      <c r="HT100" s="1025">
        <f>HV100-HI100</f>
        <v>-2</v>
      </c>
      <c r="HU100" s="1025"/>
      <c r="HV100" s="1025">
        <v>0</v>
      </c>
      <c r="HW100" s="1029"/>
      <c r="HX100" s="1029"/>
      <c r="HY100" s="1029"/>
      <c r="HZ100" s="1025"/>
      <c r="IA100" s="1029"/>
      <c r="IB100" s="1029"/>
      <c r="IC100" s="1032"/>
      <c r="ID100" s="1029"/>
      <c r="IE100" s="1033">
        <v>-0.5</v>
      </c>
      <c r="IF100" s="1029">
        <f>IG100-IE100</f>
        <v>-1.5</v>
      </c>
      <c r="IG100" s="1070">
        <v>-2</v>
      </c>
      <c r="IH100" s="1029">
        <v>-1</v>
      </c>
      <c r="II100" s="1029"/>
      <c r="IJ100" s="1029">
        <f>IH100+IG100</f>
        <v>-3</v>
      </c>
      <c r="IK100" s="1029">
        <f t="shared" si="244"/>
        <v>0</v>
      </c>
      <c r="IL100" s="1029"/>
      <c r="IM100" s="1029">
        <f>IO100-IH100</f>
        <v>2</v>
      </c>
      <c r="IN100" s="1029"/>
      <c r="IO100" s="1029">
        <f>IR100-IG100</f>
        <v>1</v>
      </c>
      <c r="IP100" s="1030"/>
      <c r="IQ100" s="1029"/>
      <c r="IR100" s="1030">
        <v>-1</v>
      </c>
      <c r="IS100" s="1033"/>
      <c r="IT100" s="1029"/>
      <c r="IU100" s="1071">
        <v>-0.5</v>
      </c>
      <c r="IV100" s="1029">
        <f>IX100-IU100</f>
        <v>0.5</v>
      </c>
      <c r="IW100" s="1029"/>
      <c r="IX100" s="1029">
        <v>0</v>
      </c>
      <c r="IY100" s="1029"/>
      <c r="IZ100" s="1029"/>
      <c r="JA100" s="1029">
        <v>-1</v>
      </c>
      <c r="JB100" s="1029"/>
      <c r="JC100" s="1029"/>
      <c r="JD100" s="1084">
        <v>-3</v>
      </c>
      <c r="JE100" s="1029"/>
      <c r="JF100" s="1029"/>
      <c r="JG100" s="1029"/>
      <c r="JH100" s="1030"/>
      <c r="JI100" s="1033"/>
      <c r="JJ100" s="1804">
        <v>-2</v>
      </c>
      <c r="JK100" s="1805">
        <v>-2</v>
      </c>
      <c r="JL100" s="2242">
        <v>-2</v>
      </c>
      <c r="JM100" s="1028">
        <f t="shared" si="252"/>
        <v>-1</v>
      </c>
      <c r="JN100" s="1028">
        <f t="shared" si="253"/>
        <v>3</v>
      </c>
      <c r="JO100" s="2242"/>
      <c r="JP100" s="2242">
        <v>-3</v>
      </c>
      <c r="JQ100" s="2242"/>
      <c r="JR100" s="2242"/>
      <c r="JS100" s="2242"/>
      <c r="JT100" s="1805">
        <v>-1</v>
      </c>
      <c r="JU100" s="1090">
        <f>+JW100-JN100</f>
        <v>-2</v>
      </c>
      <c r="JV100" s="1029">
        <f>+JL100+JK100</f>
        <v>-4</v>
      </c>
      <c r="JW100" s="1029">
        <f>+JX100-JP100</f>
        <v>1</v>
      </c>
      <c r="JX100" s="1029">
        <f>+JX98-JX99</f>
        <v>-2</v>
      </c>
      <c r="JY100" s="1029">
        <f t="shared" si="255"/>
        <v>-4</v>
      </c>
      <c r="JZ100" s="1029"/>
      <c r="KA100" s="1030"/>
      <c r="KB100" s="1029">
        <f>+KC100-JL100</f>
        <v>-1</v>
      </c>
      <c r="KC100" s="1029">
        <v>-3</v>
      </c>
      <c r="KD100" s="1029">
        <f t="shared" si="256"/>
        <v>-7</v>
      </c>
      <c r="KE100" s="1029">
        <f>+KG100-JP100</f>
        <v>-7</v>
      </c>
      <c r="KF100" s="1029"/>
      <c r="KG100" s="1029">
        <v>-10</v>
      </c>
      <c r="KH100" s="1084">
        <v>-10</v>
      </c>
      <c r="KI100" s="1030"/>
      <c r="KJ100" s="1029"/>
      <c r="KK100" s="1029"/>
      <c r="KL100" s="1029">
        <f>KM100-IX100</f>
        <v>0</v>
      </c>
      <c r="KM100" s="1029">
        <v>0</v>
      </c>
      <c r="KN100" s="1029"/>
      <c r="KO100" s="1029"/>
      <c r="KP100" s="1029">
        <v>0</v>
      </c>
      <c r="KQ100" s="1030">
        <v>0</v>
      </c>
      <c r="KR100" s="1029">
        <v>0</v>
      </c>
      <c r="KS100" s="1030">
        <v>-2</v>
      </c>
      <c r="KT100" s="1029">
        <f t="shared" si="246"/>
        <v>-0.5</v>
      </c>
      <c r="KU100" s="1029">
        <v>-1</v>
      </c>
      <c r="KV100" s="1029">
        <f t="shared" si="247"/>
        <v>-1</v>
      </c>
      <c r="KW100" s="1030">
        <v>-2</v>
      </c>
      <c r="KX100" s="1029">
        <f t="shared" si="248"/>
        <v>-2</v>
      </c>
      <c r="KY100" s="1029">
        <f>KZ100-HI100</f>
        <v>-2</v>
      </c>
      <c r="KZ100" s="1030">
        <v>0</v>
      </c>
      <c r="LA100" s="1029">
        <v>-1</v>
      </c>
      <c r="LB100" s="1029">
        <f t="shared" si="249"/>
        <v>-2</v>
      </c>
      <c r="LC100" s="1030">
        <v>-3</v>
      </c>
      <c r="LD100" s="1030"/>
      <c r="LE100" s="1029">
        <v>0</v>
      </c>
      <c r="LF100" s="1029">
        <v>0</v>
      </c>
      <c r="LG100" s="1030">
        <v>-1</v>
      </c>
    </row>
    <row r="101" spans="1:319" s="705" customFormat="1" ht="12">
      <c r="A101" s="510"/>
      <c r="B101" s="1064" t="s">
        <v>196</v>
      </c>
      <c r="C101" s="1065" t="s">
        <v>1258</v>
      </c>
      <c r="D101" s="497"/>
      <c r="E101" s="510"/>
      <c r="F101" s="510"/>
      <c r="G101" s="699"/>
      <c r="H101" s="510"/>
      <c r="I101" s="510"/>
      <c r="J101" s="699"/>
      <c r="K101" s="584"/>
      <c r="L101" s="584"/>
      <c r="M101" s="584"/>
      <c r="N101" s="584"/>
      <c r="O101" s="584"/>
      <c r="P101" s="584"/>
      <c r="Q101" s="584"/>
      <c r="R101" s="584"/>
      <c r="S101" s="700"/>
      <c r="T101" s="584"/>
      <c r="U101" s="584"/>
      <c r="V101" s="584"/>
      <c r="W101" s="584"/>
      <c r="X101" s="584"/>
      <c r="Y101" s="584"/>
      <c r="Z101" s="584"/>
      <c r="AA101" s="584"/>
      <c r="AB101" s="700"/>
      <c r="AC101" s="584"/>
      <c r="AD101" s="584"/>
      <c r="AE101" s="584"/>
      <c r="AF101" s="584"/>
      <c r="AG101" s="584"/>
      <c r="AH101" s="584"/>
      <c r="AI101" s="584"/>
      <c r="AJ101" s="584"/>
      <c r="AK101" s="497"/>
      <c r="AL101" s="584"/>
      <c r="AM101" s="584"/>
      <c r="AN101" s="584"/>
      <c r="AO101" s="584"/>
      <c r="AP101" s="584"/>
      <c r="AQ101" s="584"/>
      <c r="AR101" s="584"/>
      <c r="AS101" s="584"/>
      <c r="AT101" s="497"/>
      <c r="AU101" s="584"/>
      <c r="AV101" s="584"/>
      <c r="AW101" s="584"/>
      <c r="AX101" s="584"/>
      <c r="AY101" s="584"/>
      <c r="AZ101" s="584"/>
      <c r="BA101" s="584"/>
      <c r="BB101" s="625"/>
      <c r="BC101" s="625"/>
      <c r="BD101" s="584"/>
      <c r="BE101" s="584"/>
      <c r="BF101" s="497"/>
      <c r="BG101" s="584"/>
      <c r="BH101" s="584"/>
      <c r="BI101" s="584"/>
      <c r="BJ101" s="497"/>
      <c r="BK101" s="510"/>
      <c r="BL101" s="510"/>
      <c r="BM101" s="510"/>
      <c r="BN101" s="510"/>
      <c r="BO101" s="497"/>
      <c r="BP101" s="584"/>
      <c r="BQ101" s="584"/>
      <c r="BR101" s="584"/>
      <c r="BS101" s="584"/>
      <c r="BT101" s="584"/>
      <c r="BU101" s="584"/>
      <c r="BV101" s="584"/>
      <c r="BW101" s="584"/>
      <c r="BY101" s="584"/>
      <c r="BZ101" s="584"/>
      <c r="CA101" s="584"/>
      <c r="CB101" s="584"/>
      <c r="CC101" s="584"/>
      <c r="CD101" s="584"/>
      <c r="CE101" s="584"/>
      <c r="CF101" s="497"/>
      <c r="CG101" s="714"/>
      <c r="CH101" s="510"/>
      <c r="CI101" s="510"/>
      <c r="CJ101" s="1025"/>
      <c r="CK101" s="1025"/>
      <c r="CL101" s="1025"/>
      <c r="CM101" s="1025"/>
      <c r="CN101" s="1025"/>
      <c r="CO101" s="1025"/>
      <c r="CP101" s="1025"/>
      <c r="CQ101" s="1025"/>
      <c r="CR101" s="1025"/>
      <c r="CS101" s="1025"/>
      <c r="CT101" s="1025"/>
      <c r="CU101" s="1025"/>
      <c r="CV101" s="1025"/>
      <c r="CW101" s="1066"/>
      <c r="CX101" s="1025"/>
      <c r="CY101" s="1025"/>
      <c r="CZ101" s="1025"/>
      <c r="DA101" s="1025"/>
      <c r="DB101" s="1025"/>
      <c r="DC101" s="1025"/>
      <c r="DD101" s="1025"/>
      <c r="DE101" s="1025"/>
      <c r="DF101" s="1025"/>
      <c r="DG101" s="1025"/>
      <c r="DH101" s="1025"/>
      <c r="DI101" s="1025"/>
      <c r="DJ101" s="1025"/>
      <c r="DK101" s="1025"/>
      <c r="DL101" s="1026"/>
      <c r="DM101" s="1026"/>
      <c r="DN101" s="1027"/>
      <c r="DO101" s="1027"/>
      <c r="DP101" s="1090"/>
      <c r="DQ101" s="1090"/>
      <c r="DR101" s="1029"/>
      <c r="DS101" s="1030"/>
      <c r="DT101" s="1026"/>
      <c r="DU101" s="1027"/>
      <c r="DV101" s="759"/>
      <c r="DW101" s="1091"/>
      <c r="DX101" s="1029"/>
      <c r="DY101" s="1029"/>
      <c r="DZ101" s="497"/>
      <c r="EB101" s="1091"/>
      <c r="EC101" s="1029"/>
      <c r="ED101" s="1026"/>
      <c r="EE101" s="497"/>
      <c r="EF101" s="510"/>
      <c r="EG101" s="1067"/>
      <c r="EH101" s="1025"/>
      <c r="EI101" s="1025"/>
      <c r="EJ101" s="1025"/>
      <c r="EK101" s="1025"/>
      <c r="EL101" s="1025"/>
      <c r="EM101" s="1025"/>
      <c r="EN101" s="1025"/>
      <c r="EO101" s="1025"/>
      <c r="EP101" s="1025"/>
      <c r="EQ101" s="1025"/>
      <c r="ER101" s="1025"/>
      <c r="ES101" s="1025"/>
      <c r="ET101" s="1025"/>
      <c r="EU101" s="1066"/>
      <c r="EV101" s="1030"/>
      <c r="EW101" s="1025"/>
      <c r="EX101" s="1025"/>
      <c r="EY101" s="1025"/>
      <c r="EZ101" s="1025"/>
      <c r="FA101" s="1025"/>
      <c r="FB101" s="1025"/>
      <c r="FC101" s="1025"/>
      <c r="FD101" s="1025"/>
      <c r="FE101" s="1025"/>
      <c r="FF101" s="1025"/>
      <c r="FG101" s="1025"/>
      <c r="FH101" s="1025"/>
      <c r="FI101" s="1025"/>
      <c r="FJ101" s="1025"/>
      <c r="FK101" s="1066">
        <v>-1</v>
      </c>
      <c r="FL101" s="1026"/>
      <c r="FM101" s="1027"/>
      <c r="FN101" s="1029"/>
      <c r="FO101" s="1029"/>
      <c r="FP101" s="1029"/>
      <c r="FQ101" s="1030"/>
      <c r="FR101" s="1030"/>
      <c r="FS101" s="1025"/>
      <c r="FT101" s="1029"/>
      <c r="FU101" s="1029"/>
      <c r="FV101" s="1025"/>
      <c r="FW101" s="1029"/>
      <c r="FX101" s="1029"/>
      <c r="FY101" s="1025">
        <v>0</v>
      </c>
      <c r="FZ101" s="1025">
        <v>1</v>
      </c>
      <c r="GA101" s="1025">
        <f>FZ101+FY101</f>
        <v>1</v>
      </c>
      <c r="GB101" s="1025">
        <f>GD101-GA101</f>
        <v>0</v>
      </c>
      <c r="GC101" s="1025">
        <f>GD101-FY101</f>
        <v>1</v>
      </c>
      <c r="GD101" s="1066">
        <v>1</v>
      </c>
      <c r="GE101" s="1025"/>
      <c r="GF101" s="1025"/>
      <c r="GG101" s="1025"/>
      <c r="GH101" s="1029"/>
      <c r="GI101" s="1029"/>
      <c r="GJ101" s="1032"/>
      <c r="GK101" s="1029"/>
      <c r="GL101" s="1029">
        <v>0</v>
      </c>
      <c r="GM101" s="1029"/>
      <c r="GN101" s="1029"/>
      <c r="GO101" s="1029">
        <f t="shared" si="240"/>
        <v>0</v>
      </c>
      <c r="GP101" s="1029">
        <v>0</v>
      </c>
      <c r="GQ101" s="1029"/>
      <c r="GR101" s="1025">
        <v>-1</v>
      </c>
      <c r="GS101" s="1025">
        <f>GR101+GP101</f>
        <v>-1</v>
      </c>
      <c r="GT101" s="1025">
        <f>GU101-GR101</f>
        <v>0</v>
      </c>
      <c r="GU101" s="1025">
        <f>GV101-GP101</f>
        <v>-1</v>
      </c>
      <c r="GV101" s="1066">
        <v>-1</v>
      </c>
      <c r="GW101" s="1025"/>
      <c r="GX101" s="1029"/>
      <c r="GY101" s="1029"/>
      <c r="GZ101" s="1029"/>
      <c r="HA101" s="1032"/>
      <c r="HB101" s="1029"/>
      <c r="HC101" s="1029"/>
      <c r="HD101" s="1029"/>
      <c r="HE101" s="1029"/>
      <c r="HF101" s="1029">
        <f t="shared" si="241"/>
        <v>0</v>
      </c>
      <c r="HG101" s="1029">
        <f t="shared" si="242"/>
        <v>0</v>
      </c>
      <c r="HH101" s="1029">
        <f t="shared" si="243"/>
        <v>0</v>
      </c>
      <c r="HI101" s="1029"/>
      <c r="HJ101" s="1029"/>
      <c r="HK101" s="1029"/>
      <c r="HL101" s="1029"/>
      <c r="HM101" s="1029"/>
      <c r="HN101" s="1025"/>
      <c r="HO101" s="1025"/>
      <c r="HP101" s="1025"/>
      <c r="HQ101" s="1025"/>
      <c r="HR101" s="1025">
        <f>HT101-HN101</f>
        <v>0</v>
      </c>
      <c r="HS101" s="1025"/>
      <c r="HT101" s="1025">
        <f>HV101-HI101</f>
        <v>0</v>
      </c>
      <c r="HU101" s="1025"/>
      <c r="HV101" s="1025">
        <v>0</v>
      </c>
      <c r="HW101" s="1029"/>
      <c r="HX101" s="1029"/>
      <c r="HY101" s="1029"/>
      <c r="HZ101" s="1025"/>
      <c r="IA101" s="1029"/>
      <c r="IB101" s="1029"/>
      <c r="IC101" s="1032"/>
      <c r="ID101" s="1029"/>
      <c r="IE101" s="1033"/>
      <c r="IF101" s="1029"/>
      <c r="IG101" s="1029"/>
      <c r="IH101" s="1029"/>
      <c r="II101" s="1029"/>
      <c r="IJ101" s="1029"/>
      <c r="IK101" s="1029">
        <f t="shared" si="244"/>
        <v>0</v>
      </c>
      <c r="IL101" s="1029"/>
      <c r="IM101" s="1029">
        <f>IO101-IH101</f>
        <v>0</v>
      </c>
      <c r="IN101" s="1029"/>
      <c r="IO101" s="1029">
        <f>IR101-IG101</f>
        <v>0</v>
      </c>
      <c r="IP101" s="1030"/>
      <c r="IQ101" s="1029"/>
      <c r="IR101" s="1030"/>
      <c r="IS101" s="1033"/>
      <c r="IT101" s="1029"/>
      <c r="IU101" s="1029"/>
      <c r="IV101" s="1029"/>
      <c r="IW101" s="1029"/>
      <c r="IX101" s="1029"/>
      <c r="IY101" s="1029"/>
      <c r="IZ101" s="1029"/>
      <c r="JA101" s="1029"/>
      <c r="JB101" s="1029"/>
      <c r="JC101" s="1029"/>
      <c r="JD101" s="1029"/>
      <c r="JE101" s="1029"/>
      <c r="JF101" s="1029"/>
      <c r="JG101" s="1029"/>
      <c r="JH101" s="1030"/>
      <c r="JI101" s="1033"/>
      <c r="JJ101" s="1033"/>
      <c r="JK101" s="1029"/>
      <c r="JL101" s="1029"/>
      <c r="JM101" s="1029"/>
      <c r="JN101" s="1029"/>
      <c r="JO101" s="1029"/>
      <c r="JP101" s="1029"/>
      <c r="JQ101" s="1029"/>
      <c r="JR101" s="1029"/>
      <c r="JS101" s="1029"/>
      <c r="JT101" s="1029"/>
      <c r="JU101" s="1029"/>
      <c r="JV101" s="1029"/>
      <c r="JW101" s="1029"/>
      <c r="JX101" s="1029">
        <f>+JX106+JX112+JX119+JX123</f>
        <v>2700</v>
      </c>
      <c r="JY101" s="1029">
        <f t="shared" si="255"/>
        <v>0</v>
      </c>
      <c r="JZ101" s="1029"/>
      <c r="KA101" s="1030"/>
      <c r="KB101" s="1029"/>
      <c r="KC101" s="1029"/>
      <c r="KD101" s="1029"/>
      <c r="KE101" s="1029"/>
      <c r="KF101" s="1029"/>
      <c r="KG101" s="1029"/>
      <c r="KH101" s="1029"/>
      <c r="KI101" s="1030"/>
      <c r="KJ101" s="1029"/>
      <c r="KK101" s="1029"/>
      <c r="KL101" s="1029"/>
      <c r="KM101" s="1029"/>
      <c r="KN101" s="1029"/>
      <c r="KO101" s="1029"/>
      <c r="KP101" s="1029"/>
      <c r="KQ101" s="1030"/>
      <c r="KR101" s="1029"/>
      <c r="KS101" s="1030"/>
      <c r="KT101" s="1029">
        <f t="shared" si="246"/>
        <v>-1</v>
      </c>
      <c r="KU101" s="1029">
        <v>-1</v>
      </c>
      <c r="KV101" s="1029">
        <f t="shared" si="247"/>
        <v>1</v>
      </c>
      <c r="KW101" s="1030">
        <v>0</v>
      </c>
      <c r="KX101" s="1029">
        <f t="shared" si="248"/>
        <v>0</v>
      </c>
      <c r="KY101" s="1029"/>
      <c r="KZ101" s="1030"/>
      <c r="LA101" s="1029">
        <v>0</v>
      </c>
      <c r="LB101" s="1029"/>
      <c r="LC101" s="1030"/>
      <c r="LD101" s="1030">
        <f>LB101+LC101</f>
        <v>0</v>
      </c>
      <c r="LE101" s="1029"/>
      <c r="LF101" s="1029"/>
      <c r="LG101" s="1030"/>
    </row>
    <row r="102" spans="1:319" s="532" customFormat="1">
      <c r="A102" s="520"/>
      <c r="B102" s="521" t="s">
        <v>1100</v>
      </c>
      <c r="C102" s="522" t="s">
        <v>431</v>
      </c>
      <c r="D102" s="523"/>
      <c r="E102" s="520"/>
      <c r="F102" s="520"/>
      <c r="G102" s="522"/>
      <c r="H102" s="520"/>
      <c r="I102" s="520"/>
      <c r="J102" s="522"/>
      <c r="K102" s="524"/>
      <c r="L102" s="524"/>
      <c r="M102" s="524"/>
      <c r="N102" s="524"/>
      <c r="O102" s="524"/>
      <c r="P102" s="524"/>
      <c r="Q102" s="524"/>
      <c r="R102" s="524"/>
      <c r="S102" s="525"/>
      <c r="T102" s="524">
        <v>2900</v>
      </c>
      <c r="U102" s="524">
        <f>+Y102-T102</f>
        <v>2544</v>
      </c>
      <c r="V102" s="524">
        <f>+X102-Y102</f>
        <v>5539</v>
      </c>
      <c r="W102" s="524">
        <f>+Z102-V102</f>
        <v>1367</v>
      </c>
      <c r="X102" s="524">
        <v>10983</v>
      </c>
      <c r="Y102" s="524">
        <v>5444</v>
      </c>
      <c r="Z102" s="524">
        <f>+AA102-Y102</f>
        <v>6906</v>
      </c>
      <c r="AA102" s="524">
        <v>12350</v>
      </c>
      <c r="AB102" s="525"/>
      <c r="AC102" s="524">
        <v>2752</v>
      </c>
      <c r="AD102" s="524">
        <f>+AH102-AC102</f>
        <v>1292</v>
      </c>
      <c r="AE102" s="524">
        <f>+AG102-AH102</f>
        <v>4969</v>
      </c>
      <c r="AF102" s="524">
        <f>+AI102-AE102</f>
        <v>2627</v>
      </c>
      <c r="AG102" s="524">
        <v>9013</v>
      </c>
      <c r="AH102" s="524">
        <v>4044</v>
      </c>
      <c r="AI102" s="524">
        <f>+AJ102-AH102</f>
        <v>7596</v>
      </c>
      <c r="AJ102" s="524">
        <v>11640</v>
      </c>
      <c r="AK102" s="523"/>
      <c r="AL102" s="524">
        <v>3463</v>
      </c>
      <c r="AM102" s="524">
        <f>+AQ102-AL102</f>
        <v>987</v>
      </c>
      <c r="AN102" s="524">
        <f>+AP102-AQ102</f>
        <v>3944</v>
      </c>
      <c r="AO102" s="524">
        <f>+AR102-AN102</f>
        <v>2312</v>
      </c>
      <c r="AP102" s="524">
        <v>8394</v>
      </c>
      <c r="AQ102" s="524">
        <v>4450</v>
      </c>
      <c r="AR102" s="524">
        <f>+AS102-AQ102</f>
        <v>6256</v>
      </c>
      <c r="AS102" s="524">
        <v>10706</v>
      </c>
      <c r="AT102" s="523"/>
      <c r="AU102" s="524">
        <v>2392</v>
      </c>
      <c r="AV102" s="524">
        <f>+BB102-AU102</f>
        <v>1629</v>
      </c>
      <c r="AW102" s="524">
        <f>+BA102-BB102</f>
        <v>5565</v>
      </c>
      <c r="AX102" s="524">
        <v>4479</v>
      </c>
      <c r="AY102" s="524">
        <f t="shared" si="173"/>
        <v>2436</v>
      </c>
      <c r="AZ102" s="524">
        <v>8500</v>
      </c>
      <c r="BA102" s="524">
        <v>9586</v>
      </c>
      <c r="BB102" s="526">
        <v>4021</v>
      </c>
      <c r="BC102" s="526">
        <f t="shared" si="172"/>
        <v>8001</v>
      </c>
      <c r="BD102" s="524">
        <v>12400</v>
      </c>
      <c r="BE102" s="524">
        <v>12022</v>
      </c>
      <c r="BF102" s="523"/>
      <c r="BG102" s="524">
        <f>+BH102-AW102</f>
        <v>-9586</v>
      </c>
      <c r="BH102" s="524">
        <f>+BI102-BB102</f>
        <v>-4021</v>
      </c>
      <c r="BI102" s="524"/>
      <c r="BJ102" s="523"/>
      <c r="BK102" s="520">
        <v>3600</v>
      </c>
      <c r="BL102" s="520">
        <v>6700</v>
      </c>
      <c r="BM102" s="520">
        <v>10300</v>
      </c>
      <c r="BN102" s="520"/>
      <c r="BO102" s="523"/>
      <c r="BP102" s="524">
        <v>3042</v>
      </c>
      <c r="BQ102" s="524">
        <v>3100</v>
      </c>
      <c r="BR102" s="524">
        <f>+BY102-BP102</f>
        <v>1423</v>
      </c>
      <c r="BS102" s="524">
        <v>5600</v>
      </c>
      <c r="BT102" s="526">
        <f t="shared" ref="BT102" si="257">+BX102-BY102</f>
        <v>5275</v>
      </c>
      <c r="BU102" s="526">
        <v>2460</v>
      </c>
      <c r="BV102" s="524">
        <f>CC102-BT102</f>
        <v>2402</v>
      </c>
      <c r="BW102" s="524">
        <v>10065</v>
      </c>
      <c r="BX102" s="524">
        <v>9740</v>
      </c>
      <c r="BY102" s="524">
        <v>4465</v>
      </c>
      <c r="BZ102" s="524">
        <v>4371</v>
      </c>
      <c r="CA102" s="524">
        <v>4371</v>
      </c>
      <c r="CB102" s="524">
        <v>7735</v>
      </c>
      <c r="CC102" s="524">
        <f>CE102-BY102</f>
        <v>7677</v>
      </c>
      <c r="CD102" s="524">
        <v>12200</v>
      </c>
      <c r="CE102" s="524">
        <v>12142</v>
      </c>
      <c r="CF102" s="523"/>
      <c r="CG102" s="527">
        <v>1570</v>
      </c>
      <c r="CH102" s="520">
        <v>1461</v>
      </c>
      <c r="CI102" s="520">
        <f>BQ102+CI105</f>
        <v>1466.5699999999993</v>
      </c>
      <c r="CJ102" s="520">
        <f t="shared" si="231"/>
        <v>1496</v>
      </c>
      <c r="CK102" s="520">
        <v>1223</v>
      </c>
      <c r="CL102" s="528">
        <f>CP102-CR102</f>
        <v>4448</v>
      </c>
      <c r="CM102" s="520">
        <v>4722.2780000000002</v>
      </c>
      <c r="CN102" s="520">
        <v>1886</v>
      </c>
      <c r="CO102" s="520">
        <f>CW102-CP102</f>
        <v>1694</v>
      </c>
      <c r="CP102" s="542">
        <v>7514</v>
      </c>
      <c r="CQ102" s="542">
        <v>7788.2780000000002</v>
      </c>
      <c r="CR102" s="520">
        <v>3066</v>
      </c>
      <c r="CS102" s="520">
        <v>2793</v>
      </c>
      <c r="CT102" s="520">
        <v>6334</v>
      </c>
      <c r="CU102" s="520">
        <f t="shared" si="218"/>
        <v>6142</v>
      </c>
      <c r="CV102" s="542">
        <v>9400</v>
      </c>
      <c r="CW102" s="992">
        <v>9208</v>
      </c>
      <c r="CX102" s="542"/>
      <c r="CY102" s="542">
        <v>2067</v>
      </c>
      <c r="CZ102" s="542">
        <f>+DB102-CY102</f>
        <v>1587</v>
      </c>
      <c r="DA102" s="542" t="e">
        <f>+CY102+#REF!</f>
        <v>#REF!</v>
      </c>
      <c r="DB102" s="542">
        <v>3654</v>
      </c>
      <c r="DC102" s="542">
        <f>+DG102-DB102</f>
        <v>4594</v>
      </c>
      <c r="DD102" s="542">
        <f>CL102+DD105</f>
        <v>4448</v>
      </c>
      <c r="DE102" s="542">
        <f t="shared" si="42"/>
        <v>1763</v>
      </c>
      <c r="DF102" s="542">
        <f>DJ102-DC102</f>
        <v>2652</v>
      </c>
      <c r="DG102" s="542">
        <v>8248</v>
      </c>
      <c r="DH102" s="542">
        <f>+DD102+DB102</f>
        <v>8102</v>
      </c>
      <c r="DI102" s="542">
        <f t="shared" si="224"/>
        <v>6357</v>
      </c>
      <c r="DJ102" s="542">
        <f>DL102-DB102</f>
        <v>7246</v>
      </c>
      <c r="DK102" s="542">
        <v>10011</v>
      </c>
      <c r="DL102" s="529">
        <v>10900</v>
      </c>
      <c r="DM102" s="529"/>
      <c r="DN102" s="524"/>
      <c r="DO102" s="524"/>
      <c r="DP102" s="530">
        <f>+DP105+CL102</f>
        <v>5048</v>
      </c>
      <c r="DQ102" s="530">
        <f t="shared" ref="DQ102:DQ106" si="258">+DR102-DC102</f>
        <v>2052</v>
      </c>
      <c r="DR102" s="530">
        <f>+DS102-DB102</f>
        <v>6646</v>
      </c>
      <c r="DS102" s="531">
        <v>10300</v>
      </c>
      <c r="DT102" s="529"/>
      <c r="DU102" s="524"/>
      <c r="DV102" s="524">
        <f>DW102-CY102</f>
        <v>833</v>
      </c>
      <c r="DW102" s="528">
        <v>2900</v>
      </c>
      <c r="DX102" s="530">
        <f>DY102-DB102</f>
        <v>6446</v>
      </c>
      <c r="DY102" s="530">
        <v>10100</v>
      </c>
      <c r="DZ102" s="523"/>
      <c r="EB102" s="528">
        <f>ED102-CP102</f>
        <v>3886</v>
      </c>
      <c r="EC102" s="530">
        <f>ED102-CR102</f>
        <v>8334</v>
      </c>
      <c r="ED102" s="529">
        <v>11400</v>
      </c>
      <c r="EE102" s="523"/>
      <c r="EF102" s="520"/>
      <c r="EG102" s="527">
        <v>2467</v>
      </c>
      <c r="EH102" s="520">
        <v>2600</v>
      </c>
      <c r="EI102" s="520">
        <f t="shared" si="177"/>
        <v>1366</v>
      </c>
      <c r="EJ102" s="520">
        <v>2000</v>
      </c>
      <c r="EK102" s="520">
        <v>3833</v>
      </c>
      <c r="EL102" s="520">
        <f>+EG102+EJ102</f>
        <v>4467</v>
      </c>
      <c r="EM102" s="520">
        <f>+EO102-EK102</f>
        <v>4660</v>
      </c>
      <c r="EN102" s="520">
        <v>4800</v>
      </c>
      <c r="EO102" s="520">
        <v>8493</v>
      </c>
      <c r="EP102" s="520">
        <f>+EN102+EK102</f>
        <v>8633</v>
      </c>
      <c r="EQ102" s="520">
        <f>+EU102-EO102</f>
        <v>1555</v>
      </c>
      <c r="ER102" s="520"/>
      <c r="ES102" s="520">
        <f>+EU102-EK102</f>
        <v>6215</v>
      </c>
      <c r="ET102" s="520"/>
      <c r="EU102" s="522">
        <v>10048</v>
      </c>
      <c r="EV102" s="533"/>
      <c r="EW102" s="520">
        <v>2174.9304599607904</v>
      </c>
      <c r="EX102" s="520">
        <v>1254</v>
      </c>
      <c r="EY102" s="520">
        <v>1241.1042961235785</v>
      </c>
      <c r="EZ102" s="520">
        <f t="shared" si="193"/>
        <v>912</v>
      </c>
      <c r="FA102" s="520">
        <v>2495.1042961235785</v>
      </c>
      <c r="FB102" s="520">
        <v>2166</v>
      </c>
      <c r="FC102" s="520">
        <f>+FE102-FB102</f>
        <v>4573</v>
      </c>
      <c r="FD102" s="1025">
        <v>7139.3252696007003</v>
      </c>
      <c r="FE102" s="520">
        <v>6739</v>
      </c>
      <c r="FF102" s="1092">
        <v>9305.3252696007003</v>
      </c>
      <c r="FG102" s="1092">
        <f t="shared" si="233"/>
        <v>1572</v>
      </c>
      <c r="FH102" s="520">
        <f>+FL102-FE102</f>
        <v>1572</v>
      </c>
      <c r="FI102" s="520">
        <f>FK102-FB102</f>
        <v>6145</v>
      </c>
      <c r="FJ102" s="520">
        <f>+FL102-FB102</f>
        <v>6145</v>
      </c>
      <c r="FK102" s="522">
        <v>8311</v>
      </c>
      <c r="FL102" s="529">
        <f>Segments!N39</f>
        <v>8311</v>
      </c>
      <c r="FM102" s="524">
        <f>+FN102-EX102</f>
        <v>2146</v>
      </c>
      <c r="FN102" s="530">
        <v>3400</v>
      </c>
      <c r="FO102" s="530">
        <f>+FQ102-FE102</f>
        <v>2261</v>
      </c>
      <c r="FP102" s="530">
        <f>+FQ102-FB102</f>
        <v>6834</v>
      </c>
      <c r="FQ102" s="531">
        <v>9000</v>
      </c>
      <c r="FR102" s="531"/>
      <c r="FS102" s="520">
        <v>1610</v>
      </c>
      <c r="FT102" s="530">
        <v>1500</v>
      </c>
      <c r="FU102" s="530">
        <v>1100</v>
      </c>
      <c r="FV102" s="597">
        <f>+FY102-FS102</f>
        <v>1161</v>
      </c>
      <c r="FW102" s="530">
        <f>FU102+FS102</f>
        <v>2710</v>
      </c>
      <c r="FX102" s="530"/>
      <c r="FY102" s="520">
        <v>2771</v>
      </c>
      <c r="FZ102" s="520">
        <f>+GA102-FY102</f>
        <v>4060</v>
      </c>
      <c r="GA102" s="520">
        <v>6831</v>
      </c>
      <c r="GB102" s="520">
        <f>+GD102-GA102</f>
        <v>1029</v>
      </c>
      <c r="GC102" s="520">
        <f>+GD102-FY102</f>
        <v>5089</v>
      </c>
      <c r="GD102" s="522">
        <v>7860</v>
      </c>
      <c r="GE102" s="520">
        <v>8500</v>
      </c>
      <c r="GF102" s="520">
        <v>4700</v>
      </c>
      <c r="GG102" s="520">
        <f>GH102-FZ102</f>
        <v>1029</v>
      </c>
      <c r="GH102" s="530">
        <f>GI102-FY102</f>
        <v>5089</v>
      </c>
      <c r="GI102" s="530">
        <f>Segments!O39</f>
        <v>7860</v>
      </c>
      <c r="GJ102" s="534"/>
      <c r="GK102" s="530">
        <v>1200</v>
      </c>
      <c r="GL102" s="530">
        <v>1417</v>
      </c>
      <c r="GM102" s="530">
        <v>1500</v>
      </c>
      <c r="GN102" s="530">
        <f>GL102+GM102</f>
        <v>2917</v>
      </c>
      <c r="GO102" s="530">
        <f>+GP102-GL102</f>
        <v>1708</v>
      </c>
      <c r="GP102" s="530">
        <v>3125</v>
      </c>
      <c r="GQ102" s="530">
        <v>5000</v>
      </c>
      <c r="GR102" s="520">
        <f>+GS102-GP102</f>
        <v>5521</v>
      </c>
      <c r="GS102" s="520">
        <v>8646</v>
      </c>
      <c r="GT102" s="520">
        <f>+GU102-GR102</f>
        <v>2438</v>
      </c>
      <c r="GU102" s="520">
        <f>+GV102-GP102</f>
        <v>7959</v>
      </c>
      <c r="GV102" s="522">
        <v>11084</v>
      </c>
      <c r="GW102" s="520">
        <v>10900</v>
      </c>
      <c r="GX102" s="530">
        <f>GY102-GR102</f>
        <v>2438</v>
      </c>
      <c r="GY102" s="530">
        <f>GZ102-GP102</f>
        <v>7959</v>
      </c>
      <c r="GZ102" s="530">
        <f>Segments!P39</f>
        <v>11084</v>
      </c>
      <c r="HA102" s="534"/>
      <c r="HB102" s="530"/>
      <c r="HC102" s="530"/>
      <c r="HD102" s="530">
        <v>3495</v>
      </c>
      <c r="HE102" s="530">
        <v>3495</v>
      </c>
      <c r="HF102" s="530">
        <f t="shared" si="241"/>
        <v>2543</v>
      </c>
      <c r="HG102" s="530">
        <f t="shared" si="242"/>
        <v>2543</v>
      </c>
      <c r="HH102" s="530">
        <f t="shared" si="243"/>
        <v>2543</v>
      </c>
      <c r="HI102" s="530">
        <v>6038</v>
      </c>
      <c r="HJ102" s="530">
        <f>HI105+GO102</f>
        <v>4621</v>
      </c>
      <c r="HK102" s="530">
        <f>HD102+HI102</f>
        <v>9533</v>
      </c>
      <c r="HL102" s="530">
        <v>6038</v>
      </c>
      <c r="HM102" s="530">
        <v>6038</v>
      </c>
      <c r="HN102" s="520">
        <f>+HP102-HI102</f>
        <v>5011</v>
      </c>
      <c r="HO102" s="520">
        <f>+HQ102-HM102</f>
        <v>5011</v>
      </c>
      <c r="HP102" s="520">
        <v>11049</v>
      </c>
      <c r="HQ102" s="535">
        <v>11049</v>
      </c>
      <c r="HR102" s="520">
        <f>+HT102-HN102</f>
        <v>2261</v>
      </c>
      <c r="HS102" s="520">
        <f>HU102-HO102</f>
        <v>2261</v>
      </c>
      <c r="HT102" s="520">
        <f>+HV102-HI102</f>
        <v>7272</v>
      </c>
      <c r="HU102" s="520">
        <f>HZ102-HM102</f>
        <v>7272</v>
      </c>
      <c r="HV102" s="520">
        <v>13310</v>
      </c>
      <c r="HW102" s="530">
        <f>HW105+GR102</f>
        <v>6221</v>
      </c>
      <c r="HX102" s="530">
        <f>HY102-HN102</f>
        <v>2261</v>
      </c>
      <c r="HY102" s="530">
        <f>IB102-HI102</f>
        <v>7272</v>
      </c>
      <c r="HZ102" s="520">
        <v>13310</v>
      </c>
      <c r="IA102" s="530">
        <v>13500</v>
      </c>
      <c r="IB102" s="530">
        <f>Segments!Q39</f>
        <v>13310</v>
      </c>
      <c r="IC102" s="534"/>
      <c r="ID102" s="530">
        <v>2000</v>
      </c>
      <c r="IE102" s="536">
        <v>2665</v>
      </c>
      <c r="IF102" s="530">
        <f>IG102-IE102</f>
        <v>2150</v>
      </c>
      <c r="IG102" s="537">
        <v>4815</v>
      </c>
      <c r="IH102" s="530">
        <f>+IJ102-IG102</f>
        <v>4565</v>
      </c>
      <c r="II102" s="538">
        <v>5000</v>
      </c>
      <c r="IJ102" s="538">
        <v>9380</v>
      </c>
      <c r="IK102" s="530">
        <f t="shared" si="244"/>
        <v>9380</v>
      </c>
      <c r="IL102" s="981">
        <f>IN102-IH102</f>
        <v>1469</v>
      </c>
      <c r="IM102" s="981">
        <f>+IO102-IH102</f>
        <v>1469</v>
      </c>
      <c r="IN102" s="530">
        <f>IP102-IG102</f>
        <v>6034</v>
      </c>
      <c r="IO102" s="530">
        <f>+IR102-IG102</f>
        <v>6034</v>
      </c>
      <c r="IP102" s="531">
        <f>Segments!S39</f>
        <v>10849</v>
      </c>
      <c r="IQ102" s="530">
        <v>11600</v>
      </c>
      <c r="IR102" s="539">
        <v>10849</v>
      </c>
      <c r="IS102" s="1283"/>
      <c r="IT102" s="530">
        <f>IE102+IT105</f>
        <v>1965</v>
      </c>
      <c r="IU102" s="540">
        <v>1300</v>
      </c>
      <c r="IV102" s="540">
        <f>IX102-IU102</f>
        <v>1369</v>
      </c>
      <c r="IW102" s="530">
        <v>1250</v>
      </c>
      <c r="IX102" s="530">
        <v>2669</v>
      </c>
      <c r="IY102" s="530">
        <v>2550</v>
      </c>
      <c r="IZ102" s="991">
        <f>JA102-IX102</f>
        <v>3880</v>
      </c>
      <c r="JA102" s="981">
        <v>6549</v>
      </c>
      <c r="JB102" s="981">
        <f>+JC102-IZ102</f>
        <v>159</v>
      </c>
      <c r="JC102" s="981">
        <f>+JD102-IX102</f>
        <v>4039</v>
      </c>
      <c r="JD102" s="981">
        <v>6708</v>
      </c>
      <c r="JE102" s="981">
        <v>5834</v>
      </c>
      <c r="JF102" s="981">
        <f>JG102-IZ102</f>
        <v>159</v>
      </c>
      <c r="JG102" s="1093">
        <f>JH102-IX102</f>
        <v>4039</v>
      </c>
      <c r="JH102" s="531">
        <f>Segments!T39</f>
        <v>6708</v>
      </c>
      <c r="JI102" s="1283"/>
      <c r="JJ102" s="530">
        <f>ROUND(IU102+JJ105,-2)</f>
        <v>1100</v>
      </c>
      <c r="JK102" s="530">
        <f>ROUND(IV102+JK105,-2)</f>
        <v>2100</v>
      </c>
      <c r="JL102" s="530">
        <v>1086</v>
      </c>
      <c r="JM102" s="981">
        <f t="shared" ref="JM102" si="259">+JP102-JL102</f>
        <v>1739</v>
      </c>
      <c r="JN102" s="1801">
        <f t="shared" ref="JN102" si="260">JS102-JP102</f>
        <v>5120</v>
      </c>
      <c r="JO102" s="530"/>
      <c r="JP102" s="530">
        <v>2825</v>
      </c>
      <c r="JQ102" s="530"/>
      <c r="JR102" s="530"/>
      <c r="JS102" s="530">
        <v>7945</v>
      </c>
      <c r="JT102" s="530">
        <f>ROUND(IZ102+JT105,-2)</f>
        <v>4700</v>
      </c>
      <c r="JU102" s="981">
        <f>+JW102-JN102</f>
        <v>1455</v>
      </c>
      <c r="JV102" s="1138">
        <f>+JL102+JK102</f>
        <v>3186</v>
      </c>
      <c r="JW102" s="1138">
        <f>+JX102-JP102</f>
        <v>6575</v>
      </c>
      <c r="JX102" s="1138">
        <f>+Driver!AL191</f>
        <v>9400</v>
      </c>
      <c r="JY102" s="1138">
        <f t="shared" si="255"/>
        <v>7525</v>
      </c>
      <c r="JZ102" s="899">
        <f>+JX102-KG102</f>
        <v>1400</v>
      </c>
      <c r="KA102" s="1271"/>
      <c r="KB102" s="540">
        <f>+KC102-JL102</f>
        <v>1614</v>
      </c>
      <c r="KC102" s="990">
        <v>2700</v>
      </c>
      <c r="KD102" s="990">
        <f t="shared" ref="KD102" si="261">+KH102-KC102</f>
        <v>5300</v>
      </c>
      <c r="KE102" s="990">
        <f>+KG102-JP102</f>
        <v>5175</v>
      </c>
      <c r="KF102" s="990"/>
      <c r="KG102" s="990">
        <v>8000</v>
      </c>
      <c r="KH102" s="540">
        <v>8000</v>
      </c>
      <c r="KI102" s="1271"/>
      <c r="KJ102" s="899"/>
      <c r="KK102" s="530"/>
      <c r="KL102" s="1094">
        <f>KM102-IX102</f>
        <v>5831</v>
      </c>
      <c r="KM102" s="993">
        <v>8500</v>
      </c>
      <c r="KN102" s="899"/>
      <c r="KO102" s="993">
        <v>3300</v>
      </c>
      <c r="KP102" s="530">
        <v>6200</v>
      </c>
      <c r="KQ102" s="531">
        <v>9500</v>
      </c>
      <c r="KR102" s="530">
        <v>6985</v>
      </c>
      <c r="KS102" s="531">
        <v>11800</v>
      </c>
      <c r="KT102" s="530">
        <f t="shared" si="246"/>
        <v>1935</v>
      </c>
      <c r="KU102" s="530">
        <v>4600</v>
      </c>
      <c r="KV102" s="530">
        <f t="shared" si="247"/>
        <v>7400</v>
      </c>
      <c r="KW102" s="531">
        <v>12000</v>
      </c>
      <c r="KX102" s="530">
        <f t="shared" si="248"/>
        <v>2751</v>
      </c>
      <c r="KY102" s="530">
        <f>KZ102-HI102</f>
        <v>7762</v>
      </c>
      <c r="KZ102" s="531">
        <v>13800</v>
      </c>
      <c r="LA102" s="530">
        <v>4000</v>
      </c>
      <c r="LB102" s="530">
        <f t="shared" si="249"/>
        <v>7300</v>
      </c>
      <c r="LC102" s="531">
        <v>11300</v>
      </c>
      <c r="LD102" s="531"/>
      <c r="LE102" s="530">
        <f>LF102-GR102</f>
        <v>1354</v>
      </c>
      <c r="LF102" s="530">
        <f>LG102-GP102</f>
        <v>6875</v>
      </c>
      <c r="LG102" s="531">
        <v>10000</v>
      </c>
    </row>
    <row r="103" spans="1:319" s="765" customFormat="1" ht="12">
      <c r="A103" s="180"/>
      <c r="B103" s="2360" t="s">
        <v>1443</v>
      </c>
      <c r="C103" s="1676" t="s">
        <v>1444</v>
      </c>
      <c r="D103" s="463"/>
      <c r="E103" s="180"/>
      <c r="F103" s="180"/>
      <c r="G103" s="596"/>
      <c r="H103" s="180"/>
      <c r="I103" s="180"/>
      <c r="J103" s="596"/>
      <c r="K103" s="759"/>
      <c r="L103" s="759"/>
      <c r="M103" s="759"/>
      <c r="N103" s="759"/>
      <c r="O103" s="759"/>
      <c r="P103" s="759"/>
      <c r="Q103" s="759"/>
      <c r="R103" s="759"/>
      <c r="S103" s="760"/>
      <c r="T103" s="759"/>
      <c r="U103" s="759"/>
      <c r="V103" s="759"/>
      <c r="W103" s="759"/>
      <c r="X103" s="759"/>
      <c r="Y103" s="759"/>
      <c r="Z103" s="759"/>
      <c r="AA103" s="759"/>
      <c r="AB103" s="760"/>
      <c r="AC103" s="759"/>
      <c r="AD103" s="759"/>
      <c r="AE103" s="759"/>
      <c r="AF103" s="759"/>
      <c r="AG103" s="759"/>
      <c r="AH103" s="759"/>
      <c r="AI103" s="759"/>
      <c r="AJ103" s="759"/>
      <c r="AK103" s="463"/>
      <c r="AL103" s="759"/>
      <c r="AM103" s="759"/>
      <c r="AN103" s="759"/>
      <c r="AO103" s="759"/>
      <c r="AP103" s="759"/>
      <c r="AQ103" s="759"/>
      <c r="AR103" s="759"/>
      <c r="AS103" s="759"/>
      <c r="AT103" s="463"/>
      <c r="AU103" s="609"/>
      <c r="AV103" s="609"/>
      <c r="AW103" s="609"/>
      <c r="AX103" s="609"/>
      <c r="AY103" s="609"/>
      <c r="AZ103" s="609"/>
      <c r="BA103" s="609"/>
      <c r="BB103" s="612"/>
      <c r="BC103" s="612"/>
      <c r="BD103" s="609"/>
      <c r="BE103" s="609"/>
      <c r="BF103" s="463"/>
      <c r="BG103" s="759"/>
      <c r="BH103" s="759"/>
      <c r="BI103" s="759"/>
      <c r="BJ103" s="463"/>
      <c r="BK103" s="180"/>
      <c r="BL103" s="180"/>
      <c r="BM103" s="180"/>
      <c r="BN103" s="180"/>
      <c r="BO103" s="463"/>
      <c r="BP103" s="609"/>
      <c r="BQ103" s="759"/>
      <c r="BR103" s="609"/>
      <c r="BS103" s="759"/>
      <c r="BT103" s="609"/>
      <c r="BU103" s="609"/>
      <c r="BV103" s="761"/>
      <c r="BW103" s="759"/>
      <c r="BX103" s="612"/>
      <c r="BY103" s="612"/>
      <c r="BZ103" s="759"/>
      <c r="CA103" s="759"/>
      <c r="CB103" s="761"/>
      <c r="CC103" s="761"/>
      <c r="CD103" s="761"/>
      <c r="CE103" s="761"/>
      <c r="CF103" s="463"/>
      <c r="CG103" s="762"/>
      <c r="CH103" s="763"/>
      <c r="CI103" s="763"/>
      <c r="CJ103" s="492"/>
      <c r="CK103" s="492"/>
      <c r="CL103" s="492"/>
      <c r="CM103" s="492"/>
      <c r="CN103" s="492"/>
      <c r="CO103" s="492"/>
      <c r="CP103" s="492"/>
      <c r="CQ103" s="180"/>
      <c r="CR103" s="764"/>
      <c r="CS103" s="180"/>
      <c r="CT103" s="618"/>
      <c r="CU103" s="618"/>
      <c r="CV103" s="702"/>
      <c r="CW103" s="703"/>
      <c r="CX103" s="492"/>
      <c r="CY103" s="492"/>
      <c r="CZ103" s="492"/>
      <c r="DA103" s="492"/>
      <c r="DB103" s="492"/>
      <c r="DC103" s="492"/>
      <c r="DD103" s="704"/>
      <c r="DE103" s="704"/>
      <c r="DF103" s="704"/>
      <c r="DG103" s="492"/>
      <c r="DH103" s="704"/>
      <c r="DI103" s="492"/>
      <c r="DJ103" s="492"/>
      <c r="DK103" s="492"/>
      <c r="DL103" s="494"/>
      <c r="DM103" s="494"/>
      <c r="DN103" s="612"/>
      <c r="DO103" s="612"/>
      <c r="DP103" s="503"/>
      <c r="DQ103" s="503"/>
      <c r="DR103" s="503"/>
      <c r="DS103" s="501"/>
      <c r="DT103" s="494"/>
      <c r="DU103" s="612"/>
      <c r="DV103" s="612"/>
      <c r="DW103" s="492"/>
      <c r="DX103" s="503"/>
      <c r="DY103" s="503"/>
      <c r="DZ103" s="463"/>
      <c r="EB103" s="492"/>
      <c r="EC103" s="503"/>
      <c r="ED103" s="626"/>
      <c r="EE103" s="463"/>
      <c r="EF103" s="180"/>
      <c r="EG103" s="701"/>
      <c r="EH103" s="618"/>
      <c r="EI103" s="618"/>
      <c r="EJ103" s="618"/>
      <c r="EK103" s="618"/>
      <c r="EL103" s="618"/>
      <c r="EM103" s="618"/>
      <c r="EN103" s="618"/>
      <c r="EO103" s="618"/>
      <c r="EP103" s="618"/>
      <c r="EQ103" s="618"/>
      <c r="ER103" s="618"/>
      <c r="ES103" s="618"/>
      <c r="ET103" s="618"/>
      <c r="EU103" s="620"/>
      <c r="EV103" s="501"/>
      <c r="EW103" s="482"/>
      <c r="EX103" s="482"/>
      <c r="EY103" s="482"/>
      <c r="EZ103" s="482"/>
      <c r="FA103" s="482"/>
      <c r="FB103" s="482"/>
      <c r="FC103" s="482"/>
      <c r="FD103" s="743"/>
      <c r="FE103" s="482"/>
      <c r="FF103" s="743"/>
      <c r="FG103" s="766"/>
      <c r="FH103" s="482"/>
      <c r="FI103" s="482"/>
      <c r="FJ103" s="482"/>
      <c r="FK103" s="620"/>
      <c r="FL103" s="494"/>
      <c r="FM103" s="612"/>
      <c r="FN103" s="503"/>
      <c r="FO103" s="624"/>
      <c r="FP103" s="624"/>
      <c r="FQ103" s="501"/>
      <c r="FR103" s="501"/>
      <c r="FS103" s="482"/>
      <c r="FT103" s="503"/>
      <c r="FU103" s="503"/>
      <c r="FV103" s="482"/>
      <c r="FW103" s="503"/>
      <c r="FX103" s="503"/>
      <c r="FY103" s="482"/>
      <c r="FZ103" s="482"/>
      <c r="GA103" s="482"/>
      <c r="GB103" s="482"/>
      <c r="GC103" s="482"/>
      <c r="GD103" s="483"/>
      <c r="GE103" s="482"/>
      <c r="GF103" s="482"/>
      <c r="GG103" s="482"/>
      <c r="GH103" s="503"/>
      <c r="GI103" s="503"/>
      <c r="GJ103" s="504"/>
      <c r="GK103" s="503"/>
      <c r="GL103" s="503"/>
      <c r="GM103" s="503"/>
      <c r="GN103" s="503"/>
      <c r="GO103" s="503"/>
      <c r="GP103" s="503"/>
      <c r="GQ103" s="503"/>
      <c r="GR103" s="482"/>
      <c r="GS103" s="482"/>
      <c r="GT103" s="661"/>
      <c r="GU103" s="482"/>
      <c r="GV103" s="483"/>
      <c r="GW103" s="482"/>
      <c r="GX103" s="503"/>
      <c r="GY103" s="503"/>
      <c r="GZ103" s="503"/>
      <c r="HA103" s="504"/>
      <c r="HB103" s="503"/>
      <c r="HC103" s="503"/>
      <c r="HD103" s="503"/>
      <c r="HE103" s="503"/>
      <c r="HF103" s="503"/>
      <c r="HG103" s="503"/>
      <c r="HH103" s="503"/>
      <c r="HI103" s="503"/>
      <c r="HJ103" s="503"/>
      <c r="HK103" s="503"/>
      <c r="HL103" s="503"/>
      <c r="HM103" s="503"/>
      <c r="HN103" s="482"/>
      <c r="HO103" s="482"/>
      <c r="HP103" s="482"/>
      <c r="HQ103" s="482"/>
      <c r="HR103" s="618"/>
      <c r="HS103" s="618"/>
      <c r="HT103" s="618"/>
      <c r="HU103" s="618"/>
      <c r="HV103" s="482"/>
      <c r="HW103" s="503"/>
      <c r="HX103" s="503"/>
      <c r="HY103" s="503"/>
      <c r="HZ103" s="482"/>
      <c r="IA103" s="503"/>
      <c r="IB103" s="503"/>
      <c r="IC103" s="504"/>
      <c r="ID103" s="503"/>
      <c r="IE103" s="506"/>
      <c r="IF103" s="503"/>
      <c r="IG103" s="503"/>
      <c r="IH103" s="503"/>
      <c r="II103" s="503"/>
      <c r="IJ103" s="503"/>
      <c r="IK103" s="503"/>
      <c r="IL103" s="503"/>
      <c r="IM103" s="503"/>
      <c r="IN103" s="503"/>
      <c r="IO103" s="503"/>
      <c r="IP103" s="501"/>
      <c r="IQ103" s="503"/>
      <c r="IR103" s="501"/>
      <c r="IS103" s="506"/>
      <c r="IT103" s="503"/>
      <c r="IU103" s="503"/>
      <c r="IV103" s="503"/>
      <c r="IW103" s="503"/>
      <c r="IX103" s="503"/>
      <c r="IY103" s="503"/>
      <c r="IZ103" s="503"/>
      <c r="JA103" s="503"/>
      <c r="JB103" s="503"/>
      <c r="JC103" s="503"/>
      <c r="JD103" s="503"/>
      <c r="JE103" s="503"/>
      <c r="JF103" s="503"/>
      <c r="JG103" s="503"/>
      <c r="JH103" s="501"/>
      <c r="JI103" s="506"/>
      <c r="JJ103" s="995">
        <f>+JJ102/IU102-1</f>
        <v>-0.15384615384615385</v>
      </c>
      <c r="JK103" s="495">
        <f>+JK102/IV102-1</f>
        <v>0.53396639883126373</v>
      </c>
      <c r="JL103" s="495">
        <f>+JL102/IU102-1</f>
        <v>-0.16461538461538461</v>
      </c>
      <c r="JM103" s="495">
        <f>+JM102/IV102-1</f>
        <v>0.27027027027027017</v>
      </c>
      <c r="JN103" s="495">
        <f>+JN102/IZ102-1</f>
        <v>0.31958762886597936</v>
      </c>
      <c r="JO103" s="495">
        <f>+JO102/JB102-1</f>
        <v>-1</v>
      </c>
      <c r="JP103" s="495">
        <f>+JP102/IX102-1</f>
        <v>5.8448857249906228E-2</v>
      </c>
      <c r="JQ103" s="495">
        <f>+JQ102/JC102-1</f>
        <v>-1</v>
      </c>
      <c r="JR103" s="495">
        <f>+JR102/JD102-1</f>
        <v>-1</v>
      </c>
      <c r="JS103" s="1670">
        <f>+JS104/JA104-1</f>
        <v>0.18723528492124886</v>
      </c>
      <c r="JT103" s="495">
        <f>+JT102/IZ102-1</f>
        <v>0.21134020618556693</v>
      </c>
      <c r="JU103" s="495">
        <f>+JU102/JB102-1</f>
        <v>8.1509433962264151</v>
      </c>
      <c r="JV103" s="1670">
        <f>+JV102/IX102-1</f>
        <v>0.19370550768077921</v>
      </c>
      <c r="JW103" s="1670">
        <f>+JW102/JC102-1</f>
        <v>0.6278781876702153</v>
      </c>
      <c r="JX103" s="1670">
        <f>+JX102/JD102-1</f>
        <v>0.40131186642814543</v>
      </c>
      <c r="JY103" s="1670">
        <f>+JY102/JA102-1</f>
        <v>0.14903038631852183</v>
      </c>
      <c r="JZ103" s="503"/>
      <c r="KA103" s="501"/>
      <c r="KB103" s="495"/>
      <c r="KC103" s="495"/>
      <c r="KD103" s="495"/>
      <c r="KE103" s="495"/>
      <c r="KF103" s="495"/>
      <c r="KG103" s="495"/>
      <c r="KH103" s="495"/>
      <c r="KI103" s="501"/>
      <c r="KJ103" s="503"/>
      <c r="KK103" s="503"/>
      <c r="KL103" s="503"/>
      <c r="KM103" s="495"/>
      <c r="KN103" s="503"/>
      <c r="KO103" s="495"/>
      <c r="KP103" s="495"/>
      <c r="KQ103" s="496"/>
      <c r="KR103" s="495"/>
      <c r="KS103" s="496"/>
      <c r="KT103" s="503"/>
      <c r="KU103" s="495"/>
      <c r="KV103" s="503"/>
      <c r="KW103" s="501"/>
      <c r="KX103" s="503"/>
      <c r="KY103" s="624"/>
      <c r="KZ103" s="501"/>
      <c r="LA103" s="495"/>
      <c r="LB103" s="503"/>
      <c r="LC103" s="501"/>
      <c r="LD103" s="501"/>
      <c r="LE103" s="624"/>
      <c r="LF103" s="624"/>
      <c r="LG103" s="501"/>
    </row>
    <row r="104" spans="1:319" s="1699" customFormat="1" ht="12">
      <c r="A104" s="712"/>
      <c r="B104" s="1692" t="s">
        <v>990</v>
      </c>
      <c r="C104" s="1693" t="s">
        <v>944</v>
      </c>
      <c r="D104" s="1020"/>
      <c r="E104" s="712"/>
      <c r="F104" s="712"/>
      <c r="G104" s="1693"/>
      <c r="H104" s="712"/>
      <c r="I104" s="712"/>
      <c r="J104" s="1693"/>
      <c r="K104" s="709"/>
      <c r="L104" s="709"/>
      <c r="M104" s="709"/>
      <c r="N104" s="709"/>
      <c r="O104" s="709"/>
      <c r="P104" s="709"/>
      <c r="Q104" s="709"/>
      <c r="R104" s="709"/>
      <c r="S104" s="1694"/>
      <c r="T104" s="1695">
        <f t="shared" ref="T104:AA104" si="262">+T102/T27</f>
        <v>0.13551401869158877</v>
      </c>
      <c r="U104" s="1695">
        <f t="shared" si="262"/>
        <v>0.12147256839994271</v>
      </c>
      <c r="V104" s="1695">
        <f t="shared" si="262"/>
        <v>0.17321825061763144</v>
      </c>
      <c r="W104" s="1695">
        <f t="shared" si="262"/>
        <v>6.0191096825326931E-2</v>
      </c>
      <c r="X104" s="1695">
        <f t="shared" si="262"/>
        <v>0.14777987082884822</v>
      </c>
      <c r="Y104" s="1695">
        <f t="shared" si="262"/>
        <v>0.1285690669059821</v>
      </c>
      <c r="Z104" s="1695">
        <f t="shared" si="262"/>
        <v>0.12627998829724985</v>
      </c>
      <c r="AA104" s="1695">
        <f t="shared" si="262"/>
        <v>0.12727891086353846</v>
      </c>
      <c r="AB104" s="1694"/>
      <c r="AC104" s="1695">
        <f t="shared" ref="AC104:AJ104" si="263">+AC102/AC27</f>
        <v>0.12144212523719165</v>
      </c>
      <c r="AD104" s="1695">
        <f t="shared" si="263"/>
        <v>6.3498304418341769E-2</v>
      </c>
      <c r="AE104" s="1695">
        <f t="shared" si="263"/>
        <v>0.15017075160929613</v>
      </c>
      <c r="AF104" s="1695">
        <f t="shared" si="263"/>
        <v>0.10238522098370878</v>
      </c>
      <c r="AG104" s="1695">
        <f t="shared" si="263"/>
        <v>0.11844093722485775</v>
      </c>
      <c r="AH104" s="1695">
        <f t="shared" si="263"/>
        <v>9.4029017857142863E-2</v>
      </c>
      <c r="AI104" s="1695">
        <f t="shared" si="263"/>
        <v>0.12930021958568097</v>
      </c>
      <c r="AJ104" s="1695">
        <f t="shared" si="263"/>
        <v>0.114392413149231</v>
      </c>
      <c r="AK104" s="1020"/>
      <c r="AL104" s="1695">
        <f t="shared" ref="AL104:AS104" si="264">+AL102/AL27</f>
        <v>0.14380632033553423</v>
      </c>
      <c r="AM104" s="1695">
        <f t="shared" si="264"/>
        <v>4.7040320274521021E-2</v>
      </c>
      <c r="AN104" s="1695">
        <f t="shared" si="264"/>
        <v>0.11315449720269689</v>
      </c>
      <c r="AO104" s="1695">
        <f t="shared" si="264"/>
        <v>8.6381468335512801E-2</v>
      </c>
      <c r="AP104" s="1695">
        <f t="shared" si="264"/>
        <v>0.10503265847493681</v>
      </c>
      <c r="AQ104" s="1695">
        <f t="shared" si="264"/>
        <v>9.8750637995694918E-2</v>
      </c>
      <c r="AR104" s="1695">
        <f t="shared" si="264"/>
        <v>0.10152547874066861</v>
      </c>
      <c r="AS104" s="1695">
        <f t="shared" si="264"/>
        <v>0.10035338338816868</v>
      </c>
      <c r="AT104" s="1020"/>
      <c r="AU104" s="1695">
        <f>+AU102/AU27</f>
        <v>9.5841012901674807E-2</v>
      </c>
      <c r="AV104" s="1695">
        <f>+AV102/AV27</f>
        <v>6.6995681677976551E-2</v>
      </c>
      <c r="AW104" s="1695">
        <f>+AW102/AW27</f>
        <v>0.14195342193199501</v>
      </c>
      <c r="AX104" s="1695">
        <v>0.12607312748050778</v>
      </c>
      <c r="AY104" s="1695">
        <f>+AY102/AY27</f>
        <v>8.547968278475683E-2</v>
      </c>
      <c r="AZ104" s="1695">
        <f>+AZ102/AZ27</f>
        <v>0.10023584905660378</v>
      </c>
      <c r="BA104" s="1695">
        <f>+BA102/BA27</f>
        <v>0.10834576608345767</v>
      </c>
      <c r="BB104" s="725">
        <f>+BB102/BB27</f>
        <v>8.1606559373287604E-2</v>
      </c>
      <c r="BC104" s="725">
        <f>+BC102/BC27</f>
        <v>0.11818141534098463</v>
      </c>
      <c r="BD104" s="1695">
        <v>0.10652920962199312</v>
      </c>
      <c r="BE104" s="1695">
        <f>+BE102/BE27</f>
        <v>0.10277497563561133</v>
      </c>
      <c r="BF104" s="1020"/>
      <c r="BG104" s="1695">
        <f>+BG102/BG27</f>
        <v>0.24452210290028825</v>
      </c>
      <c r="BH104" s="1695" t="e">
        <f>+BH102/BH27</f>
        <v>#DIV/0!</v>
      </c>
      <c r="BI104" s="1695"/>
      <c r="BJ104" s="1020"/>
      <c r="BK104" s="712">
        <v>7.5789473684210532E-2</v>
      </c>
      <c r="BL104" s="712">
        <v>0.10651828298887123</v>
      </c>
      <c r="BM104" s="712">
        <v>9.329710144927536E-2</v>
      </c>
      <c r="BN104" s="712"/>
      <c r="BO104" s="1020"/>
      <c r="BP104" s="1695">
        <f>+BP102/BP27</f>
        <v>0.10760523523169438</v>
      </c>
      <c r="BQ104" s="709"/>
      <c r="BR104" s="1695">
        <f>+BR102/BR27</f>
        <v>5.585210770076144E-2</v>
      </c>
      <c r="BS104" s="709"/>
      <c r="BT104" s="1695">
        <f>+BT102/BT27</f>
        <v>0.12799359425424017</v>
      </c>
      <c r="BU104" s="1695">
        <f>+BU102/BU27</f>
        <v>8.4713660938737556E-2</v>
      </c>
      <c r="BV104" s="1695">
        <f>+BV102/BV27</f>
        <v>8.0552667762165062E-2</v>
      </c>
      <c r="BW104" s="709"/>
      <c r="BX104" s="1695">
        <f>+BX102/BX27</f>
        <v>0.10256842282621287</v>
      </c>
      <c r="BY104" s="1695">
        <f>+BY102/BY27</f>
        <v>8.3072858524968374E-2</v>
      </c>
      <c r="BZ104" s="709"/>
      <c r="CA104" s="709"/>
      <c r="CB104" s="1758">
        <f>+CB102/CB27</f>
        <v>0.11010362694300518</v>
      </c>
      <c r="CC104" s="1695">
        <f>+CC102/CC27</f>
        <v>0.10807804932987949</v>
      </c>
      <c r="CD104" s="1695">
        <f>+CD102/CD27</f>
        <v>9.838709677419355E-2</v>
      </c>
      <c r="CE104" s="704">
        <f>+CE102/CE27</f>
        <v>9.7307260778970991E-2</v>
      </c>
      <c r="CF104" s="1020"/>
      <c r="CG104" s="785">
        <f>+CG102/CG27</f>
        <v>6.2694672949444932E-2</v>
      </c>
      <c r="CH104" s="748"/>
      <c r="CI104" s="748"/>
      <c r="CJ104" s="704">
        <f>+CJ102/CJ27</f>
        <v>5.7474355526528104E-2</v>
      </c>
      <c r="CK104" s="712">
        <v>4.7060978406591458E-2</v>
      </c>
      <c r="CL104" s="704">
        <f>+CL102/CL27</f>
        <v>0.10914533899344833</v>
      </c>
      <c r="CM104" s="704">
        <f>+CM102/CM27</f>
        <v>0.11233553281065417</v>
      </c>
      <c r="CN104" s="704">
        <v>7.2605481983369261E-2</v>
      </c>
      <c r="CO104" s="704">
        <f>+CO102/CO27</f>
        <v>6.6241739334454305E-2</v>
      </c>
      <c r="CP104" s="704">
        <f>+CP102/CP27</f>
        <v>8.1830458267990944E-2</v>
      </c>
      <c r="CQ104" s="712"/>
      <c r="CR104" s="704">
        <f>+CR102/CR27</f>
        <v>6.0034070215973838E-2</v>
      </c>
      <c r="CS104" s="704">
        <v>5.4732982216581919E-2</v>
      </c>
      <c r="CT104" s="704">
        <v>9.4921248632528585E-2</v>
      </c>
      <c r="CU104" s="704">
        <f>+CU102/CU27</f>
        <v>9.2603202364080456E-2</v>
      </c>
      <c r="CV104" s="704">
        <v>7.979626485568761E-2</v>
      </c>
      <c r="CW104" s="1696">
        <f>+CW102/CW27</f>
        <v>7.8434712982444185E-2</v>
      </c>
      <c r="CX104" s="704"/>
      <c r="CY104" s="704">
        <f t="shared" ref="CY104:DK104" si="265">+CY102/CY27</f>
        <v>7.7575530118221048E-2</v>
      </c>
      <c r="CZ104" s="704">
        <f t="shared" si="265"/>
        <v>5.8133997582329025E-2</v>
      </c>
      <c r="DA104" s="704" t="e">
        <f t="shared" si="265"/>
        <v>#REF!</v>
      </c>
      <c r="DB104" s="704">
        <f t="shared" si="265"/>
        <v>6.7736912353551837E-2</v>
      </c>
      <c r="DC104" s="704">
        <f t="shared" si="265"/>
        <v>0.11198595909611682</v>
      </c>
      <c r="DD104" s="704">
        <f t="shared" si="265"/>
        <v>0.10656699968854069</v>
      </c>
      <c r="DE104" s="704">
        <f t="shared" si="265"/>
        <v>6.0990797758250885E-2</v>
      </c>
      <c r="DF104" s="704">
        <f t="shared" si="265"/>
        <v>8.6011740667466668E-2</v>
      </c>
      <c r="DG104" s="704">
        <f t="shared" si="265"/>
        <v>8.6851222003432774E-2</v>
      </c>
      <c r="DH104" s="704">
        <f t="shared" si="265"/>
        <v>8.4675438688168223E-2</v>
      </c>
      <c r="DI104" s="704">
        <f t="shared" si="265"/>
        <v>9.0906490869310297E-2</v>
      </c>
      <c r="DJ104" s="704">
        <f t="shared" si="265"/>
        <v>0.10084057002894678</v>
      </c>
      <c r="DK104" s="704">
        <f t="shared" si="265"/>
        <v>8.081664285195321E-2</v>
      </c>
      <c r="DL104" s="1274">
        <v>8.6645468998410177E-2</v>
      </c>
      <c r="DM104" s="1274"/>
      <c r="DN104" s="662"/>
      <c r="DO104" s="662"/>
      <c r="DP104" s="1754"/>
      <c r="DQ104" s="662">
        <f>+DQ102/DQ27</f>
        <v>5.9079261797138169E-2</v>
      </c>
      <c r="DR104" s="662">
        <f>+DR102/DR27</f>
        <v>8.772902476371508E-2</v>
      </c>
      <c r="DS104" s="1274">
        <f>+DS102/DS27</f>
        <v>7.9414032382420965E-2</v>
      </c>
      <c r="DT104" s="1274"/>
      <c r="DU104" s="662"/>
      <c r="DV104" s="662"/>
      <c r="DW104" s="662">
        <f>+DW102/DW27</f>
        <v>5.4307116104868915E-2</v>
      </c>
      <c r="DX104" s="662">
        <f>+DX102/DX27</f>
        <v>9.1489724083115703E-2</v>
      </c>
      <c r="DY104" s="662">
        <f>+DY102/DY27</f>
        <v>8.118971061093247E-2</v>
      </c>
      <c r="DZ104" s="1020"/>
      <c r="EB104" s="662">
        <f>+EB102/EB27</f>
        <v>0.11505210800568451</v>
      </c>
      <c r="EC104" s="662">
        <f>+EC102/EC27</f>
        <v>0.11182224369037556</v>
      </c>
      <c r="ED104" s="1274">
        <f>+ED102/ED27</f>
        <v>9.0764331210191077E-2</v>
      </c>
      <c r="EE104" s="1020"/>
      <c r="EF104" s="712"/>
      <c r="EG104" s="785">
        <f t="shared" ref="EG104:EQ104" si="266">+EG102/EG27</f>
        <v>8.6120226209592962E-2</v>
      </c>
      <c r="EH104" s="704">
        <f t="shared" si="266"/>
        <v>9.0351188118123746E-2</v>
      </c>
      <c r="EI104" s="704">
        <f t="shared" si="266"/>
        <v>5.0841149322614264E-2</v>
      </c>
      <c r="EJ104" s="704">
        <f t="shared" si="266"/>
        <v>7.10875542753477E-2</v>
      </c>
      <c r="EK104" s="704">
        <f t="shared" si="266"/>
        <v>6.9045646143315195E-2</v>
      </c>
      <c r="EL104" s="704">
        <f t="shared" si="266"/>
        <v>7.8671624252910174E-2</v>
      </c>
      <c r="EM104" s="704">
        <f t="shared" si="266"/>
        <v>0.11342062989826218</v>
      </c>
      <c r="EN104" s="704">
        <f t="shared" si="266"/>
        <v>0.10834030774064413</v>
      </c>
      <c r="EO104" s="704">
        <f t="shared" si="266"/>
        <v>8.7919254658385099E-2</v>
      </c>
      <c r="EP104" s="704">
        <f t="shared" si="266"/>
        <v>8.6486679268162212E-2</v>
      </c>
      <c r="EQ104" s="704">
        <f t="shared" si="266"/>
        <v>5.2767314805388717E-2</v>
      </c>
      <c r="ER104" s="704"/>
      <c r="ES104" s="704">
        <f>+ES102/ES27</f>
        <v>8.8087307774076959E-2</v>
      </c>
      <c r="ET104" s="704"/>
      <c r="EU104" s="1696">
        <f>+EU102/EU27</f>
        <v>7.97023852017546E-2</v>
      </c>
      <c r="EV104" s="662"/>
      <c r="EW104" s="704">
        <v>7.3713013015280271E-2</v>
      </c>
      <c r="EX104" s="704">
        <f>+EX102/EX27</f>
        <v>4.3887586182759945E-2</v>
      </c>
      <c r="EY104" s="704">
        <v>4.4244123481123804E-2</v>
      </c>
      <c r="EZ104" s="704">
        <f>+EZ102/EZ27</f>
        <v>3.2725706903975887E-2</v>
      </c>
      <c r="FA104" s="704">
        <v>4.4064212315345616E-2</v>
      </c>
      <c r="FB104" s="704">
        <f>+FB102/FB27</f>
        <v>3.8376357612373985E-2</v>
      </c>
      <c r="FC104" s="704">
        <f>+FC102/FC27</f>
        <v>0.10795561850802644</v>
      </c>
      <c r="FD104" s="1759">
        <v>0.15535470067676424</v>
      </c>
      <c r="FE104" s="704">
        <f>+FE102/FE27</f>
        <v>6.8207811661825282E-2</v>
      </c>
      <c r="FF104" s="1760">
        <v>9.0875866924496077E-2</v>
      </c>
      <c r="FG104" s="704">
        <f t="shared" ref="FG104:FQ104" si="267">+FG102/FG27</f>
        <v>5.2040917668090179E-2</v>
      </c>
      <c r="FH104" s="704">
        <f t="shared" si="267"/>
        <v>5.1882900425756627E-2</v>
      </c>
      <c r="FI104" s="704">
        <f t="shared" si="267"/>
        <v>8.4680364352942794E-2</v>
      </c>
      <c r="FJ104" s="704">
        <f t="shared" si="267"/>
        <v>8.4573143038026946E-2</v>
      </c>
      <c r="FK104" s="1696">
        <f t="shared" si="267"/>
        <v>6.4422361403943945E-2</v>
      </c>
      <c r="FL104" s="704">
        <f t="shared" si="267"/>
        <v>6.4376452362509676E-2</v>
      </c>
      <c r="FM104" s="704">
        <f t="shared" si="267"/>
        <v>6.7215836126162803E-2</v>
      </c>
      <c r="FN104" s="704">
        <f t="shared" si="267"/>
        <v>5.6198347107438019E-2</v>
      </c>
      <c r="FO104" s="704">
        <f t="shared" si="267"/>
        <v>6.6113044241059682E-2</v>
      </c>
      <c r="FP104" s="704">
        <f t="shared" si="267"/>
        <v>8.9264488825611624E-2</v>
      </c>
      <c r="FQ104" s="1274">
        <f t="shared" si="267"/>
        <v>6.7669172932330823E-2</v>
      </c>
      <c r="FR104" s="1274"/>
      <c r="FS104" s="704">
        <f>+FS102/FS27</f>
        <v>5.5477068329830126E-2</v>
      </c>
      <c r="FT104" s="662"/>
      <c r="FU104" s="704">
        <f>+FU102/FU27</f>
        <v>3.8697838831240831E-2</v>
      </c>
      <c r="FV104" s="704">
        <f>+FV102/FV27</f>
        <v>4.1296151383652273E-2</v>
      </c>
      <c r="FW104" s="704">
        <f>+FW102/FW27</f>
        <v>4.7174442384164982E-2</v>
      </c>
      <c r="FX104" s="662"/>
      <c r="FY104" s="704">
        <f t="shared" ref="FY104:GD104" si="268">+FY102/FY27</f>
        <v>4.8499168635687408E-2</v>
      </c>
      <c r="FZ104" s="704">
        <f t="shared" si="268"/>
        <v>9.8505434782608689E-2</v>
      </c>
      <c r="GA104" s="704">
        <f t="shared" si="268"/>
        <v>6.9455318197069682E-2</v>
      </c>
      <c r="GB104" s="704">
        <f t="shared" si="268"/>
        <v>3.5216810979157395E-2</v>
      </c>
      <c r="GC104" s="704">
        <f t="shared" si="268"/>
        <v>7.2251011570951942E-2</v>
      </c>
      <c r="GD104" s="1696">
        <f t="shared" si="268"/>
        <v>6.161323195108568E-2</v>
      </c>
      <c r="GE104" s="704">
        <v>6.4984709480122319E-2</v>
      </c>
      <c r="GF104" s="704"/>
      <c r="GG104" s="704"/>
      <c r="GH104" s="704">
        <f>+GH102/GH27</f>
        <v>7.2251011570951942E-2</v>
      </c>
      <c r="GI104" s="704">
        <f>+GI102/GI27</f>
        <v>6.161323195108568E-2</v>
      </c>
      <c r="GJ104" s="1761"/>
      <c r="GK104" s="704">
        <f t="shared" ref="GK104:GV104" si="269">+GK102/GK27</f>
        <v>4.073829329975593E-2</v>
      </c>
      <c r="GL104" s="704">
        <f t="shared" si="269"/>
        <v>4.826951900803924E-2</v>
      </c>
      <c r="GM104" s="704">
        <f t="shared" si="269"/>
        <v>5.130211610968529E-2</v>
      </c>
      <c r="GN104" s="704">
        <f t="shared" si="269"/>
        <v>4.9782778469537103E-2</v>
      </c>
      <c r="GO104" s="704">
        <f t="shared" si="269"/>
        <v>6.0601759863752484E-2</v>
      </c>
      <c r="GP104" s="704">
        <f t="shared" si="269"/>
        <v>5.4310045185957598E-2</v>
      </c>
      <c r="GQ104" s="704">
        <f t="shared" si="269"/>
        <v>0.11363636363636363</v>
      </c>
      <c r="GR104" s="704">
        <f t="shared" si="269"/>
        <v>0.12827304198322528</v>
      </c>
      <c r="GS104" s="704">
        <f t="shared" si="269"/>
        <v>8.5960569093566377E-2</v>
      </c>
      <c r="GT104" s="704">
        <f t="shared" si="269"/>
        <v>7.4508725283457103E-2</v>
      </c>
      <c r="GU104" s="704">
        <f t="shared" si="269"/>
        <v>0.10505266492436842</v>
      </c>
      <c r="GV104" s="1696">
        <f t="shared" si="269"/>
        <v>8.3149540141933348E-2</v>
      </c>
      <c r="GW104" s="704">
        <v>8.1831831831831833E-2</v>
      </c>
      <c r="GX104" s="704">
        <f>+GX102/GX27</f>
        <v>7.4508725283457103E-2</v>
      </c>
      <c r="GY104" s="704">
        <f>+GY102/GY27</f>
        <v>0.10505266492436842</v>
      </c>
      <c r="GZ104" s="704">
        <f>+GZ102/GZ27</f>
        <v>8.3149540141933348E-2</v>
      </c>
      <c r="HA104" s="1689"/>
      <c r="HB104" s="704">
        <f>+HB102/HB27</f>
        <v>0</v>
      </c>
      <c r="HC104" s="704"/>
      <c r="HD104" s="704">
        <f t="shared" ref="HD104:HI104" si="270">+HD102/HD27</f>
        <v>0.1129423170140572</v>
      </c>
      <c r="HE104" s="704">
        <f t="shared" si="270"/>
        <v>0.1548858852204742</v>
      </c>
      <c r="HF104" s="704">
        <f t="shared" si="270"/>
        <v>8.747248211337369E-2</v>
      </c>
      <c r="HG104" s="704">
        <f t="shared" si="270"/>
        <v>0.11841453577383569</v>
      </c>
      <c r="HH104" s="704">
        <f t="shared" si="270"/>
        <v>0.11946258279701226</v>
      </c>
      <c r="HI104" s="704">
        <f t="shared" si="270"/>
        <v>0.10060482863188763</v>
      </c>
      <c r="HJ104" s="704">
        <f>+HI102/HI27</f>
        <v>0.10060482863188763</v>
      </c>
      <c r="HK104" s="704">
        <f t="shared" ref="HK104:HR104" si="271">+HK102/HK27</f>
        <v>0.10480200523295442</v>
      </c>
      <c r="HL104" s="704">
        <f t="shared" si="271"/>
        <v>0.13710137614678899</v>
      </c>
      <c r="HM104" s="704">
        <f t="shared" si="271"/>
        <v>0.13769041320806349</v>
      </c>
      <c r="HN104" s="704">
        <f t="shared" si="271"/>
        <v>0.11858670957970466</v>
      </c>
      <c r="HO104" s="704">
        <f t="shared" si="271"/>
        <v>0.16689425478767694</v>
      </c>
      <c r="HP104" s="704">
        <f t="shared" si="271"/>
        <v>0.10803437857499047</v>
      </c>
      <c r="HQ104" s="704">
        <f t="shared" si="271"/>
        <v>0.14955940279112578</v>
      </c>
      <c r="HR104" s="704">
        <f t="shared" si="271"/>
        <v>7.2577279876737399E-2</v>
      </c>
      <c r="HS104" s="704"/>
      <c r="HT104" s="704">
        <f t="shared" ref="HT104:HZ104" si="272">+HT102/HT27</f>
        <v>9.906142298628233E-2</v>
      </c>
      <c r="HU104" s="704">
        <f t="shared" si="272"/>
        <v>0.13998613998613998</v>
      </c>
      <c r="HV104" s="704">
        <f t="shared" si="272"/>
        <v>9.9755669809482403E-2</v>
      </c>
      <c r="HW104" s="704">
        <f t="shared" si="272"/>
        <v>0.13897750445460769</v>
      </c>
      <c r="HX104" s="704">
        <f t="shared" si="272"/>
        <v>7.2577279876737399E-2</v>
      </c>
      <c r="HY104" s="704">
        <f t="shared" si="272"/>
        <v>9.906142298628233E-2</v>
      </c>
      <c r="HZ104" s="704">
        <f t="shared" si="272"/>
        <v>0.13893528183716075</v>
      </c>
      <c r="IA104" s="704">
        <v>0.10014836795252226</v>
      </c>
      <c r="IB104" s="704">
        <f>+IB102/IB27</f>
        <v>9.9755669809482403E-2</v>
      </c>
      <c r="IC104" s="1689"/>
      <c r="ID104" s="704">
        <f>+ID102/ID27</f>
        <v>8.3769633507853408E-2</v>
      </c>
      <c r="IE104" s="785">
        <f>+IE102/IE27</f>
        <v>0.12609415661225457</v>
      </c>
      <c r="IF104" s="704">
        <f>+IF102/IF27</f>
        <v>9.8335162824734729E-2</v>
      </c>
      <c r="IG104" s="704">
        <f>+IG102/IG27</f>
        <v>0.11197934835693853</v>
      </c>
      <c r="IH104" s="704">
        <f>+IH102/IH27</f>
        <v>0.15226309996331008</v>
      </c>
      <c r="II104" s="704"/>
      <c r="IJ104" s="704">
        <f>+IJ102/IJ27</f>
        <v>0.12852836393532474</v>
      </c>
      <c r="IK104" s="1762">
        <f>+IK102/IK27</f>
        <v>0.12852836393532474</v>
      </c>
      <c r="IL104" s="704"/>
      <c r="IM104" s="1762">
        <f>+IM102/IM27</f>
        <v>6.5230905861456481E-2</v>
      </c>
      <c r="IN104" s="1762">
        <f>+IN102/IN27</f>
        <v>0.1149311441686825</v>
      </c>
      <c r="IO104" s="1762">
        <f>+IO102/IO27</f>
        <v>0.1149311441686825</v>
      </c>
      <c r="IP104" s="1696">
        <f>+IP102/IP27</f>
        <v>0.1136020942408377</v>
      </c>
      <c r="IQ104" s="704">
        <v>0.12070759625390219</v>
      </c>
      <c r="IR104" s="1763">
        <f>+IR102/IR27</f>
        <v>0.1136020942408377</v>
      </c>
      <c r="IS104" s="1764"/>
      <c r="IT104" s="1762">
        <f>+IT102/IT27</f>
        <v>8.7711075699345165E-2</v>
      </c>
      <c r="IU104" s="1762">
        <f>+IU102/IU27</f>
        <v>5.9907834101382486E-2</v>
      </c>
      <c r="IV104" s="1762">
        <f>+IV102/IV27</f>
        <v>6.3641857654223422E-2</v>
      </c>
      <c r="IW104" s="1762">
        <v>5.3935477635330582E-2</v>
      </c>
      <c r="IX104" s="1762">
        <f>+IX102/IX27</f>
        <v>6.1766679780611421E-2</v>
      </c>
      <c r="IY104" s="1762">
        <v>5.6823448875831635E-2</v>
      </c>
      <c r="IZ104" s="1762">
        <f t="shared" ref="IZ104:JE104" si="273">+IZ102/IZ27</f>
        <v>0.12345286200642719</v>
      </c>
      <c r="JA104" s="1762">
        <f t="shared" si="273"/>
        <v>8.77411575562701E-2</v>
      </c>
      <c r="JB104" s="1762">
        <f t="shared" si="273"/>
        <v>6.914546640574038E-3</v>
      </c>
      <c r="JC104" s="1762">
        <f t="shared" si="273"/>
        <v>7.4213582243128032E-2</v>
      </c>
      <c r="JD104" s="1762">
        <f t="shared" si="273"/>
        <v>6.8704870179751118E-2</v>
      </c>
      <c r="JE104" s="1762">
        <f t="shared" si="273"/>
        <v>7.8087564080255925E-2</v>
      </c>
      <c r="JF104" s="1762"/>
      <c r="JG104" s="1762">
        <f>+JG102/JG27</f>
        <v>7.4213582243128032E-2</v>
      </c>
      <c r="JH104" s="1763">
        <f>+JH102/JH27</f>
        <v>6.8704870179751118E-2</v>
      </c>
      <c r="JI104" s="1764"/>
      <c r="JJ104" s="1764">
        <f t="shared" ref="JJ104:JY104" si="274">+JJ102/JJ27</f>
        <v>5.0228310502283102E-2</v>
      </c>
      <c r="JK104" s="1762">
        <f t="shared" si="274"/>
        <v>9.45945945945946E-2</v>
      </c>
      <c r="JL104" s="1762">
        <f t="shared" si="274"/>
        <v>4.9388330528900813E-2</v>
      </c>
      <c r="JM104" s="1762">
        <f t="shared" si="274"/>
        <v>7.9979763602078827E-2</v>
      </c>
      <c r="JN104" s="1762">
        <f t="shared" si="274"/>
        <v>0.15735447784129325</v>
      </c>
      <c r="JO104" s="1762" t="e">
        <f t="shared" si="274"/>
        <v>#DIV/0!</v>
      </c>
      <c r="JP104" s="1762">
        <f t="shared" si="274"/>
        <v>6.459800603676942E-2</v>
      </c>
      <c r="JQ104" s="1762" t="e">
        <f t="shared" si="274"/>
        <v>#DIV/0!</v>
      </c>
      <c r="JR104" s="1762" t="e">
        <f t="shared" si="274"/>
        <v>#DIV/0!</v>
      </c>
      <c r="JS104" s="1762">
        <f t="shared" si="274"/>
        <v>0.10416939819063852</v>
      </c>
      <c r="JT104" s="1762">
        <f t="shared" si="274"/>
        <v>0.14873417721518986</v>
      </c>
      <c r="JU104" s="1762">
        <f t="shared" si="274"/>
        <v>6.0298383754662246E-2</v>
      </c>
      <c r="JV104" s="1762">
        <f t="shared" si="274"/>
        <v>7.2099391251216366E-2</v>
      </c>
      <c r="JW104" s="1762">
        <f t="shared" si="274"/>
        <v>0.11602668172513587</v>
      </c>
      <c r="JX104" s="1762">
        <f t="shared" si="274"/>
        <v>9.3625498007968128E-2</v>
      </c>
      <c r="JY104" s="1762">
        <f t="shared" si="274"/>
        <v>9.9891148515902931E-2</v>
      </c>
      <c r="JZ104" s="1762"/>
      <c r="KA104" s="1763"/>
      <c r="KB104" s="1762"/>
      <c r="KC104" s="1762">
        <f>+KC102/KC27</f>
        <v>6.2790697674418611E-2</v>
      </c>
      <c r="KD104" s="1762">
        <f>+KD102/KD27</f>
        <v>9.2982456140350875E-2</v>
      </c>
      <c r="KE104" s="1762">
        <f>+KE102/KE27</f>
        <v>9.1970569417786308E-2</v>
      </c>
      <c r="KF104" s="1762"/>
      <c r="KG104" s="1762"/>
      <c r="KH104" s="1762">
        <f>+KH102/KH27</f>
        <v>0.08</v>
      </c>
      <c r="KI104" s="1763"/>
      <c r="KJ104" s="1762"/>
      <c r="KK104" s="1762"/>
      <c r="KL104" s="1762">
        <f>+KL102/KL27</f>
        <v>0.10267833559316064</v>
      </c>
      <c r="KM104" s="1762">
        <f>+KM102/KM27</f>
        <v>8.5000000000000006E-2</v>
      </c>
      <c r="KN104" s="1762"/>
      <c r="KO104" s="1762">
        <v>7.3333333333333334E-2</v>
      </c>
      <c r="KP104" s="704">
        <v>0.11071428571428571</v>
      </c>
      <c r="KQ104" s="1696">
        <v>9.405940594059406E-2</v>
      </c>
      <c r="KR104" s="704">
        <v>0.13031473293408705</v>
      </c>
      <c r="KS104" s="1696">
        <v>0.12215320910973085</v>
      </c>
      <c r="KT104" s="704">
        <f t="shared" ref="KT104:LG104" si="275">+KT102/KT27</f>
        <v>8.6133986200756726E-2</v>
      </c>
      <c r="KU104" s="704">
        <f t="shared" si="275"/>
        <v>0.10550458715596331</v>
      </c>
      <c r="KV104" s="704">
        <f t="shared" si="275"/>
        <v>0.13962264150943396</v>
      </c>
      <c r="KW104" s="1274">
        <f t="shared" si="275"/>
        <v>0.12422360248447205</v>
      </c>
      <c r="KX104" s="704">
        <f t="shared" si="275"/>
        <v>8.5363204766189846E-2</v>
      </c>
      <c r="KY104" s="704">
        <f t="shared" si="275"/>
        <v>0.10421169931393741</v>
      </c>
      <c r="KZ104" s="1274">
        <f t="shared" si="275"/>
        <v>0.10260223048327137</v>
      </c>
      <c r="LA104" s="704">
        <f t="shared" si="275"/>
        <v>6.7340067340067339E-2</v>
      </c>
      <c r="LB104" s="704">
        <f t="shared" si="275"/>
        <v>9.8782138024357244E-2</v>
      </c>
      <c r="LC104" s="1274">
        <f t="shared" si="275"/>
        <v>8.4771192798199543E-2</v>
      </c>
      <c r="LD104" s="1274" t="e">
        <f t="shared" si="275"/>
        <v>#DIV/0!</v>
      </c>
      <c r="LE104" s="704">
        <f t="shared" si="275"/>
        <v>4.4220908586171982E-2</v>
      </c>
      <c r="LF104" s="704">
        <f t="shared" si="275"/>
        <v>9.3334238392614718E-2</v>
      </c>
      <c r="LG104" s="1274">
        <f t="shared" si="275"/>
        <v>7.621951219512195E-2</v>
      </c>
    </row>
    <row r="105" spans="1:319" s="1699" customFormat="1" ht="12">
      <c r="A105" s="712"/>
      <c r="B105" s="1692" t="s">
        <v>1047</v>
      </c>
      <c r="C105" s="1693" t="s">
        <v>943</v>
      </c>
      <c r="D105" s="1020"/>
      <c r="E105" s="712"/>
      <c r="F105" s="712"/>
      <c r="G105" s="1693"/>
      <c r="H105" s="712"/>
      <c r="I105" s="712"/>
      <c r="J105" s="1693"/>
      <c r="K105" s="709"/>
      <c r="L105" s="709"/>
      <c r="M105" s="709"/>
      <c r="N105" s="709"/>
      <c r="O105" s="709"/>
      <c r="P105" s="709"/>
      <c r="Q105" s="709"/>
      <c r="R105" s="709"/>
      <c r="S105" s="1694"/>
      <c r="T105" s="1695"/>
      <c r="U105" s="1695"/>
      <c r="V105" s="1695"/>
      <c r="W105" s="1695"/>
      <c r="X105" s="1695"/>
      <c r="Y105" s="1695"/>
      <c r="Z105" s="1695"/>
      <c r="AA105" s="1695"/>
      <c r="AB105" s="1694"/>
      <c r="AC105" s="1695"/>
      <c r="AD105" s="1695"/>
      <c r="AE105" s="1695"/>
      <c r="AF105" s="1695"/>
      <c r="AG105" s="1695"/>
      <c r="AH105" s="1695"/>
      <c r="AI105" s="1695"/>
      <c r="AJ105" s="1695"/>
      <c r="AK105" s="1020"/>
      <c r="AL105" s="1695"/>
      <c r="AM105" s="1695"/>
      <c r="AN105" s="1695"/>
      <c r="AO105" s="1695"/>
      <c r="AP105" s="1695"/>
      <c r="AQ105" s="1740">
        <f>AQ102-AH102</f>
        <v>406</v>
      </c>
      <c r="AR105" s="1740">
        <f>AR102-AI102</f>
        <v>-1340</v>
      </c>
      <c r="AS105" s="1740">
        <f>AS102-AJ102</f>
        <v>-934</v>
      </c>
      <c r="AT105" s="1020"/>
      <c r="AU105" s="1012">
        <f>AU102-AL102</f>
        <v>-1071</v>
      </c>
      <c r="AV105" s="1012">
        <f>AV102-AM102</f>
        <v>642</v>
      </c>
      <c r="AW105" s="1740">
        <f>+AW102-AN102</f>
        <v>1621</v>
      </c>
      <c r="AX105" s="1695"/>
      <c r="AY105" s="1740">
        <f>+AY102-AO102</f>
        <v>124</v>
      </c>
      <c r="AZ105" s="1695"/>
      <c r="BA105" s="1740">
        <v>1200</v>
      </c>
      <c r="BB105" s="1012">
        <f>+BB102-AQ102</f>
        <v>-429</v>
      </c>
      <c r="BC105" s="1012">
        <f>+BC102-AR102</f>
        <v>1745</v>
      </c>
      <c r="BD105" s="1695"/>
      <c r="BE105" s="1740">
        <v>1300</v>
      </c>
      <c r="BF105" s="1020"/>
      <c r="BG105" s="1740">
        <f>BG102-AO102</f>
        <v>-11898</v>
      </c>
      <c r="BH105" s="1695"/>
      <c r="BI105" s="1740"/>
      <c r="BJ105" s="1020"/>
      <c r="BK105" s="712"/>
      <c r="BL105" s="712"/>
      <c r="BM105" s="712"/>
      <c r="BN105" s="712"/>
      <c r="BO105" s="1020"/>
      <c r="BP105" s="709">
        <f>+BP102-AU102</f>
        <v>650</v>
      </c>
      <c r="BQ105" s="709"/>
      <c r="BR105" s="709">
        <f>+BY105-BP105</f>
        <v>-206</v>
      </c>
      <c r="BS105" s="709"/>
      <c r="BT105" s="709">
        <f>BT102-AW102</f>
        <v>-290</v>
      </c>
      <c r="BU105" s="709">
        <f>BU102-AY102</f>
        <v>24</v>
      </c>
      <c r="BV105" s="1012">
        <f>BV102-AY102</f>
        <v>-34</v>
      </c>
      <c r="BW105" s="709"/>
      <c r="BX105" s="709">
        <f>BX102-BA102</f>
        <v>154</v>
      </c>
      <c r="BY105" s="709">
        <f>+BY102-BB102</f>
        <v>444</v>
      </c>
      <c r="BZ105" s="709"/>
      <c r="CA105" s="709"/>
      <c r="CB105" s="709">
        <f>CB102-BC102</f>
        <v>-266</v>
      </c>
      <c r="CC105" s="709">
        <f>CC102-BC102</f>
        <v>-324</v>
      </c>
      <c r="CD105" s="709">
        <f>CD102-BE102</f>
        <v>178</v>
      </c>
      <c r="CE105" s="709">
        <f>CE102-BE102</f>
        <v>120</v>
      </c>
      <c r="CF105" s="1020"/>
      <c r="CG105" s="728">
        <f>CG102-BP102</f>
        <v>-1472</v>
      </c>
      <c r="CH105" s="729">
        <v>-1581</v>
      </c>
      <c r="CI105" s="729">
        <f>CI106+CI112+CI119+CI123</f>
        <v>-1633.4300000000007</v>
      </c>
      <c r="CJ105" s="712">
        <f>CJ102-BR102</f>
        <v>73</v>
      </c>
      <c r="CK105" s="712">
        <v>-200</v>
      </c>
      <c r="CL105" s="1765">
        <f>CP105-CR105</f>
        <v>-827</v>
      </c>
      <c r="CM105" s="712">
        <v>-552.72199999999941</v>
      </c>
      <c r="CN105" s="712">
        <v>-516</v>
      </c>
      <c r="CO105" s="712">
        <f>CO102-BV102</f>
        <v>-708</v>
      </c>
      <c r="CP105" s="712">
        <f>CP102-BX102</f>
        <v>-2226</v>
      </c>
      <c r="CQ105" s="712"/>
      <c r="CR105" s="712">
        <f>CR102-BY102</f>
        <v>-1399</v>
      </c>
      <c r="CS105" s="712"/>
      <c r="CT105" s="712"/>
      <c r="CU105" s="712">
        <f t="shared" ref="CU105:CU127" si="276">CW105-CR105</f>
        <v>-1535</v>
      </c>
      <c r="CV105" s="712"/>
      <c r="CW105" s="1693">
        <f>CW102-CE102</f>
        <v>-2934</v>
      </c>
      <c r="CX105" s="712"/>
      <c r="CY105" s="712">
        <f>CY102-CG102</f>
        <v>497</v>
      </c>
      <c r="CZ105" s="712">
        <f>+DB105-CY105</f>
        <v>91</v>
      </c>
      <c r="DA105" s="712" t="e">
        <f>DA106+DA112+DA119+DA123</f>
        <v>#REF!</v>
      </c>
      <c r="DB105" s="712">
        <f>+DB102-CR102</f>
        <v>588</v>
      </c>
      <c r="DC105" s="712">
        <f>+DG105-DB105</f>
        <v>146</v>
      </c>
      <c r="DD105" s="712">
        <f>DD106+DD112+DD119+DD123</f>
        <v>0</v>
      </c>
      <c r="DE105" s="712">
        <f t="shared" si="42"/>
        <v>69</v>
      </c>
      <c r="DF105" s="712"/>
      <c r="DG105" s="712">
        <f>+DG102-CP102</f>
        <v>734</v>
      </c>
      <c r="DH105" s="712">
        <f>+DH102-CP102-1</f>
        <v>587</v>
      </c>
      <c r="DI105" s="712">
        <f t="shared" si="224"/>
        <v>215</v>
      </c>
      <c r="DJ105" s="712"/>
      <c r="DK105" s="712">
        <f>+DK102-CW102</f>
        <v>803</v>
      </c>
      <c r="DL105" s="1739"/>
      <c r="DM105" s="1739"/>
      <c r="DN105" s="1740"/>
      <c r="DO105" s="1740"/>
      <c r="DP105" s="1017">
        <f>DP106+DP112+DP119+DP123</f>
        <v>600</v>
      </c>
      <c r="DQ105" s="1017">
        <f t="shared" si="258"/>
        <v>358</v>
      </c>
      <c r="DR105" s="1017">
        <f>+DS105-DB105</f>
        <v>504</v>
      </c>
      <c r="DS105" s="1018">
        <f>DS102-CW102</f>
        <v>1092</v>
      </c>
      <c r="DT105" s="1739"/>
      <c r="DU105" s="1740"/>
      <c r="DV105" s="1766">
        <f>DW105-CY105</f>
        <v>-663</v>
      </c>
      <c r="DW105" s="712">
        <f>DW102-CR102</f>
        <v>-166</v>
      </c>
      <c r="DX105" s="1017">
        <f>DX102-CU102</f>
        <v>304</v>
      </c>
      <c r="DY105" s="1017">
        <f>DY102-CW102</f>
        <v>892</v>
      </c>
      <c r="DZ105" s="1020"/>
      <c r="EB105" s="712">
        <f>EB102-BV102</f>
        <v>1484</v>
      </c>
      <c r="EC105" s="1017">
        <f>EC102-CC102</f>
        <v>657</v>
      </c>
      <c r="ED105" s="1739">
        <f>ED102-CE102</f>
        <v>-742</v>
      </c>
      <c r="EE105" s="1020"/>
      <c r="EF105" s="712"/>
      <c r="EG105" s="711">
        <f>+EG102-CY102</f>
        <v>400</v>
      </c>
      <c r="EH105" s="712"/>
      <c r="EI105" s="712">
        <f t="shared" ref="EI105:EI106" si="277">+EK105-EG105</f>
        <v>-221</v>
      </c>
      <c r="EJ105" s="712"/>
      <c r="EK105" s="712">
        <f>+EK102-DB102</f>
        <v>179</v>
      </c>
      <c r="EL105" s="712"/>
      <c r="EM105" s="712">
        <f>+EO105-EK105</f>
        <v>66</v>
      </c>
      <c r="EN105" s="712">
        <f>EN102-DC102</f>
        <v>206</v>
      </c>
      <c r="EO105" s="712">
        <f>+EO102-DG102</f>
        <v>245</v>
      </c>
      <c r="EP105" s="712">
        <f>EP102-DG102</f>
        <v>385</v>
      </c>
      <c r="EQ105" s="712">
        <f>+EU105-EO105</f>
        <v>-208</v>
      </c>
      <c r="ER105" s="712"/>
      <c r="ES105" s="712">
        <f>+EU105-EK105</f>
        <v>-142</v>
      </c>
      <c r="ET105" s="712"/>
      <c r="EU105" s="1693">
        <f>+EU102-DK102</f>
        <v>37</v>
      </c>
      <c r="EV105" s="1018"/>
      <c r="EW105" s="712">
        <v>-292.06954003920941</v>
      </c>
      <c r="EX105" s="712">
        <f>+EX102-EG102</f>
        <v>-1213</v>
      </c>
      <c r="EY105" s="712">
        <v>-137.89570387642141</v>
      </c>
      <c r="EZ105" s="712">
        <f>+FB105-EX105</f>
        <v>-454</v>
      </c>
      <c r="FA105" s="712">
        <v>-1337.8957038764215</v>
      </c>
      <c r="FB105" s="712">
        <f>+FB102-EK102</f>
        <v>-1667</v>
      </c>
      <c r="FC105" s="712">
        <f>+FC106+FC112+FC119+FC123</f>
        <v>-200</v>
      </c>
      <c r="FD105" s="696">
        <v>812.32526960069936</v>
      </c>
      <c r="FE105" s="1744">
        <f>+FE102-EO102</f>
        <v>-1754</v>
      </c>
      <c r="FF105" s="1732">
        <v>812.32526960069936</v>
      </c>
      <c r="FG105" s="1744">
        <f>+FG102-EQ102</f>
        <v>17</v>
      </c>
      <c r="FH105" s="712">
        <f>+FL105-FE105</f>
        <v>17</v>
      </c>
      <c r="FI105" s="1744">
        <f>+FI102-ES102</f>
        <v>-70</v>
      </c>
      <c r="FJ105" s="712">
        <f>+FL105-FB105</f>
        <v>-70</v>
      </c>
      <c r="FK105" s="1693">
        <f>+FK102-EU102</f>
        <v>-1737</v>
      </c>
      <c r="FL105" s="1739">
        <f>+FL102-EU102</f>
        <v>-1737</v>
      </c>
      <c r="FM105" s="1740">
        <f t="shared" ref="FM105:FM127" si="278">+FN105-EX105</f>
        <v>780</v>
      </c>
      <c r="FN105" s="1017">
        <f>+FN102-EK102</f>
        <v>-433</v>
      </c>
      <c r="FO105" s="1017"/>
      <c r="FP105" s="1017">
        <f>+FQ105-FB105</f>
        <v>619</v>
      </c>
      <c r="FQ105" s="1018">
        <f>+FQ102-EU102</f>
        <v>-1048</v>
      </c>
      <c r="FR105" s="1018"/>
      <c r="FS105" s="712">
        <f>+FS102-EX102</f>
        <v>356</v>
      </c>
      <c r="FT105" s="1017"/>
      <c r="FU105" s="1017"/>
      <c r="FV105" s="712">
        <f>+FY105-FS105</f>
        <v>249</v>
      </c>
      <c r="FW105" s="1017"/>
      <c r="FX105" s="1017"/>
      <c r="FY105" s="712">
        <f>+FY102-FB102</f>
        <v>605</v>
      </c>
      <c r="FZ105" s="712">
        <f>+FZ106+FZ112+FZ119+FZ123</f>
        <v>-500</v>
      </c>
      <c r="GA105" s="1744">
        <f>+GA102-FE102</f>
        <v>92</v>
      </c>
      <c r="GB105" s="712">
        <f>+GD105-GA105</f>
        <v>-543</v>
      </c>
      <c r="GC105" s="712">
        <f>+GC106+GC112+GC119+GC123</f>
        <v>-1000</v>
      </c>
      <c r="GD105" s="1693">
        <f>+GD102-FK102</f>
        <v>-451</v>
      </c>
      <c r="GE105" s="1744">
        <v>189</v>
      </c>
      <c r="GF105" s="712"/>
      <c r="GG105" s="712"/>
      <c r="GH105" s="1017">
        <f>GI105-FY105</f>
        <v>-1056</v>
      </c>
      <c r="GI105" s="1017">
        <f>GI102-FK102</f>
        <v>-451</v>
      </c>
      <c r="GJ105" s="1021"/>
      <c r="GK105" s="1017"/>
      <c r="GL105" s="1017">
        <f>+GL102-FS102</f>
        <v>-193</v>
      </c>
      <c r="GM105" s="1017"/>
      <c r="GN105" s="1017"/>
      <c r="GO105" s="1017">
        <f>+GP105-GL105</f>
        <v>547</v>
      </c>
      <c r="GP105" s="1017">
        <f>+GP102-FY102</f>
        <v>354</v>
      </c>
      <c r="GQ105" s="1017"/>
      <c r="GR105" s="712">
        <f>+GR106+GR112+GR119+GR123</f>
        <v>1500</v>
      </c>
      <c r="GS105" s="1744">
        <f>+GS102-GA102</f>
        <v>1815</v>
      </c>
      <c r="GT105" s="712">
        <f>+GU105-GR105</f>
        <v>1400</v>
      </c>
      <c r="GU105" s="712">
        <f>+GU106+GU112+GU119+GU123</f>
        <v>2900</v>
      </c>
      <c r="GV105" s="1693">
        <f>+GV102-GD102</f>
        <v>3224</v>
      </c>
      <c r="GW105" s="1744">
        <v>3040</v>
      </c>
      <c r="GX105" s="1017"/>
      <c r="GY105" s="1017">
        <f>GZ105-GP105</f>
        <v>2870</v>
      </c>
      <c r="GZ105" s="1017">
        <f>GZ102-GD102</f>
        <v>3224</v>
      </c>
      <c r="HA105" s="1021"/>
      <c r="HB105" s="1017"/>
      <c r="HC105" s="1017"/>
      <c r="HD105" s="1017">
        <f>+HD102-GL102</f>
        <v>2078</v>
      </c>
      <c r="HE105" s="1017"/>
      <c r="HF105" s="1017">
        <f>+HI105-HD105</f>
        <v>835</v>
      </c>
      <c r="HG105" s="1017"/>
      <c r="HH105" s="1017"/>
      <c r="HI105" s="1017">
        <f>+HI102-GP102</f>
        <v>2913</v>
      </c>
      <c r="HJ105" s="1017">
        <v>1300</v>
      </c>
      <c r="HK105" s="1017"/>
      <c r="HL105" s="1017"/>
      <c r="HM105" s="1017"/>
      <c r="HN105" s="712">
        <f>+HN106+HN112+HN119+HN123</f>
        <v>-500</v>
      </c>
      <c r="HO105" s="712">
        <f>+HO106+HO112+HO119+HO123</f>
        <v>-500</v>
      </c>
      <c r="HP105" s="1744">
        <f>+HP102-GS102</f>
        <v>2403</v>
      </c>
      <c r="HQ105" s="1744">
        <f>+HQ102-GS102</f>
        <v>2403</v>
      </c>
      <c r="HR105" s="712">
        <f>+HT105-HN105</f>
        <v>-200</v>
      </c>
      <c r="HS105" s="712"/>
      <c r="HT105" s="712">
        <f>+HT106+HT112+HT119+HT123</f>
        <v>-700</v>
      </c>
      <c r="HU105" s="712"/>
      <c r="HV105" s="712">
        <f>+HV102-GV102</f>
        <v>2226</v>
      </c>
      <c r="HW105" s="1017">
        <v>700</v>
      </c>
      <c r="HX105" s="1017">
        <f>HY105-HN105</f>
        <v>-187</v>
      </c>
      <c r="HY105" s="1017">
        <f>IB105-HI105</f>
        <v>-687</v>
      </c>
      <c r="HZ105" s="712"/>
      <c r="IA105" s="1017">
        <v>2416</v>
      </c>
      <c r="IB105" s="1017">
        <f>IB102-GV102</f>
        <v>2226</v>
      </c>
      <c r="IC105" s="1021"/>
      <c r="ID105" s="1017"/>
      <c r="IE105" s="1022">
        <f>+IE102-HE102</f>
        <v>-830</v>
      </c>
      <c r="IF105" s="1017">
        <f>IF102-HH102</f>
        <v>-393</v>
      </c>
      <c r="IG105" s="1017">
        <f>IG102-HM102</f>
        <v>-1223</v>
      </c>
      <c r="IH105" s="1017">
        <f>+IH106+IH112+IH119+IH123</f>
        <v>-400</v>
      </c>
      <c r="II105" s="1017"/>
      <c r="IJ105" s="1017">
        <f>+IJ102-HQ102</f>
        <v>-1669</v>
      </c>
      <c r="IK105" s="1017"/>
      <c r="IL105" s="1017"/>
      <c r="IM105" s="1017">
        <f>+IO105-IH105</f>
        <v>-900</v>
      </c>
      <c r="IN105" s="1017">
        <f>IP105-IG105</f>
        <v>-1238</v>
      </c>
      <c r="IO105" s="1017">
        <f>+IO106+IO112+IO119+IO123</f>
        <v>-1300</v>
      </c>
      <c r="IP105" s="1018">
        <f>IP102-HZ102</f>
        <v>-2461</v>
      </c>
      <c r="IQ105" s="1017">
        <v>-1710</v>
      </c>
      <c r="IR105" s="1018">
        <f>+IR102-HZ102</f>
        <v>-2461</v>
      </c>
      <c r="IS105" s="1767"/>
      <c r="IT105" s="1017">
        <f>IT106+IT112+IT119+IT123</f>
        <v>-700</v>
      </c>
      <c r="IU105" s="1017">
        <f>+IU102-IE102</f>
        <v>-1365</v>
      </c>
      <c r="IV105" s="1017">
        <f>IV106+IV112+IV119+IV123</f>
        <v>-700</v>
      </c>
      <c r="IW105" s="1017">
        <v>-900</v>
      </c>
      <c r="IX105" s="1017">
        <f>IX102-IG102</f>
        <v>-2146</v>
      </c>
      <c r="IY105" s="1017">
        <v>-2265</v>
      </c>
      <c r="IZ105" s="1017">
        <f>IZ106+IZ112+IZ119+IZ123</f>
        <v>-800</v>
      </c>
      <c r="JA105" s="1017">
        <f>JA102-IJ102</f>
        <v>-2831</v>
      </c>
      <c r="JB105" s="1017"/>
      <c r="JC105" s="1017"/>
      <c r="JD105" s="1017">
        <f>JD106+JD112+JD119+JD123</f>
        <v>-4100</v>
      </c>
      <c r="JE105" s="1017">
        <v>-3546</v>
      </c>
      <c r="JF105" s="1017">
        <f>JF102-IM102</f>
        <v>-1310</v>
      </c>
      <c r="JG105" s="1017">
        <f>JG102-IO102</f>
        <v>-1995</v>
      </c>
      <c r="JH105" s="1018">
        <f>JH102-IR102</f>
        <v>-4141</v>
      </c>
      <c r="JI105" s="1767"/>
      <c r="JJ105" s="1022">
        <f>JJ106+JJ112+JJ119+JJ123</f>
        <v>-250</v>
      </c>
      <c r="JK105" s="1017">
        <f>JK106+JK112+JK119+JK123</f>
        <v>750</v>
      </c>
      <c r="JL105" s="1017">
        <f>JL106+JL112+JL119+JL123</f>
        <v>-200</v>
      </c>
      <c r="JM105" s="1017">
        <f t="shared" ref="JM105:JS105" si="279">JM106+JM112+JM119+JM123</f>
        <v>300</v>
      </c>
      <c r="JN105" s="1017">
        <f t="shared" si="279"/>
        <v>1300</v>
      </c>
      <c r="JO105" s="1017">
        <f t="shared" si="279"/>
        <v>0</v>
      </c>
      <c r="JP105" s="1017">
        <f t="shared" si="279"/>
        <v>100</v>
      </c>
      <c r="JQ105" s="1017">
        <f t="shared" si="279"/>
        <v>0</v>
      </c>
      <c r="JR105" s="1017">
        <f t="shared" si="279"/>
        <v>0</v>
      </c>
      <c r="JS105" s="1017">
        <f t="shared" si="279"/>
        <v>1400</v>
      </c>
      <c r="JT105" s="1017">
        <f>JT106+JT112+JT119+JT123</f>
        <v>800</v>
      </c>
      <c r="JU105" s="1017">
        <f>JU106+JU112+JU119+JU123</f>
        <v>1300</v>
      </c>
      <c r="JV105" s="1017">
        <f>+JV102-IX102</f>
        <v>517</v>
      </c>
      <c r="JW105" s="1017">
        <f>+JW102-JC102</f>
        <v>2536</v>
      </c>
      <c r="JX105" s="1017">
        <f>+JX102-JD102</f>
        <v>2692</v>
      </c>
      <c r="JY105" s="1017">
        <f t="shared" ref="JY105:JY110" si="280">+JP105+JT105</f>
        <v>900</v>
      </c>
      <c r="JZ105" s="662"/>
      <c r="KA105" s="1274"/>
      <c r="KB105" s="1842">
        <f>+KC105-JL105</f>
        <v>200</v>
      </c>
      <c r="KC105" s="1842">
        <f>KC106+KC112+KC119+KC123</f>
        <v>0</v>
      </c>
      <c r="KD105" s="1842">
        <f>KD106+KD112+KD119+KD123</f>
        <v>1300</v>
      </c>
      <c r="KE105" s="1842">
        <f>KE106+KE112+KE119+KE123</f>
        <v>1200</v>
      </c>
      <c r="KF105" s="1842"/>
      <c r="KG105" s="1842"/>
      <c r="KH105" s="1842">
        <f>KH106+KH112+KH119+KH123</f>
        <v>1300</v>
      </c>
      <c r="KI105" s="1734"/>
      <c r="KJ105" s="1090"/>
      <c r="KK105" s="1017"/>
      <c r="KL105" s="1090">
        <f>KL102-IO102</f>
        <v>-203</v>
      </c>
      <c r="KM105" s="1090">
        <f>KM102-IR102</f>
        <v>-2349</v>
      </c>
      <c r="KN105" s="1090"/>
      <c r="KO105" s="1090">
        <v>-1515</v>
      </c>
      <c r="KP105" s="1090">
        <v>215</v>
      </c>
      <c r="KQ105" s="1734">
        <v>-1300</v>
      </c>
      <c r="KR105" s="1090">
        <v>-287</v>
      </c>
      <c r="KS105" s="1734">
        <v>-1510</v>
      </c>
      <c r="KT105" s="1744">
        <f>+KT102-HG102</f>
        <v>-608</v>
      </c>
      <c r="KU105" s="1744">
        <f>+KU102-HL102</f>
        <v>-1438</v>
      </c>
      <c r="KV105" s="1744" t="e">
        <f>+KV102-#REF!</f>
        <v>#REF!</v>
      </c>
      <c r="KW105" s="1749">
        <f>+KW102-HZ102</f>
        <v>-1310</v>
      </c>
      <c r="KX105" s="1744">
        <f>+KX102-GT102</f>
        <v>313</v>
      </c>
      <c r="KY105" s="1744">
        <f>+KY102-GU102</f>
        <v>-197</v>
      </c>
      <c r="KZ105" s="1749">
        <f>+KZ102-GV102</f>
        <v>2716</v>
      </c>
      <c r="LA105" s="1744">
        <f>+LA102-GP102</f>
        <v>875</v>
      </c>
      <c r="LB105" s="1744">
        <f>+LB102-GU102</f>
        <v>-659</v>
      </c>
      <c r="LC105" s="1749">
        <f>+LC102-GV102</f>
        <v>216</v>
      </c>
      <c r="LD105" s="1749">
        <f>+LD102-LC102</f>
        <v>-11300</v>
      </c>
      <c r="LE105" s="1744">
        <f>+LE102-GB102</f>
        <v>325</v>
      </c>
      <c r="LF105" s="1744">
        <f>+LF102-GC102</f>
        <v>1786</v>
      </c>
      <c r="LG105" s="1749">
        <f>+LG102-GD102</f>
        <v>2140</v>
      </c>
    </row>
    <row r="106" spans="1:319" s="1044" customFormat="1">
      <c r="A106" s="1036"/>
      <c r="B106" s="1037" t="s">
        <v>1048</v>
      </c>
      <c r="C106" s="1038" t="s">
        <v>1425</v>
      </c>
      <c r="D106" s="1039"/>
      <c r="E106" s="1036"/>
      <c r="F106" s="1036"/>
      <c r="G106" s="1040"/>
      <c r="H106" s="1036"/>
      <c r="I106" s="1036"/>
      <c r="J106" s="1040"/>
      <c r="K106" s="1041"/>
      <c r="L106" s="1041"/>
      <c r="M106" s="1041"/>
      <c r="N106" s="1041"/>
      <c r="O106" s="1041"/>
      <c r="P106" s="1041"/>
      <c r="Q106" s="1041"/>
      <c r="R106" s="1041"/>
      <c r="S106" s="1042"/>
      <c r="T106" s="1041"/>
      <c r="U106" s="1041"/>
      <c r="V106" s="1041"/>
      <c r="W106" s="1041"/>
      <c r="X106" s="1041"/>
      <c r="Y106" s="1041"/>
      <c r="Z106" s="1041"/>
      <c r="AA106" s="1041"/>
      <c r="AB106" s="1042"/>
      <c r="AC106" s="1041"/>
      <c r="AD106" s="1041"/>
      <c r="AE106" s="1041"/>
      <c r="AF106" s="1041"/>
      <c r="AG106" s="1041"/>
      <c r="AH106" s="1041">
        <v>200</v>
      </c>
      <c r="AI106" s="1041">
        <f>+AJ106-AH106</f>
        <v>1300</v>
      </c>
      <c r="AJ106" s="1041">
        <v>1500</v>
      </c>
      <c r="AK106" s="1039"/>
      <c r="AL106" s="1041">
        <v>500</v>
      </c>
      <c r="AM106" s="1041">
        <f>+AQ106-AL106</f>
        <v>100</v>
      </c>
      <c r="AN106" s="1041">
        <f>+AP106-AQ106</f>
        <v>600</v>
      </c>
      <c r="AO106" s="1041">
        <f>+AR106-AN106</f>
        <v>300</v>
      </c>
      <c r="AP106" s="1041">
        <v>1200</v>
      </c>
      <c r="AQ106" s="1041">
        <v>600</v>
      </c>
      <c r="AR106" s="1041">
        <f>+AS106-AQ106</f>
        <v>900</v>
      </c>
      <c r="AS106" s="1041">
        <v>1500</v>
      </c>
      <c r="AT106" s="1039"/>
      <c r="AU106" s="1041">
        <v>300</v>
      </c>
      <c r="AV106" s="1041">
        <f>+BB106-AU106</f>
        <v>1000</v>
      </c>
      <c r="AW106" s="1041">
        <f>+BA106-BB106</f>
        <v>1300</v>
      </c>
      <c r="AX106" s="1041">
        <v>-1300</v>
      </c>
      <c r="AY106" s="1041">
        <f>+BC106-AW106</f>
        <v>500</v>
      </c>
      <c r="AZ106" s="1041"/>
      <c r="BA106" s="1041">
        <v>2600</v>
      </c>
      <c r="BB106" s="1043">
        <v>1300</v>
      </c>
      <c r="BC106" s="1043">
        <f t="shared" ref="BC106:BC127" si="281">+BE106-BB106</f>
        <v>1800</v>
      </c>
      <c r="BD106" s="1041"/>
      <c r="BE106" s="1041">
        <v>3100</v>
      </c>
      <c r="BF106" s="1039"/>
      <c r="BG106" s="1041">
        <f>BH106-AW106</f>
        <v>-700</v>
      </c>
      <c r="BH106" s="1041">
        <f>+BI106-BB106</f>
        <v>600</v>
      </c>
      <c r="BI106" s="1041">
        <v>1900</v>
      </c>
      <c r="BJ106" s="1039"/>
      <c r="BK106" s="1036">
        <v>400</v>
      </c>
      <c r="BL106" s="1036">
        <v>200</v>
      </c>
      <c r="BM106" s="1036">
        <v>600</v>
      </c>
      <c r="BN106" s="1036"/>
      <c r="BO106" s="1039"/>
      <c r="BP106" s="1041">
        <v>1000</v>
      </c>
      <c r="BQ106" s="1041"/>
      <c r="BR106" s="1041">
        <f t="shared" ref="BR106:BR121" si="282">+BY106-BP106</f>
        <v>300</v>
      </c>
      <c r="BS106" s="1041">
        <v>588.04499999999996</v>
      </c>
      <c r="BT106" s="1041">
        <v>600</v>
      </c>
      <c r="BU106" s="1041"/>
      <c r="BV106" s="1043">
        <f>CC106-BT106</f>
        <v>400</v>
      </c>
      <c r="BW106" s="1041"/>
      <c r="BX106" s="1041">
        <v>1900</v>
      </c>
      <c r="BY106" s="1041">
        <v>1300</v>
      </c>
      <c r="BZ106" s="1041"/>
      <c r="CA106" s="1041"/>
      <c r="CB106" s="1041"/>
      <c r="CC106" s="1041">
        <f>CE106-BY106</f>
        <v>1000</v>
      </c>
      <c r="CD106" s="1041"/>
      <c r="CE106" s="1041">
        <v>2300</v>
      </c>
      <c r="CF106" s="1039"/>
      <c r="CG106" s="1095">
        <v>-900</v>
      </c>
      <c r="CH106" s="1096">
        <v>-981</v>
      </c>
      <c r="CI106" s="1096">
        <v>-983.43000000000063</v>
      </c>
      <c r="CJ106" s="1036">
        <f>CR106-CG106</f>
        <v>100</v>
      </c>
      <c r="CK106" s="1036">
        <v>200</v>
      </c>
      <c r="CL106" s="1097">
        <f>CP106-CR106</f>
        <v>-100</v>
      </c>
      <c r="CM106" s="1036">
        <v>247.27800000000059</v>
      </c>
      <c r="CN106" s="1036"/>
      <c r="CO106" s="1036">
        <f>CW106-CP106</f>
        <v>-1200</v>
      </c>
      <c r="CP106" s="1036">
        <v>-900</v>
      </c>
      <c r="CQ106" s="1036"/>
      <c r="CR106" s="1036">
        <v>-800</v>
      </c>
      <c r="CS106" s="1036"/>
      <c r="CT106" s="1036"/>
      <c r="CU106" s="1036">
        <f t="shared" si="276"/>
        <v>-1300</v>
      </c>
      <c r="CV106" s="1036"/>
      <c r="CW106" s="1040">
        <v>-2100</v>
      </c>
      <c r="CX106" s="1036"/>
      <c r="CY106" s="1036">
        <v>1200</v>
      </c>
      <c r="CZ106" s="1036">
        <f>+DB106-CY106</f>
        <v>900</v>
      </c>
      <c r="DA106" s="1036" t="e">
        <f>DA108+DA111</f>
        <v>#REF!</v>
      </c>
      <c r="DB106" s="1036">
        <v>2100</v>
      </c>
      <c r="DC106" s="1036">
        <f>+DG106-DB106</f>
        <v>1500</v>
      </c>
      <c r="DD106" s="1036">
        <f>DD108+DD111</f>
        <v>1300</v>
      </c>
      <c r="DE106" s="1036">
        <f t="shared" si="42"/>
        <v>800</v>
      </c>
      <c r="DF106" s="1036"/>
      <c r="DG106" s="1036">
        <v>3600</v>
      </c>
      <c r="DH106" s="1036"/>
      <c r="DI106" s="1036">
        <f t="shared" si="224"/>
        <v>2300</v>
      </c>
      <c r="DJ106" s="1036"/>
      <c r="DK106" s="1036">
        <v>4400</v>
      </c>
      <c r="DL106" s="1098"/>
      <c r="DM106" s="1098"/>
      <c r="DN106" s="1041"/>
      <c r="DO106" s="1041"/>
      <c r="DP106" s="1099">
        <v>2300</v>
      </c>
      <c r="DQ106" s="1099">
        <f t="shared" si="258"/>
        <v>2200</v>
      </c>
      <c r="DR106" s="1099">
        <f>+DS106-DB106</f>
        <v>3700</v>
      </c>
      <c r="DS106" s="1100">
        <v>5800</v>
      </c>
      <c r="DT106" s="1098"/>
      <c r="DU106" s="1041"/>
      <c r="DV106" s="1053">
        <f>DW106-CY106</f>
        <v>1100</v>
      </c>
      <c r="DW106" s="1097">
        <v>2300</v>
      </c>
      <c r="DX106" s="1099">
        <f>DY106-DB106</f>
        <v>2700</v>
      </c>
      <c r="DY106" s="1099">
        <v>4800</v>
      </c>
      <c r="DZ106" s="1039"/>
      <c r="EA106" s="1044">
        <v>600</v>
      </c>
      <c r="EB106" s="1097">
        <f>ED106-CP106</f>
        <v>1100</v>
      </c>
      <c r="EC106" s="1099">
        <f>ED106-CR106</f>
        <v>1000</v>
      </c>
      <c r="ED106" s="1098">
        <v>200</v>
      </c>
      <c r="EE106" s="1039"/>
      <c r="EF106" s="1036"/>
      <c r="EG106" s="1087">
        <v>500</v>
      </c>
      <c r="EH106" s="1036"/>
      <c r="EI106" s="1036">
        <f t="shared" si="277"/>
        <v>-100</v>
      </c>
      <c r="EJ106" s="1036"/>
      <c r="EK106" s="1036">
        <v>400</v>
      </c>
      <c r="EL106" s="1036"/>
      <c r="EM106" s="1036">
        <f>+EO106-EK106</f>
        <v>0</v>
      </c>
      <c r="EN106" s="1036"/>
      <c r="EO106" s="1036">
        <v>400</v>
      </c>
      <c r="EQ106" s="1036">
        <f>+EU106-EO106</f>
        <v>200</v>
      </c>
      <c r="ES106" s="1036">
        <f>+EU106-EK106</f>
        <v>200</v>
      </c>
      <c r="EU106" s="1040">
        <v>600</v>
      </c>
      <c r="EV106" s="517"/>
      <c r="EW106" s="1101">
        <v>307.93045996079059</v>
      </c>
      <c r="EX106" s="1036">
        <v>0</v>
      </c>
      <c r="EY106" s="1036">
        <v>462.10429612357859</v>
      </c>
      <c r="EZ106" s="1036">
        <f>+FB106-EX106</f>
        <v>300</v>
      </c>
      <c r="FA106" s="1036">
        <v>462.10429612357859</v>
      </c>
      <c r="FB106" s="1102">
        <v>300</v>
      </c>
      <c r="FC106" s="1036">
        <f>+FE106-FB106</f>
        <v>300</v>
      </c>
      <c r="FD106" s="492">
        <v>2412.3252696006994</v>
      </c>
      <c r="FE106" s="1102">
        <v>600</v>
      </c>
      <c r="FF106" s="1103">
        <v>2412.3252696006994</v>
      </c>
      <c r="FG106" s="1036">
        <f>FI106-FC106</f>
        <v>200</v>
      </c>
      <c r="FH106" s="1036">
        <f>+FL106-FE106</f>
        <v>300</v>
      </c>
      <c r="FI106" s="1036">
        <f>FK106-FB106</f>
        <v>500</v>
      </c>
      <c r="FJ106" s="1036">
        <f>+FL106-FB106</f>
        <v>600</v>
      </c>
      <c r="FK106" s="1040">
        <v>800</v>
      </c>
      <c r="FL106" s="1098">
        <f>+Driver!AD198</f>
        <v>900</v>
      </c>
      <c r="FM106" s="1041">
        <f t="shared" si="278"/>
        <v>1300</v>
      </c>
      <c r="FN106" s="1099">
        <v>1300</v>
      </c>
      <c r="FO106" s="1099">
        <f>+FQ106-FE106</f>
        <v>1300</v>
      </c>
      <c r="FP106" s="1099">
        <f>+FQ106-FB106</f>
        <v>1600</v>
      </c>
      <c r="FQ106" s="1100">
        <v>1900</v>
      </c>
      <c r="FR106" s="1100"/>
      <c r="FS106" s="1036">
        <v>100</v>
      </c>
      <c r="FT106" s="1099"/>
      <c r="FU106" s="1099"/>
      <c r="FV106" s="1036">
        <f>+FY106-FS106</f>
        <v>100</v>
      </c>
      <c r="FW106" s="1099"/>
      <c r="FX106" s="1099"/>
      <c r="FY106" s="1102">
        <v>200</v>
      </c>
      <c r="FZ106" s="1036">
        <f>+GA106-FY106</f>
        <v>-300</v>
      </c>
      <c r="GA106" s="1102">
        <v>-100</v>
      </c>
      <c r="GB106" s="1036">
        <f>+GD106-GA106</f>
        <v>-300</v>
      </c>
      <c r="GC106" s="1036">
        <f>+GD106-FY106</f>
        <v>-600</v>
      </c>
      <c r="GD106" s="1104">
        <v>-400</v>
      </c>
      <c r="GE106" s="1102"/>
      <c r="GF106" s="1102"/>
      <c r="GG106" s="1102"/>
      <c r="GH106" s="1099"/>
      <c r="GI106" s="1099"/>
      <c r="GJ106" s="1105"/>
      <c r="GK106" s="1099"/>
      <c r="GL106" s="1099">
        <v>300</v>
      </c>
      <c r="GM106" s="1099"/>
      <c r="GN106" s="1099"/>
      <c r="GO106" s="1099">
        <f>+GP106-GL106</f>
        <v>1000</v>
      </c>
      <c r="GP106" s="1099">
        <v>1300</v>
      </c>
      <c r="GQ106" s="1099"/>
      <c r="GR106" s="1036">
        <f>+GS106-GP106</f>
        <v>2000</v>
      </c>
      <c r="GS106" s="1102">
        <v>3300</v>
      </c>
      <c r="GT106" s="1036">
        <f>+GU106-GR106</f>
        <v>1900</v>
      </c>
      <c r="GU106" s="1036">
        <f>+GV106-GP106</f>
        <v>3900</v>
      </c>
      <c r="GV106" s="1040">
        <v>5200</v>
      </c>
      <c r="GW106" s="1102"/>
      <c r="GX106" s="1099"/>
      <c r="GY106" s="1099"/>
      <c r="GZ106" s="1099"/>
      <c r="HA106" s="1105"/>
      <c r="HB106" s="1099"/>
      <c r="HC106" s="1099"/>
      <c r="HD106" s="1099">
        <v>1300</v>
      </c>
      <c r="HE106" s="1099">
        <v>1300</v>
      </c>
      <c r="HF106" s="1099">
        <f>+HI106-HD106</f>
        <v>200</v>
      </c>
      <c r="HG106" s="1099">
        <f>+HL106-HE106</f>
        <v>200</v>
      </c>
      <c r="HH106" s="1099">
        <f t="shared" ref="HH106" si="283">HM106-HE106</f>
        <v>200</v>
      </c>
      <c r="HI106" s="1099">
        <v>1500</v>
      </c>
      <c r="HJ106" s="1099">
        <v>1000</v>
      </c>
      <c r="HK106" s="1099"/>
      <c r="HL106" s="1099">
        <v>1500</v>
      </c>
      <c r="HM106" s="1099">
        <v>1500</v>
      </c>
      <c r="HN106" s="1036">
        <f>+HP106-HI106</f>
        <v>-200</v>
      </c>
      <c r="HO106" s="1036">
        <f>+HQ106-HM106</f>
        <v>-200</v>
      </c>
      <c r="HP106" s="1102">
        <v>1300</v>
      </c>
      <c r="HQ106" s="1102">
        <v>1300</v>
      </c>
      <c r="HR106" s="1036">
        <f>+HT106-HN106</f>
        <v>-400</v>
      </c>
      <c r="HS106" s="1036"/>
      <c r="HT106" s="1036">
        <f>+HV106-HI106</f>
        <v>-600</v>
      </c>
      <c r="HU106" s="1036">
        <f>HZ106-HM106</f>
        <v>-600</v>
      </c>
      <c r="HV106" s="1036">
        <v>900</v>
      </c>
      <c r="HW106" s="1099"/>
      <c r="HX106" s="1099"/>
      <c r="HY106" s="1099"/>
      <c r="HZ106" s="1036">
        <v>900</v>
      </c>
      <c r="IA106" s="1099"/>
      <c r="IB106" s="1099"/>
      <c r="IC106" s="1105"/>
      <c r="ID106" s="1099"/>
      <c r="IE106" s="1106">
        <v>-800</v>
      </c>
      <c r="IF106" s="1099">
        <f>IG106-IE106</f>
        <v>-200</v>
      </c>
      <c r="IG106" s="1107">
        <v>-1000</v>
      </c>
      <c r="IH106" s="1099">
        <f>+IJ106-IG106</f>
        <v>-200</v>
      </c>
      <c r="II106" s="1099"/>
      <c r="IJ106" s="1108">
        <v>-1200</v>
      </c>
      <c r="IK106" s="1099">
        <f>+IP106-IL106</f>
        <v>0</v>
      </c>
      <c r="IL106" s="1099"/>
      <c r="IM106" s="1099">
        <f>+IO106-IH106</f>
        <v>100</v>
      </c>
      <c r="IN106" s="1099"/>
      <c r="IO106" s="1099">
        <f>+IR106-IG106</f>
        <v>-100</v>
      </c>
      <c r="IP106" s="1100"/>
      <c r="IQ106" s="1099"/>
      <c r="IR106" s="1109">
        <v>-1100</v>
      </c>
      <c r="IS106" s="784"/>
      <c r="IT106" s="1110">
        <v>1500</v>
      </c>
      <c r="IU106" s="723">
        <v>700</v>
      </c>
      <c r="IV106" s="1110">
        <f>IX106-IU106</f>
        <v>1300</v>
      </c>
      <c r="IW106" s="1110">
        <v>1200</v>
      </c>
      <c r="IX106" s="1099">
        <v>2000</v>
      </c>
      <c r="IY106" s="1099">
        <v>1900</v>
      </c>
      <c r="IZ106" s="1099">
        <f>JA106-IX106</f>
        <v>2400</v>
      </c>
      <c r="JA106" s="1099">
        <v>4400</v>
      </c>
      <c r="JB106" s="1099">
        <f>+JC106-IZ106</f>
        <v>1500</v>
      </c>
      <c r="JC106" s="1099">
        <f>+JD106-IX106</f>
        <v>3900</v>
      </c>
      <c r="JD106" s="1099">
        <f>+JD108+JD110+JD109</f>
        <v>5900</v>
      </c>
      <c r="JE106" s="1099"/>
      <c r="JF106" s="1099"/>
      <c r="JG106" s="1099"/>
      <c r="JH106" s="1100"/>
      <c r="JI106" s="784"/>
      <c r="JJ106" s="1099">
        <f>+JJ108+JJ110+JJ109</f>
        <v>1150</v>
      </c>
      <c r="JK106" s="1099">
        <f>+JK108+JK110+JK109</f>
        <v>1450</v>
      </c>
      <c r="JL106" s="1099">
        <v>1400</v>
      </c>
      <c r="JM106" s="1099">
        <f t="shared" ref="JM106:JM112" si="284">+JP106-JL106</f>
        <v>1400</v>
      </c>
      <c r="JN106" s="1099">
        <f t="shared" ref="JN106:JN112" si="285">JS106-JP106</f>
        <v>2400</v>
      </c>
      <c r="JO106" s="1099"/>
      <c r="JP106" s="1099">
        <v>2800</v>
      </c>
      <c r="JQ106" s="1099"/>
      <c r="JR106" s="1099"/>
      <c r="JS106" s="1099">
        <v>5200</v>
      </c>
      <c r="JT106" s="1099">
        <f>+JT108+JT110+JT109</f>
        <v>1800</v>
      </c>
      <c r="JU106" s="1099">
        <f>+JW106-JN106</f>
        <v>1300</v>
      </c>
      <c r="JV106" s="1099">
        <f>+JL106+JK106</f>
        <v>2850</v>
      </c>
      <c r="JW106" s="1099">
        <f>+JX106-JP106</f>
        <v>3700</v>
      </c>
      <c r="JX106" s="1099">
        <f>+JX107+JX110</f>
        <v>6500</v>
      </c>
      <c r="JY106" s="1099">
        <f t="shared" si="280"/>
        <v>4600</v>
      </c>
      <c r="JZ106" s="713"/>
      <c r="KA106" s="517"/>
      <c r="KB106" s="1099">
        <f>+KC106-JL106</f>
        <v>800</v>
      </c>
      <c r="KC106" s="1110">
        <v>2200</v>
      </c>
      <c r="KD106" s="1110">
        <f t="shared" ref="KD106" si="286">+KH106-KC106</f>
        <v>4200</v>
      </c>
      <c r="KE106" s="1110">
        <f>+KG106-JP106</f>
        <v>3600</v>
      </c>
      <c r="KF106" s="1110"/>
      <c r="KG106" s="1110">
        <v>6400</v>
      </c>
      <c r="KH106" s="1099">
        <f>+KH108+KH110+KH109</f>
        <v>6400</v>
      </c>
      <c r="KI106" s="517"/>
      <c r="KJ106" s="713"/>
      <c r="KK106" s="1099"/>
      <c r="KL106" s="790">
        <f>KM106-IX106</f>
        <v>5900</v>
      </c>
      <c r="KM106" s="790">
        <v>7900</v>
      </c>
      <c r="KN106" s="713"/>
      <c r="KO106" s="1099">
        <v>2500</v>
      </c>
      <c r="KP106" s="790">
        <v>4800</v>
      </c>
      <c r="KQ106" s="1100">
        <v>7300</v>
      </c>
      <c r="KR106" s="1099">
        <v>400</v>
      </c>
      <c r="KS106" s="1100">
        <v>-600</v>
      </c>
      <c r="KT106" s="1099">
        <f>KU106-IE106</f>
        <v>300</v>
      </c>
      <c r="KU106" s="1099">
        <v>-500</v>
      </c>
      <c r="KV106" s="1099">
        <f>KW106-KU106</f>
        <v>-100</v>
      </c>
      <c r="KW106" s="1100">
        <v>-600</v>
      </c>
      <c r="KX106" s="1099">
        <f>KY106-HN106</f>
        <v>-100</v>
      </c>
      <c r="KY106" s="1099">
        <f>KZ106-HI106</f>
        <v>-300</v>
      </c>
      <c r="KZ106" s="1100">
        <v>1200</v>
      </c>
      <c r="LA106" s="1099">
        <v>1300</v>
      </c>
      <c r="LB106" s="1099">
        <f>LC106-LA106</f>
        <v>-400</v>
      </c>
      <c r="LC106" s="1100">
        <v>900</v>
      </c>
      <c r="LD106" s="1100"/>
      <c r="LE106" s="1099">
        <f>LF106-GR106</f>
        <v>1300</v>
      </c>
      <c r="LF106" s="1099">
        <f>LG106-GP106</f>
        <v>3300</v>
      </c>
      <c r="LG106" s="1100">
        <v>4600</v>
      </c>
    </row>
    <row r="107" spans="1:319" s="705" customFormat="1">
      <c r="A107" s="510"/>
      <c r="B107" s="1064" t="s">
        <v>1049</v>
      </c>
      <c r="C107" s="1065" t="s">
        <v>948</v>
      </c>
      <c r="D107" s="497"/>
      <c r="E107" s="510"/>
      <c r="F107" s="510"/>
      <c r="G107" s="699"/>
      <c r="H107" s="510"/>
      <c r="I107" s="510"/>
      <c r="J107" s="699"/>
      <c r="K107" s="584"/>
      <c r="L107" s="584"/>
      <c r="M107" s="584"/>
      <c r="N107" s="584"/>
      <c r="O107" s="584"/>
      <c r="P107" s="584"/>
      <c r="Q107" s="584"/>
      <c r="R107" s="584"/>
      <c r="S107" s="700"/>
      <c r="T107" s="584"/>
      <c r="U107" s="584"/>
      <c r="V107" s="584"/>
      <c r="W107" s="584"/>
      <c r="X107" s="584"/>
      <c r="Y107" s="584"/>
      <c r="Z107" s="584"/>
      <c r="AA107" s="584"/>
      <c r="AB107" s="700"/>
      <c r="AC107" s="584"/>
      <c r="AD107" s="584"/>
      <c r="AE107" s="584"/>
      <c r="AF107" s="584"/>
      <c r="AG107" s="584"/>
      <c r="AH107" s="584"/>
      <c r="AI107" s="584"/>
      <c r="AJ107" s="584"/>
      <c r="AK107" s="497"/>
      <c r="AL107" s="584"/>
      <c r="AM107" s="584"/>
      <c r="AN107" s="584"/>
      <c r="AO107" s="584"/>
      <c r="AP107" s="584"/>
      <c r="AQ107" s="584"/>
      <c r="AR107" s="584"/>
      <c r="AS107" s="584"/>
      <c r="AT107" s="497"/>
      <c r="AU107" s="584"/>
      <c r="AV107" s="584"/>
      <c r="AW107" s="609">
        <f>AW106/(AW27-AN27)</f>
        <v>0.29898804047838085</v>
      </c>
      <c r="AX107" s="584"/>
      <c r="AY107" s="609">
        <f>AY106/(AY27-AO27)</f>
        <v>0.28851702250432776</v>
      </c>
      <c r="AZ107" s="584"/>
      <c r="BA107" s="584"/>
      <c r="BB107" s="612">
        <f>BB106/(BB27-AQ27)</f>
        <v>0.30878859857482183</v>
      </c>
      <c r="BC107" s="612">
        <f t="shared" si="281"/>
        <v>-7.5545105367302856E-3</v>
      </c>
      <c r="BD107" s="584"/>
      <c r="BE107" s="609">
        <f>BE106/(BE27-AS27)</f>
        <v>0.30123408803809154</v>
      </c>
      <c r="BF107" s="497"/>
      <c r="BG107" s="609"/>
      <c r="BH107" s="609">
        <f>BH106/(BH27-AR27)</f>
        <v>-9.7370983446932822E-3</v>
      </c>
      <c r="BI107" s="609">
        <f>BI106/(BI27-AS27)</f>
        <v>-1.7809772878527974E-2</v>
      </c>
      <c r="BJ107" s="497"/>
      <c r="BK107" s="510"/>
      <c r="BL107" s="510"/>
      <c r="BM107" s="647">
        <f>BM106/(BM27-AS27)</f>
        <v>0.16142050040355124</v>
      </c>
      <c r="BN107" s="510"/>
      <c r="BO107" s="497"/>
      <c r="BP107" s="609">
        <f>BP106/(BP27-AU27)</f>
        <v>0.30193236714975846</v>
      </c>
      <c r="BQ107" s="584"/>
      <c r="BR107" s="609">
        <f>BR106/(BR27-AV27)</f>
        <v>0.25795356835769562</v>
      </c>
      <c r="BS107" s="747">
        <v>0.3</v>
      </c>
      <c r="BT107" s="609">
        <f>BT106/(BT27-AW27)</f>
        <v>0.29850746268656714</v>
      </c>
      <c r="BU107" s="609">
        <v>0.3</v>
      </c>
      <c r="BV107" s="747">
        <f>BV106/(BV27-AY27)</f>
        <v>0.30280090840272522</v>
      </c>
      <c r="BW107" s="584"/>
      <c r="BX107" s="1112">
        <f>BX106/(BX27-BA27)</f>
        <v>0.29298380878951424</v>
      </c>
      <c r="BY107" s="609">
        <f>BY106/(BY27-BB27)</f>
        <v>0.29050279329608941</v>
      </c>
      <c r="BZ107" s="584"/>
      <c r="CA107" s="584"/>
      <c r="CB107" s="584"/>
      <c r="CC107" s="1112">
        <f>CC106/(CC27-BC27)</f>
        <v>0.30021014710297206</v>
      </c>
      <c r="CD107" s="584"/>
      <c r="CE107" s="1112">
        <f>CE106/(CE27-BE27)</f>
        <v>0.29464514476044068</v>
      </c>
      <c r="CF107" s="497"/>
      <c r="CG107" s="1113">
        <f>CG106/(CG27-BP27)</f>
        <v>0.27881040892193309</v>
      </c>
      <c r="CH107" s="667">
        <v>0.3</v>
      </c>
      <c r="CI107" s="667"/>
      <c r="CJ107" s="1114">
        <f>CJ106/(CJ27-BR27)</f>
        <v>0.18148820326678766</v>
      </c>
      <c r="CK107" s="510"/>
      <c r="CL107" s="1114">
        <f>CL106/(CL27-BT27)</f>
        <v>0.21739130434782608</v>
      </c>
      <c r="CM107" s="510"/>
      <c r="CN107" s="510"/>
      <c r="CO107" s="1112">
        <f>CO106/(CO27-BV27)</f>
        <v>0.28261893546867639</v>
      </c>
      <c r="CP107" s="1114">
        <f>CP106/(CP27-BX27)</f>
        <v>0.28689831048772713</v>
      </c>
      <c r="CQ107" s="510"/>
      <c r="CR107" s="1114">
        <f>CR106/(CR27-BY27)</f>
        <v>0.29884198729921552</v>
      </c>
      <c r="CS107" s="510"/>
      <c r="CT107" s="510"/>
      <c r="CU107" s="510">
        <f t="shared" si="276"/>
        <v>-1.4404766657200085E-2</v>
      </c>
      <c r="CV107" s="510"/>
      <c r="CW107" s="1115">
        <f>CW106/(CW27-CE27)</f>
        <v>0.28443722064201543</v>
      </c>
      <c r="CX107" s="1112"/>
      <c r="CY107" s="1114">
        <f>CY106/(CY27-CG27)</f>
        <v>0.74859638178415466</v>
      </c>
      <c r="CZ107" s="1114">
        <f>CZ106/(CZ27-CJ27)</f>
        <v>0.70866141732283461</v>
      </c>
      <c r="DA107" s="1114" t="e">
        <f>DA106/(DA27-CR27)</f>
        <v>#REF!</v>
      </c>
      <c r="DB107" s="1114">
        <f>DB106/(DB27-CR27)</f>
        <v>0.73094326487991645</v>
      </c>
      <c r="DC107" s="1114">
        <f>DC106/(DC27-CL27)</f>
        <v>5.5555555555555554</v>
      </c>
      <c r="DD107" s="1114">
        <f>DD106/(DD27-CM27)</f>
        <v>-4.3586132904177264</v>
      </c>
      <c r="DE107" s="1114">
        <f>DE106/(DE27-CO27)</f>
        <v>0.24002400240024002</v>
      </c>
      <c r="DF107" s="1114"/>
      <c r="DG107" s="1114">
        <f>DG106/(DG27-CP27)</f>
        <v>1.145402481705377</v>
      </c>
      <c r="DH107" s="1114"/>
      <c r="DI107" s="1114">
        <f>DI106/(DI27-CU27)</f>
        <v>0.63835692478490147</v>
      </c>
      <c r="DJ107" s="1112"/>
      <c r="DK107" s="1114">
        <f>DK106/(DK27-CW27)</f>
        <v>0.67943174799258799</v>
      </c>
      <c r="DL107" s="501"/>
      <c r="DM107" s="501"/>
      <c r="DN107" s="503"/>
      <c r="DO107" s="503"/>
      <c r="DP107" s="506"/>
      <c r="DQ107" s="503">
        <f>DQ106/(DQ27-CO27)</f>
        <v>0.24017467248908297</v>
      </c>
      <c r="DR107" s="503">
        <f>DR106/(DR27-CU27)</f>
        <v>0.39236479321314954</v>
      </c>
      <c r="DS107" s="501">
        <f>DS106/(DS27-CW27)</f>
        <v>0.47142973258554827</v>
      </c>
      <c r="DT107" s="501"/>
      <c r="DU107" s="503"/>
      <c r="DV107" s="503"/>
      <c r="DW107" s="503">
        <f>DW106/(DW27-BQ27)</f>
        <v>8.8644965351380944E-2</v>
      </c>
      <c r="DX107" s="503">
        <f>DX106/(DX27-BX27)</f>
        <v>-0.11018159559273617</v>
      </c>
      <c r="DY107" s="503">
        <f>DY106/(DY27-BZ27)</f>
        <v>6.7212346908127024E-2</v>
      </c>
      <c r="DZ107" s="497"/>
      <c r="EB107" s="503">
        <f>EB106/(EB27-BV27)</f>
        <v>0.27798837503158957</v>
      </c>
      <c r="EC107" s="503">
        <f>EC106/(EC27-CC27)</f>
        <v>0.2859593937660852</v>
      </c>
      <c r="ED107" s="501">
        <f>ED106/(ED27-CE27)</f>
        <v>0.24390243902439024</v>
      </c>
      <c r="EE107" s="497"/>
      <c r="EF107" s="510"/>
      <c r="EG107" s="1113">
        <f>EG106/(EG27-CY27)</f>
        <v>0.24987506246876562</v>
      </c>
      <c r="EH107" s="510"/>
      <c r="EI107" s="667">
        <f>EI106/(EI27-CZ27)</f>
        <v>0.23201856148491878</v>
      </c>
      <c r="EJ107" s="510"/>
      <c r="EK107" s="667">
        <f>EK106/(EK27-DB27)</f>
        <v>0.25477707006369427</v>
      </c>
      <c r="EL107" s="510"/>
      <c r="EM107" s="667"/>
      <c r="EN107" s="510"/>
      <c r="EO107" s="667"/>
      <c r="EQ107" s="667"/>
      <c r="ES107" s="667"/>
      <c r="EU107" s="1116"/>
      <c r="EV107" s="501"/>
      <c r="EW107" s="667">
        <v>0.35831699592821598</v>
      </c>
      <c r="EX107" s="667">
        <f>+EX106/(EX27-EG27)</f>
        <v>0</v>
      </c>
      <c r="EY107" s="667">
        <v>0.41620518799183909</v>
      </c>
      <c r="EZ107" s="667">
        <f>+EZ106/(EZ27-EI27)</f>
        <v>0.3</v>
      </c>
      <c r="FA107" s="667">
        <v>0.41620518799183909</v>
      </c>
      <c r="FB107" s="667">
        <f>+FB106/(FB27-EK27)</f>
        <v>0.32362459546925565</v>
      </c>
      <c r="FC107" s="667">
        <f>+$FL$107</f>
        <v>0.29693170570768723</v>
      </c>
      <c r="FD107" s="510">
        <v>0.41620518799183909</v>
      </c>
      <c r="FE107" s="667">
        <f>+$FL$107</f>
        <v>0.29693170570768723</v>
      </c>
      <c r="FF107" s="716">
        <v>0.41620518799183909</v>
      </c>
      <c r="FG107" s="667">
        <f>+FG106/(FG27-EQ27)</f>
        <v>0.27100271002710025</v>
      </c>
      <c r="FH107" s="667">
        <f>+$FL$107</f>
        <v>0.29693170570768723</v>
      </c>
      <c r="FI107" s="667">
        <f>+FI106/(FI27-ES27)</f>
        <v>0.2485089463220676</v>
      </c>
      <c r="FJ107" s="667">
        <f>+$FL$107</f>
        <v>0.29693170570768723</v>
      </c>
      <c r="FK107" s="1116">
        <f>+FK106/(FK27-EU27)</f>
        <v>0.27220142905750255</v>
      </c>
      <c r="FL107" s="501">
        <f>+FL106/(FL27-EU27)</f>
        <v>0.29693170570768723</v>
      </c>
      <c r="FM107" s="503">
        <f t="shared" si="278"/>
        <v>0</v>
      </c>
      <c r="FN107" s="503"/>
      <c r="FO107" s="503"/>
      <c r="FP107" s="503"/>
      <c r="FQ107" s="501">
        <f>+FQ106/(FQ27-EU27)</f>
        <v>0.2741307170682441</v>
      </c>
      <c r="FR107" s="501"/>
      <c r="FS107" s="667"/>
      <c r="FT107" s="1117"/>
      <c r="FU107" s="1117"/>
      <c r="FV107" s="667"/>
      <c r="FW107" s="503"/>
      <c r="FX107" s="503"/>
      <c r="FY107" s="667"/>
      <c r="FZ107" s="667"/>
      <c r="GA107" s="667"/>
      <c r="GB107" s="1118"/>
      <c r="GC107" s="1118"/>
      <c r="GD107" s="1119"/>
      <c r="GE107" s="667"/>
      <c r="GF107" s="667"/>
      <c r="GG107" s="667"/>
      <c r="GH107" s="503"/>
      <c r="GI107" s="503"/>
      <c r="GJ107" s="504"/>
      <c r="GK107" s="1117"/>
      <c r="GL107" s="756"/>
      <c r="GM107" s="1117"/>
      <c r="GN107" s="1117"/>
      <c r="GO107" s="1117"/>
      <c r="GP107" s="1117"/>
      <c r="GQ107" s="1117"/>
      <c r="GR107" s="667"/>
      <c r="GS107" s="667"/>
      <c r="GT107" s="1118"/>
      <c r="GU107" s="1118"/>
      <c r="GV107" s="1119"/>
      <c r="GW107" s="667"/>
      <c r="GX107" s="1117"/>
      <c r="GY107" s="1117"/>
      <c r="GZ107" s="1117"/>
      <c r="HA107" s="504"/>
      <c r="HB107" s="1117"/>
      <c r="HC107" s="1117"/>
      <c r="HD107" s="1117"/>
      <c r="HE107" s="1117"/>
      <c r="HF107" s="1117"/>
      <c r="HG107" s="1117"/>
      <c r="HH107" s="1117"/>
      <c r="HI107" s="1117"/>
      <c r="HJ107" s="1117"/>
      <c r="HK107" s="1117"/>
      <c r="HL107" s="1117"/>
      <c r="HM107" s="1117"/>
      <c r="HN107" s="667"/>
      <c r="HO107" s="667"/>
      <c r="HP107" s="667"/>
      <c r="HQ107" s="667"/>
      <c r="HR107" s="1118"/>
      <c r="HS107" s="1118"/>
      <c r="HT107" s="1118"/>
      <c r="HU107" s="1118"/>
      <c r="HV107" s="1118"/>
      <c r="HW107" s="1117"/>
      <c r="HX107" s="1117"/>
      <c r="HY107" s="1117"/>
      <c r="HZ107" s="1118"/>
      <c r="IA107" s="1117"/>
      <c r="IB107" s="1117"/>
      <c r="IC107" s="504"/>
      <c r="ID107" s="1117"/>
      <c r="IE107" s="1120"/>
      <c r="IF107" s="1117"/>
      <c r="IG107" s="1117"/>
      <c r="IH107" s="1117"/>
      <c r="II107" s="1117"/>
      <c r="IJ107" s="1117"/>
      <c r="IK107" s="1117"/>
      <c r="IL107" s="1117"/>
      <c r="IM107" s="1117"/>
      <c r="IN107" s="1117"/>
      <c r="IO107" s="1117"/>
      <c r="IP107" s="1121"/>
      <c r="IQ107" s="1117"/>
      <c r="IR107" s="1121"/>
      <c r="IS107" s="1287"/>
      <c r="IT107" s="1117"/>
      <c r="IU107" s="1117"/>
      <c r="IV107" s="1117"/>
      <c r="IW107" s="1117"/>
      <c r="IX107" s="1117"/>
      <c r="IY107" s="1117"/>
      <c r="IZ107" s="1117"/>
      <c r="JA107" s="1117"/>
      <c r="JB107" s="1117"/>
      <c r="JC107" s="1117"/>
      <c r="JD107" s="1117"/>
      <c r="JE107" s="1117"/>
      <c r="JF107" s="1117"/>
      <c r="JG107" s="1117"/>
      <c r="JH107" s="1121"/>
      <c r="JI107" s="1287"/>
      <c r="JJ107" s="1287"/>
      <c r="JK107" s="61"/>
      <c r="JL107" s="756"/>
      <c r="JM107" s="61"/>
      <c r="JN107" s="61"/>
      <c r="JO107" s="61"/>
      <c r="JP107" s="61"/>
      <c r="JQ107" s="61"/>
      <c r="JR107" s="61"/>
      <c r="JS107" s="61"/>
      <c r="JT107" s="61"/>
      <c r="JU107" s="61"/>
      <c r="JV107" s="61"/>
      <c r="JW107" s="61"/>
      <c r="JX107" s="2156">
        <f>+Driver!AL200</f>
        <v>8500</v>
      </c>
      <c r="JY107" s="2156">
        <f t="shared" si="280"/>
        <v>0</v>
      </c>
      <c r="JZ107" s="61"/>
      <c r="KA107" s="1122"/>
      <c r="KB107" s="61"/>
      <c r="KC107" s="61"/>
      <c r="KD107" s="61"/>
      <c r="KE107" s="61"/>
      <c r="KF107" s="61"/>
      <c r="KG107" s="61"/>
      <c r="KH107" s="61"/>
      <c r="KI107" s="1122"/>
      <c r="KJ107" s="61"/>
      <c r="KK107" s="1117"/>
      <c r="KL107" s="61"/>
      <c r="KM107" s="61"/>
      <c r="KN107" s="61"/>
      <c r="KO107" s="61"/>
      <c r="KP107" s="618"/>
      <c r="KQ107" s="620"/>
      <c r="KR107" s="618"/>
      <c r="KS107" s="620"/>
      <c r="KT107" s="618"/>
      <c r="KU107" s="618"/>
      <c r="KV107" s="618"/>
      <c r="KW107" s="754"/>
      <c r="KX107" s="618"/>
      <c r="KY107" s="618"/>
      <c r="KZ107" s="501"/>
      <c r="LA107" s="618"/>
      <c r="LB107" s="618"/>
      <c r="LC107" s="501"/>
      <c r="LD107" s="501"/>
      <c r="LE107" s="618"/>
      <c r="LF107" s="618"/>
      <c r="LG107" s="501"/>
    </row>
    <row r="108" spans="1:319" s="705" customFormat="1" ht="12">
      <c r="A108" s="510"/>
      <c r="B108" s="1064" t="s">
        <v>1199</v>
      </c>
      <c r="C108" s="1065" t="s">
        <v>1218</v>
      </c>
      <c r="D108" s="497"/>
      <c r="E108" s="510"/>
      <c r="F108" s="510"/>
      <c r="G108" s="699"/>
      <c r="H108" s="510"/>
      <c r="I108" s="510"/>
      <c r="J108" s="699"/>
      <c r="K108" s="584"/>
      <c r="L108" s="584"/>
      <c r="M108" s="584"/>
      <c r="N108" s="584"/>
      <c r="O108" s="584"/>
      <c r="P108" s="584"/>
      <c r="Q108" s="584"/>
      <c r="R108" s="584"/>
      <c r="S108" s="700"/>
      <c r="T108" s="584"/>
      <c r="U108" s="584"/>
      <c r="V108" s="584"/>
      <c r="W108" s="584"/>
      <c r="X108" s="584"/>
      <c r="Y108" s="584"/>
      <c r="Z108" s="584"/>
      <c r="AA108" s="584"/>
      <c r="AB108" s="700"/>
      <c r="AC108" s="584"/>
      <c r="AD108" s="584"/>
      <c r="AE108" s="584"/>
      <c r="AF108" s="584"/>
      <c r="AG108" s="584"/>
      <c r="AH108" s="584"/>
      <c r="AI108" s="584"/>
      <c r="AJ108" s="584"/>
      <c r="AK108" s="497"/>
      <c r="AL108" s="584"/>
      <c r="AM108" s="584"/>
      <c r="AN108" s="584"/>
      <c r="AO108" s="584"/>
      <c r="AP108" s="584"/>
      <c r="AQ108" s="584"/>
      <c r="AR108" s="584"/>
      <c r="AS108" s="584"/>
      <c r="AT108" s="497"/>
      <c r="AU108" s="584"/>
      <c r="AV108" s="584"/>
      <c r="AW108" s="609"/>
      <c r="AX108" s="584"/>
      <c r="AY108" s="609"/>
      <c r="AZ108" s="584"/>
      <c r="BA108" s="584"/>
      <c r="BB108" s="612"/>
      <c r="BC108" s="612"/>
      <c r="BD108" s="584"/>
      <c r="BE108" s="609"/>
      <c r="BF108" s="497"/>
      <c r="BG108" s="609"/>
      <c r="BH108" s="609"/>
      <c r="BI108" s="609"/>
      <c r="BJ108" s="497"/>
      <c r="BK108" s="510"/>
      <c r="BL108" s="510"/>
      <c r="BM108" s="647"/>
      <c r="BN108" s="510"/>
      <c r="BO108" s="497"/>
      <c r="BP108" s="609"/>
      <c r="BQ108" s="584"/>
      <c r="BR108" s="609"/>
      <c r="BS108" s="747"/>
      <c r="BT108" s="609"/>
      <c r="BU108" s="609"/>
      <c r="BV108" s="747"/>
      <c r="BW108" s="584"/>
      <c r="BX108" s="1112"/>
      <c r="BY108" s="609"/>
      <c r="BZ108" s="584"/>
      <c r="CA108" s="584"/>
      <c r="CB108" s="584"/>
      <c r="CC108" s="1112"/>
      <c r="CD108" s="584"/>
      <c r="CE108" s="1112"/>
      <c r="CF108" s="497"/>
      <c r="CG108" s="1113"/>
      <c r="CH108" s="667"/>
      <c r="CI108" s="667"/>
      <c r="CJ108" s="1114"/>
      <c r="CK108" s="510"/>
      <c r="CL108" s="1114"/>
      <c r="CM108" s="510"/>
      <c r="CN108" s="510"/>
      <c r="CO108" s="1112"/>
      <c r="CP108" s="1114"/>
      <c r="CQ108" s="510"/>
      <c r="CR108" s="1114"/>
      <c r="CS108" s="510"/>
      <c r="CT108" s="510"/>
      <c r="CU108" s="510"/>
      <c r="CV108" s="510"/>
      <c r="CW108" s="1115"/>
      <c r="CX108" s="1112"/>
      <c r="CY108" s="1012">
        <v>1100</v>
      </c>
      <c r="CZ108" s="625">
        <f t="shared" ref="CZ108:CZ127" si="287">+DB108-CY108</f>
        <v>1100</v>
      </c>
      <c r="DA108" s="625" t="e">
        <f>+#REF!+CY108</f>
        <v>#REF!</v>
      </c>
      <c r="DB108" s="625">
        <v>2200</v>
      </c>
      <c r="DC108" s="625">
        <v>1400</v>
      </c>
      <c r="DD108" s="625">
        <v>1500</v>
      </c>
      <c r="DE108" s="625">
        <f t="shared" si="42"/>
        <v>100</v>
      </c>
      <c r="DF108" s="625"/>
      <c r="DG108" s="625">
        <f>DC108+DB108</f>
        <v>3600</v>
      </c>
      <c r="DH108" s="625"/>
      <c r="DI108" s="625">
        <f t="shared" si="224"/>
        <v>1500</v>
      </c>
      <c r="DJ108" s="625">
        <f>+DL108-DB108</f>
        <v>1800</v>
      </c>
      <c r="DK108" s="625">
        <v>3700</v>
      </c>
      <c r="DL108" s="732">
        <v>4000</v>
      </c>
      <c r="DM108" s="501"/>
      <c r="DN108" s="503"/>
      <c r="DO108" s="503"/>
      <c r="DP108" s="733">
        <v>1700</v>
      </c>
      <c r="DQ108" s="733">
        <v>300</v>
      </c>
      <c r="DR108" s="733">
        <v>1700</v>
      </c>
      <c r="DS108" s="732">
        <f>+DR108+DB108</f>
        <v>3900</v>
      </c>
      <c r="DT108" s="501"/>
      <c r="DU108" s="503" t="s">
        <v>1126</v>
      </c>
      <c r="DV108" s="733">
        <f>DW108-CY108</f>
        <v>1200</v>
      </c>
      <c r="DW108" s="733">
        <v>2300</v>
      </c>
      <c r="DX108" s="733">
        <f>DY108-DB108</f>
        <v>1800</v>
      </c>
      <c r="DY108" s="733">
        <v>4000</v>
      </c>
      <c r="DZ108" s="497"/>
      <c r="EB108" s="503"/>
      <c r="EC108" s="503"/>
      <c r="ED108" s="501"/>
      <c r="EE108" s="497"/>
      <c r="EF108" s="510"/>
      <c r="EG108" s="714"/>
      <c r="EH108" s="510"/>
      <c r="EI108" s="510"/>
      <c r="EJ108" s="510"/>
      <c r="EK108" s="510"/>
      <c r="EL108" s="510"/>
      <c r="EM108" s="510"/>
      <c r="EN108" s="510"/>
      <c r="EO108" s="510"/>
      <c r="EQ108" s="510"/>
      <c r="ES108" s="510"/>
      <c r="EU108" s="699"/>
      <c r="EV108" s="732"/>
      <c r="EW108" s="510"/>
      <c r="EX108" s="510"/>
      <c r="EY108" s="510"/>
      <c r="EZ108" s="510"/>
      <c r="FA108" s="510"/>
      <c r="FB108" s="510"/>
      <c r="FC108" s="510"/>
      <c r="FD108" s="1036"/>
      <c r="FE108" s="510"/>
      <c r="FF108" s="716"/>
      <c r="FG108" s="716"/>
      <c r="FH108" s="510"/>
      <c r="FI108" s="510"/>
      <c r="FJ108" s="510"/>
      <c r="FK108" s="699"/>
      <c r="FL108" s="732"/>
      <c r="FM108" s="733">
        <f t="shared" si="278"/>
        <v>0</v>
      </c>
      <c r="FN108" s="733"/>
      <c r="FO108" s="733"/>
      <c r="FP108" s="733"/>
      <c r="FQ108" s="732"/>
      <c r="FR108" s="732"/>
      <c r="FS108" s="510"/>
      <c r="FT108" s="733"/>
      <c r="FU108" s="733"/>
      <c r="FV108" s="510"/>
      <c r="FW108" s="733"/>
      <c r="FX108" s="733"/>
      <c r="FY108" s="510"/>
      <c r="FZ108" s="510"/>
      <c r="GA108" s="510"/>
      <c r="GB108" s="510"/>
      <c r="GC108" s="510"/>
      <c r="GD108" s="699"/>
      <c r="GE108" s="510"/>
      <c r="GF108" s="510"/>
      <c r="GG108" s="510"/>
      <c r="GH108" s="733"/>
      <c r="GI108" s="733"/>
      <c r="GJ108" s="738"/>
      <c r="GK108" s="733"/>
      <c r="GL108" s="733"/>
      <c r="GM108" s="733"/>
      <c r="GN108" s="733"/>
      <c r="GO108" s="733"/>
      <c r="GP108" s="733">
        <v>1600</v>
      </c>
      <c r="GQ108" s="733"/>
      <c r="GR108" s="510">
        <v>2000</v>
      </c>
      <c r="GS108" s="510">
        <v>3600</v>
      </c>
      <c r="GT108" s="1123">
        <f>GU108-GR108</f>
        <v>1500</v>
      </c>
      <c r="GU108" s="1123">
        <f>GV108-GP108</f>
        <v>3500</v>
      </c>
      <c r="GV108" s="699">
        <v>5100</v>
      </c>
      <c r="GW108" s="510"/>
      <c r="GX108" s="733"/>
      <c r="GY108" s="733"/>
      <c r="GZ108" s="733"/>
      <c r="HA108" s="738"/>
      <c r="HB108" s="733"/>
      <c r="HC108" s="733"/>
      <c r="HD108" s="733">
        <v>1200</v>
      </c>
      <c r="HE108" s="733">
        <v>1200</v>
      </c>
      <c r="HF108" s="733">
        <f>HI108-HD108</f>
        <v>0</v>
      </c>
      <c r="HG108" s="733">
        <f>HL108-HE108</f>
        <v>0</v>
      </c>
      <c r="HH108" s="733">
        <f t="shared" ref="HH108:HH111" si="288">HM108-HE108</f>
        <v>0</v>
      </c>
      <c r="HI108" s="733">
        <v>1200</v>
      </c>
      <c r="HJ108" s="733"/>
      <c r="HK108" s="733"/>
      <c r="HL108" s="733">
        <v>1200</v>
      </c>
      <c r="HM108" s="733">
        <v>1200</v>
      </c>
      <c r="HN108" s="510">
        <f>HP108-HI108</f>
        <v>0</v>
      </c>
      <c r="HO108" s="510">
        <f>HQ108-HM108</f>
        <v>0</v>
      </c>
      <c r="HP108" s="510">
        <v>1200</v>
      </c>
      <c r="HQ108" s="510">
        <v>1200</v>
      </c>
      <c r="HR108" s="1123">
        <f>HT108-HN108</f>
        <v>0</v>
      </c>
      <c r="HS108" s="1123"/>
      <c r="HT108" s="1123">
        <f>HV108-HI108</f>
        <v>0</v>
      </c>
      <c r="HU108" s="1123"/>
      <c r="HV108" s="510">
        <v>1200</v>
      </c>
      <c r="HW108" s="733"/>
      <c r="HX108" s="733"/>
      <c r="HY108" s="733"/>
      <c r="HZ108" s="510"/>
      <c r="IA108" s="733"/>
      <c r="IB108" s="733"/>
      <c r="IC108" s="738"/>
      <c r="ID108" s="733"/>
      <c r="IE108" s="740">
        <v>-500</v>
      </c>
      <c r="IF108" s="733">
        <f>IG108-IE108</f>
        <v>-600</v>
      </c>
      <c r="IG108" s="1124">
        <v>-1100</v>
      </c>
      <c r="IH108" s="733">
        <v>-300</v>
      </c>
      <c r="II108" s="733"/>
      <c r="IJ108" s="753">
        <f>IH108+IG108</f>
        <v>-1400</v>
      </c>
      <c r="IK108" s="733">
        <f>IP108-IL108</f>
        <v>0</v>
      </c>
      <c r="IL108" s="733"/>
      <c r="IM108" s="733">
        <f>IO108-IH108</f>
        <v>-300</v>
      </c>
      <c r="IN108" s="733"/>
      <c r="IO108" s="733">
        <f>IR108-IG108</f>
        <v>-600</v>
      </c>
      <c r="IP108" s="732"/>
      <c r="IQ108" s="733"/>
      <c r="IR108" s="732">
        <v>-1700</v>
      </c>
      <c r="IS108" s="1285"/>
      <c r="IT108" s="733"/>
      <c r="IU108" s="1125">
        <v>600</v>
      </c>
      <c r="IV108" s="733">
        <f>IX108-IU108</f>
        <v>2400</v>
      </c>
      <c r="IW108" s="733">
        <v>2200</v>
      </c>
      <c r="IX108" s="733">
        <v>3000</v>
      </c>
      <c r="IY108" s="733"/>
      <c r="IZ108" s="733">
        <v>3800</v>
      </c>
      <c r="JA108" s="733">
        <f>+IX108+IZ108</f>
        <v>6800</v>
      </c>
      <c r="JB108" s="733">
        <f>+JC108-IZ108</f>
        <v>2900</v>
      </c>
      <c r="JC108" s="733">
        <f>+JD108-IX108</f>
        <v>6700</v>
      </c>
      <c r="JD108" s="733">
        <v>9700</v>
      </c>
      <c r="JE108" s="733"/>
      <c r="JF108" s="733"/>
      <c r="JG108" s="733"/>
      <c r="JH108" s="732"/>
      <c r="JI108" s="1285"/>
      <c r="JJ108" s="1840">
        <f>+ROUND(IU27*JJ32*2,-2)/2-JJ109</f>
        <v>2200</v>
      </c>
      <c r="JK108" s="1841">
        <f>+ROUND(IV27*JK32*2,-2)/2-JK109</f>
        <v>2600</v>
      </c>
      <c r="JL108" s="1012">
        <v>2500</v>
      </c>
      <c r="JM108" s="1841">
        <f t="shared" si="284"/>
        <v>2400</v>
      </c>
      <c r="JN108" s="1841">
        <f t="shared" si="285"/>
        <v>3800</v>
      </c>
      <c r="JO108" s="1841"/>
      <c r="JP108" s="2354">
        <v>4900</v>
      </c>
      <c r="JQ108" s="1841"/>
      <c r="JR108" s="1841"/>
      <c r="JS108" s="1841">
        <v>8700</v>
      </c>
      <c r="JT108" s="1841">
        <f>+ROUND(IZ27*JT32*2,-2)/2-JT109</f>
        <v>3450</v>
      </c>
      <c r="JU108" s="1841">
        <f>+JU106-JU110-JU109</f>
        <v>2600</v>
      </c>
      <c r="JV108" s="733">
        <f>+JL108+JK108</f>
        <v>5100</v>
      </c>
      <c r="JW108" s="733">
        <f>+JN108+JU108</f>
        <v>6400</v>
      </c>
      <c r="JX108" s="733">
        <f>+JP108+JW108</f>
        <v>11300</v>
      </c>
      <c r="JY108" s="733">
        <f t="shared" si="280"/>
        <v>8350</v>
      </c>
      <c r="JZ108" s="1125"/>
      <c r="KA108" s="1126"/>
      <c r="KB108" s="1125">
        <f>+KC108-JL108</f>
        <v>2500</v>
      </c>
      <c r="KC108" s="1125">
        <v>5000</v>
      </c>
      <c r="KD108" s="1125">
        <f>+KH108-KC108</f>
        <v>7000</v>
      </c>
      <c r="KE108" s="1125">
        <f>+KG108-JP108</f>
        <v>7100</v>
      </c>
      <c r="KF108" s="1125"/>
      <c r="KG108" s="604">
        <v>12000</v>
      </c>
      <c r="KH108" s="1125">
        <v>12000</v>
      </c>
      <c r="KI108" s="1126"/>
      <c r="KJ108" s="1125"/>
      <c r="KK108" s="733"/>
      <c r="KL108" s="733">
        <f>KM108-IX108</f>
        <v>7000</v>
      </c>
      <c r="KM108" s="1125">
        <v>10000</v>
      </c>
      <c r="KN108" s="1125"/>
      <c r="KO108" s="1125">
        <v>3500</v>
      </c>
      <c r="KP108" s="733">
        <v>6900</v>
      </c>
      <c r="KQ108" s="732">
        <v>10400</v>
      </c>
      <c r="KR108" s="733">
        <v>-400</v>
      </c>
      <c r="KS108" s="732">
        <v>-1500</v>
      </c>
      <c r="KT108" s="733"/>
      <c r="KU108" s="733"/>
      <c r="KV108" s="733"/>
      <c r="KW108" s="754"/>
      <c r="KX108" s="733">
        <f>KY108-HN108</f>
        <v>0</v>
      </c>
      <c r="KY108" s="733">
        <f>KZ108-HI108</f>
        <v>0</v>
      </c>
      <c r="KZ108" s="732">
        <v>1200</v>
      </c>
      <c r="LA108" s="733">
        <v>1200</v>
      </c>
      <c r="LB108" s="733">
        <f t="shared" ref="LB108:LB117" si="289">LC108-LA108</f>
        <v>0</v>
      </c>
      <c r="LC108" s="732">
        <v>1200</v>
      </c>
      <c r="LD108" s="732"/>
      <c r="LE108" s="733">
        <f>LF108-GR108</f>
        <v>1400</v>
      </c>
      <c r="LF108" s="733">
        <f>LG108-GP108</f>
        <v>3400</v>
      </c>
      <c r="LG108" s="732">
        <v>5000</v>
      </c>
    </row>
    <row r="109" spans="1:319" s="705" customFormat="1" ht="12">
      <c r="A109" s="510"/>
      <c r="B109" s="1064"/>
      <c r="C109" s="1065" t="s">
        <v>1366</v>
      </c>
      <c r="D109" s="497"/>
      <c r="E109" s="510"/>
      <c r="F109" s="510"/>
      <c r="G109" s="699"/>
      <c r="H109" s="510"/>
      <c r="I109" s="510"/>
      <c r="J109" s="699"/>
      <c r="K109" s="584"/>
      <c r="L109" s="584"/>
      <c r="M109" s="584"/>
      <c r="N109" s="584"/>
      <c r="O109" s="584"/>
      <c r="P109" s="584"/>
      <c r="Q109" s="584"/>
      <c r="R109" s="584"/>
      <c r="S109" s="700"/>
      <c r="T109" s="584"/>
      <c r="U109" s="584"/>
      <c r="V109" s="584"/>
      <c r="W109" s="584"/>
      <c r="X109" s="584"/>
      <c r="Y109" s="584"/>
      <c r="Z109" s="584"/>
      <c r="AA109" s="584"/>
      <c r="AB109" s="700"/>
      <c r="AC109" s="584"/>
      <c r="AD109" s="584"/>
      <c r="AE109" s="584"/>
      <c r="AF109" s="584"/>
      <c r="AG109" s="584"/>
      <c r="AH109" s="584"/>
      <c r="AI109" s="584"/>
      <c r="AJ109" s="584"/>
      <c r="AK109" s="497"/>
      <c r="AL109" s="584"/>
      <c r="AM109" s="584"/>
      <c r="AN109" s="584"/>
      <c r="AO109" s="584"/>
      <c r="AP109" s="584"/>
      <c r="AQ109" s="584"/>
      <c r="AR109" s="584"/>
      <c r="AS109" s="584"/>
      <c r="AT109" s="497"/>
      <c r="AU109" s="584"/>
      <c r="AV109" s="584"/>
      <c r="AW109" s="609"/>
      <c r="AX109" s="584"/>
      <c r="AY109" s="609"/>
      <c r="AZ109" s="584"/>
      <c r="BA109" s="584"/>
      <c r="BB109" s="612"/>
      <c r="BC109" s="612"/>
      <c r="BD109" s="584"/>
      <c r="BE109" s="609"/>
      <c r="BF109" s="497"/>
      <c r="BG109" s="609"/>
      <c r="BH109" s="609"/>
      <c r="BI109" s="609"/>
      <c r="BJ109" s="497"/>
      <c r="BK109" s="510"/>
      <c r="BL109" s="510"/>
      <c r="BM109" s="647"/>
      <c r="BN109" s="510"/>
      <c r="BO109" s="497"/>
      <c r="BP109" s="609"/>
      <c r="BQ109" s="584"/>
      <c r="BR109" s="609"/>
      <c r="BS109" s="747"/>
      <c r="BT109" s="609"/>
      <c r="BU109" s="609"/>
      <c r="BV109" s="747"/>
      <c r="BW109" s="584"/>
      <c r="BX109" s="1112"/>
      <c r="BY109" s="609"/>
      <c r="BZ109" s="584"/>
      <c r="CA109" s="584"/>
      <c r="CB109" s="584"/>
      <c r="CC109" s="1112"/>
      <c r="CD109" s="584"/>
      <c r="CE109" s="1112"/>
      <c r="CF109" s="497"/>
      <c r="CG109" s="1113"/>
      <c r="CH109" s="667"/>
      <c r="CI109" s="667"/>
      <c r="CJ109" s="1114"/>
      <c r="CK109" s="510"/>
      <c r="CL109" s="1114"/>
      <c r="CM109" s="510"/>
      <c r="CN109" s="510"/>
      <c r="CO109" s="1112"/>
      <c r="CP109" s="1114"/>
      <c r="CQ109" s="510"/>
      <c r="CR109" s="1114"/>
      <c r="CS109" s="510"/>
      <c r="CT109" s="510"/>
      <c r="CU109" s="510"/>
      <c r="CV109" s="510"/>
      <c r="CW109" s="1115"/>
      <c r="CX109" s="1112"/>
      <c r="CY109" s="1012"/>
      <c r="CZ109" s="625"/>
      <c r="DA109" s="1112"/>
      <c r="DB109" s="625"/>
      <c r="DC109" s="625"/>
      <c r="DD109" s="625"/>
      <c r="DE109" s="625"/>
      <c r="DF109" s="625"/>
      <c r="DG109" s="625"/>
      <c r="DH109" s="625"/>
      <c r="DI109" s="625"/>
      <c r="DJ109" s="1112"/>
      <c r="DK109" s="584"/>
      <c r="DL109" s="501"/>
      <c r="DM109" s="501"/>
      <c r="DN109" s="503"/>
      <c r="DO109" s="503"/>
      <c r="DP109" s="733"/>
      <c r="DQ109" s="733"/>
      <c r="DR109" s="733"/>
      <c r="DS109" s="732"/>
      <c r="DT109" s="501"/>
      <c r="DU109" s="503"/>
      <c r="DV109" s="733"/>
      <c r="DW109" s="733"/>
      <c r="DX109" s="733"/>
      <c r="DY109" s="733"/>
      <c r="DZ109" s="497"/>
      <c r="EB109" s="503"/>
      <c r="EC109" s="503"/>
      <c r="ED109" s="501"/>
      <c r="EE109" s="497"/>
      <c r="EF109" s="510"/>
      <c r="EG109" s="714"/>
      <c r="EH109" s="510"/>
      <c r="EI109" s="510"/>
      <c r="EJ109" s="510"/>
      <c r="EK109" s="510"/>
      <c r="EL109" s="510"/>
      <c r="EM109" s="510"/>
      <c r="EN109" s="510"/>
      <c r="EO109" s="510"/>
      <c r="EQ109" s="510"/>
      <c r="ES109" s="510"/>
      <c r="EU109" s="699"/>
      <c r="EV109" s="732"/>
      <c r="EW109" s="510"/>
      <c r="EX109" s="510"/>
      <c r="EY109" s="510"/>
      <c r="EZ109" s="510"/>
      <c r="FA109" s="510"/>
      <c r="FB109" s="510"/>
      <c r="FC109" s="510"/>
      <c r="FD109" s="667"/>
      <c r="FE109" s="510"/>
      <c r="FF109" s="667"/>
      <c r="FG109" s="667"/>
      <c r="FH109" s="510"/>
      <c r="FI109" s="510"/>
      <c r="FJ109" s="510"/>
      <c r="FK109" s="699"/>
      <c r="FL109" s="501"/>
      <c r="FM109" s="503"/>
      <c r="FN109" s="733"/>
      <c r="FO109" s="733"/>
      <c r="FP109" s="733"/>
      <c r="FQ109" s="732"/>
      <c r="FR109" s="732"/>
      <c r="FS109" s="510"/>
      <c r="FT109" s="733"/>
      <c r="FU109" s="733"/>
      <c r="FV109" s="510"/>
      <c r="FW109" s="733"/>
      <c r="FX109" s="733"/>
      <c r="FY109" s="510"/>
      <c r="FZ109" s="510"/>
      <c r="GA109" s="510"/>
      <c r="GB109" s="510"/>
      <c r="GC109" s="510"/>
      <c r="GD109" s="699"/>
      <c r="GE109" s="510"/>
      <c r="GF109" s="510"/>
      <c r="GG109" s="510"/>
      <c r="GH109" s="733"/>
      <c r="GI109" s="733"/>
      <c r="GJ109" s="738"/>
      <c r="GK109" s="733"/>
      <c r="GL109" s="733"/>
      <c r="GM109" s="733"/>
      <c r="GN109" s="733"/>
      <c r="GO109" s="733"/>
      <c r="GP109" s="733"/>
      <c r="GQ109" s="733"/>
      <c r="GR109" s="510"/>
      <c r="GS109" s="510"/>
      <c r="GT109" s="1123"/>
      <c r="GU109" s="1123"/>
      <c r="GV109" s="699"/>
      <c r="GW109" s="510"/>
      <c r="GX109" s="733"/>
      <c r="GY109" s="733"/>
      <c r="GZ109" s="733"/>
      <c r="HA109" s="738"/>
      <c r="HB109" s="733"/>
      <c r="HC109" s="733"/>
      <c r="HD109" s="733"/>
      <c r="HE109" s="733"/>
      <c r="HF109" s="733"/>
      <c r="HG109" s="733"/>
      <c r="HH109" s="733"/>
      <c r="HI109" s="733"/>
      <c r="HJ109" s="733"/>
      <c r="HK109" s="733"/>
      <c r="HL109" s="733"/>
      <c r="HM109" s="733"/>
      <c r="HN109" s="510"/>
      <c r="HO109" s="510"/>
      <c r="HP109" s="510"/>
      <c r="HQ109" s="510"/>
      <c r="HR109" s="1123"/>
      <c r="HS109" s="1123"/>
      <c r="HT109" s="1123"/>
      <c r="HU109" s="1123"/>
      <c r="HV109" s="510"/>
      <c r="HW109" s="733"/>
      <c r="HX109" s="733"/>
      <c r="HY109" s="733"/>
      <c r="HZ109" s="510"/>
      <c r="IA109" s="733"/>
      <c r="IB109" s="733"/>
      <c r="IC109" s="738"/>
      <c r="ID109" s="733"/>
      <c r="IE109" s="740"/>
      <c r="IF109" s="733"/>
      <c r="IG109" s="733"/>
      <c r="IH109" s="733"/>
      <c r="II109" s="733"/>
      <c r="IJ109" s="733"/>
      <c r="IK109" s="733"/>
      <c r="IL109" s="733"/>
      <c r="IM109" s="733"/>
      <c r="IN109" s="733"/>
      <c r="IO109" s="733"/>
      <c r="IP109" s="732"/>
      <c r="IQ109" s="733"/>
      <c r="IR109" s="732"/>
      <c r="IS109" s="1285"/>
      <c r="IT109" s="733"/>
      <c r="IU109" s="1125">
        <v>200</v>
      </c>
      <c r="IV109" s="733">
        <f>IX109-IU109</f>
        <v>-300</v>
      </c>
      <c r="IW109" s="733">
        <v>-500</v>
      </c>
      <c r="IX109" s="733">
        <v>-100</v>
      </c>
      <c r="IY109" s="733"/>
      <c r="IZ109" s="733">
        <v>-900</v>
      </c>
      <c r="JA109" s="733">
        <f>+IX109+IZ109</f>
        <v>-1000</v>
      </c>
      <c r="JB109" s="733">
        <f>+JC109-IZ109</f>
        <v>-700</v>
      </c>
      <c r="JC109" s="733">
        <f>+JD109-IX109</f>
        <v>-1600</v>
      </c>
      <c r="JD109" s="733">
        <v>-1700</v>
      </c>
      <c r="JE109" s="733"/>
      <c r="JF109" s="733"/>
      <c r="JG109" s="733"/>
      <c r="JH109" s="732"/>
      <c r="JI109" s="1285"/>
      <c r="JJ109" s="1840">
        <v>-700</v>
      </c>
      <c r="JK109" s="1841">
        <v>-900</v>
      </c>
      <c r="JL109" s="1012">
        <v>-500</v>
      </c>
      <c r="JM109" s="1841">
        <f t="shared" si="284"/>
        <v>-500</v>
      </c>
      <c r="JN109" s="1841">
        <f t="shared" si="285"/>
        <v>-900</v>
      </c>
      <c r="JO109" s="1841"/>
      <c r="JP109" s="2354">
        <v>-1000</v>
      </c>
      <c r="JQ109" s="1841"/>
      <c r="JR109" s="1841"/>
      <c r="JS109" s="1841">
        <v>-1900</v>
      </c>
      <c r="JT109" s="1841">
        <v>-1100</v>
      </c>
      <c r="JU109" s="1841">
        <v>-900</v>
      </c>
      <c r="JV109" s="733">
        <f>+JL109+JK109</f>
        <v>-1400</v>
      </c>
      <c r="JW109" s="733">
        <f>+JX109-JP109</f>
        <v>-1800</v>
      </c>
      <c r="JX109" s="733">
        <f>+JX107-JX108</f>
        <v>-2800</v>
      </c>
      <c r="JY109" s="733">
        <f t="shared" si="280"/>
        <v>-2100</v>
      </c>
      <c r="JZ109" s="1125"/>
      <c r="KA109" s="1126"/>
      <c r="KB109" s="1125">
        <f>+KC109-JL109</f>
        <v>-1200</v>
      </c>
      <c r="KC109" s="1125">
        <v>-1700</v>
      </c>
      <c r="KD109" s="1125">
        <f>+KH109-KC109</f>
        <v>-2100</v>
      </c>
      <c r="KE109" s="1125">
        <f>+KG109-JP109</f>
        <v>-2800</v>
      </c>
      <c r="KF109" s="1125"/>
      <c r="KG109" s="604">
        <v>-3800</v>
      </c>
      <c r="KH109" s="1125">
        <v>-3800</v>
      </c>
      <c r="KI109" s="1126"/>
      <c r="KJ109" s="1125"/>
      <c r="KK109" s="733"/>
      <c r="KL109" s="733">
        <f>KM109-IX109</f>
        <v>-400</v>
      </c>
      <c r="KM109" s="1125">
        <v>-500</v>
      </c>
      <c r="KN109" s="1125"/>
      <c r="KO109" s="1125">
        <v>-700</v>
      </c>
      <c r="KP109" s="733">
        <v>-1500</v>
      </c>
      <c r="KQ109" s="732">
        <v>-2200</v>
      </c>
      <c r="KR109" s="733"/>
      <c r="KS109" s="732"/>
      <c r="KT109" s="733">
        <f>KU109-IE109</f>
        <v>-700</v>
      </c>
      <c r="KU109" s="733">
        <v>-700</v>
      </c>
      <c r="KV109" s="733">
        <f>KW109-KU109</f>
        <v>-800</v>
      </c>
      <c r="KW109" s="754">
        <v>-1500</v>
      </c>
      <c r="KX109" s="733"/>
      <c r="KY109" s="733"/>
      <c r="KZ109" s="732"/>
      <c r="LA109" s="733"/>
      <c r="LB109" s="733"/>
      <c r="LC109" s="732"/>
      <c r="LD109" s="732"/>
      <c r="LE109" s="733"/>
      <c r="LF109" s="733"/>
      <c r="LG109" s="732"/>
    </row>
    <row r="110" spans="1:319" s="705" customFormat="1" ht="12">
      <c r="A110" s="510"/>
      <c r="B110" s="1064"/>
      <c r="C110" s="1065" t="s">
        <v>1388</v>
      </c>
      <c r="D110" s="497"/>
      <c r="E110" s="510"/>
      <c r="F110" s="510"/>
      <c r="G110" s="699"/>
      <c r="H110" s="510"/>
      <c r="I110" s="510"/>
      <c r="J110" s="699"/>
      <c r="K110" s="584"/>
      <c r="L110" s="584"/>
      <c r="M110" s="584"/>
      <c r="N110" s="584"/>
      <c r="O110" s="584"/>
      <c r="P110" s="584"/>
      <c r="Q110" s="584"/>
      <c r="R110" s="584"/>
      <c r="S110" s="700"/>
      <c r="T110" s="584"/>
      <c r="U110" s="584"/>
      <c r="V110" s="584"/>
      <c r="W110" s="584"/>
      <c r="X110" s="584"/>
      <c r="Y110" s="584"/>
      <c r="Z110" s="584"/>
      <c r="AA110" s="584"/>
      <c r="AB110" s="700"/>
      <c r="AC110" s="584"/>
      <c r="AD110" s="584"/>
      <c r="AE110" s="584"/>
      <c r="AF110" s="584"/>
      <c r="AG110" s="584"/>
      <c r="AH110" s="584"/>
      <c r="AI110" s="584"/>
      <c r="AJ110" s="584"/>
      <c r="AK110" s="497"/>
      <c r="AL110" s="584"/>
      <c r="AM110" s="584"/>
      <c r="AN110" s="584"/>
      <c r="AO110" s="584"/>
      <c r="AP110" s="584"/>
      <c r="AQ110" s="584"/>
      <c r="AR110" s="584"/>
      <c r="AS110" s="584"/>
      <c r="AT110" s="497"/>
      <c r="AU110" s="584"/>
      <c r="AV110" s="584"/>
      <c r="AW110" s="609"/>
      <c r="AX110" s="584"/>
      <c r="AY110" s="609"/>
      <c r="AZ110" s="584"/>
      <c r="BA110" s="584"/>
      <c r="BB110" s="612"/>
      <c r="BC110" s="612"/>
      <c r="BD110" s="584"/>
      <c r="BE110" s="609"/>
      <c r="BF110" s="497"/>
      <c r="BG110" s="609"/>
      <c r="BH110" s="609"/>
      <c r="BI110" s="609"/>
      <c r="BJ110" s="497"/>
      <c r="BK110" s="510"/>
      <c r="BL110" s="510"/>
      <c r="BM110" s="647"/>
      <c r="BN110" s="510"/>
      <c r="BO110" s="497"/>
      <c r="BP110" s="609"/>
      <c r="BQ110" s="584"/>
      <c r="BR110" s="609"/>
      <c r="BS110" s="747"/>
      <c r="BT110" s="609"/>
      <c r="BU110" s="609"/>
      <c r="BV110" s="747"/>
      <c r="BW110" s="584"/>
      <c r="BX110" s="1112"/>
      <c r="BY110" s="609"/>
      <c r="BZ110" s="584"/>
      <c r="CA110" s="584"/>
      <c r="CB110" s="584"/>
      <c r="CC110" s="1112"/>
      <c r="CD110" s="584"/>
      <c r="CE110" s="1112"/>
      <c r="CF110" s="497"/>
      <c r="CG110" s="1113"/>
      <c r="CH110" s="667"/>
      <c r="CI110" s="667"/>
      <c r="CJ110" s="1114"/>
      <c r="CK110" s="510"/>
      <c r="CL110" s="1114"/>
      <c r="CM110" s="510"/>
      <c r="CN110" s="510"/>
      <c r="CO110" s="1112"/>
      <c r="CP110" s="1114"/>
      <c r="CQ110" s="510"/>
      <c r="CR110" s="1114"/>
      <c r="CS110" s="510"/>
      <c r="CT110" s="510"/>
      <c r="CU110" s="510"/>
      <c r="CV110" s="510"/>
      <c r="CW110" s="1115"/>
      <c r="CX110" s="1112"/>
      <c r="CY110" s="1012"/>
      <c r="CZ110" s="625"/>
      <c r="DA110" s="625"/>
      <c r="DB110" s="625"/>
      <c r="DC110" s="625"/>
      <c r="DD110" s="625"/>
      <c r="DE110" s="625"/>
      <c r="DF110" s="625"/>
      <c r="DG110" s="625"/>
      <c r="DH110" s="625"/>
      <c r="DI110" s="625"/>
      <c r="DJ110" s="625"/>
      <c r="DK110" s="625"/>
      <c r="DL110" s="732"/>
      <c r="DM110" s="501"/>
      <c r="DN110" s="503"/>
      <c r="DO110" s="503"/>
      <c r="DP110" s="733"/>
      <c r="DQ110" s="733"/>
      <c r="DR110" s="733"/>
      <c r="DS110" s="732"/>
      <c r="DT110" s="501"/>
      <c r="DU110" s="503"/>
      <c r="DV110" s="733"/>
      <c r="DW110" s="733"/>
      <c r="DX110" s="733"/>
      <c r="DY110" s="733"/>
      <c r="DZ110" s="497"/>
      <c r="EB110" s="503"/>
      <c r="EC110" s="503"/>
      <c r="ED110" s="501"/>
      <c r="EE110" s="497"/>
      <c r="EF110" s="510"/>
      <c r="EG110" s="714"/>
      <c r="EH110" s="510"/>
      <c r="EI110" s="510"/>
      <c r="EJ110" s="510"/>
      <c r="EK110" s="510"/>
      <c r="EL110" s="510"/>
      <c r="EM110" s="510"/>
      <c r="EN110" s="510"/>
      <c r="EO110" s="510"/>
      <c r="EQ110" s="510"/>
      <c r="ES110" s="510"/>
      <c r="EU110" s="699"/>
      <c r="EV110" s="732"/>
      <c r="EW110" s="510"/>
      <c r="EX110" s="510"/>
      <c r="EY110" s="510"/>
      <c r="EZ110" s="510"/>
      <c r="FA110" s="510"/>
      <c r="FB110" s="510"/>
      <c r="FC110" s="510"/>
      <c r="FD110" s="1036"/>
      <c r="FE110" s="510"/>
      <c r="FF110" s="716"/>
      <c r="FG110" s="716"/>
      <c r="FH110" s="510"/>
      <c r="FI110" s="510"/>
      <c r="FJ110" s="510"/>
      <c r="FK110" s="699"/>
      <c r="FL110" s="732"/>
      <c r="FM110" s="733"/>
      <c r="FN110" s="733"/>
      <c r="FO110" s="733"/>
      <c r="FP110" s="733"/>
      <c r="FQ110" s="732"/>
      <c r="FR110" s="732"/>
      <c r="FS110" s="510"/>
      <c r="FT110" s="733"/>
      <c r="FU110" s="733"/>
      <c r="FV110" s="510"/>
      <c r="FW110" s="733"/>
      <c r="FX110" s="733"/>
      <c r="FY110" s="510"/>
      <c r="FZ110" s="510"/>
      <c r="GA110" s="510"/>
      <c r="GB110" s="510"/>
      <c r="GC110" s="510"/>
      <c r="GD110" s="699"/>
      <c r="GE110" s="510"/>
      <c r="GF110" s="510"/>
      <c r="GG110" s="510"/>
      <c r="GH110" s="733"/>
      <c r="GI110" s="733"/>
      <c r="GJ110" s="738"/>
      <c r="GK110" s="733"/>
      <c r="GL110" s="733"/>
      <c r="GM110" s="733"/>
      <c r="GN110" s="733"/>
      <c r="GO110" s="733"/>
      <c r="GP110" s="733"/>
      <c r="GQ110" s="733"/>
      <c r="GR110" s="510"/>
      <c r="GS110" s="510"/>
      <c r="GT110" s="1123"/>
      <c r="GU110" s="1123"/>
      <c r="GV110" s="699"/>
      <c r="GW110" s="510"/>
      <c r="GX110" s="733"/>
      <c r="GY110" s="733"/>
      <c r="GZ110" s="733"/>
      <c r="HA110" s="738"/>
      <c r="HB110" s="733"/>
      <c r="HC110" s="733"/>
      <c r="HD110" s="733"/>
      <c r="HE110" s="733"/>
      <c r="HF110" s="733"/>
      <c r="HG110" s="733"/>
      <c r="HH110" s="733"/>
      <c r="HI110" s="733"/>
      <c r="HJ110" s="733"/>
      <c r="HK110" s="733"/>
      <c r="HL110" s="733"/>
      <c r="HM110" s="733"/>
      <c r="HN110" s="510"/>
      <c r="HO110" s="510"/>
      <c r="HP110" s="510"/>
      <c r="HQ110" s="510"/>
      <c r="HR110" s="1123"/>
      <c r="HS110" s="1123"/>
      <c r="HT110" s="1123"/>
      <c r="HU110" s="1123"/>
      <c r="HV110" s="510"/>
      <c r="HW110" s="733"/>
      <c r="HX110" s="733"/>
      <c r="HY110" s="733"/>
      <c r="HZ110" s="510"/>
      <c r="IA110" s="733"/>
      <c r="IB110" s="733"/>
      <c r="IC110" s="738"/>
      <c r="ID110" s="733"/>
      <c r="IE110" s="740"/>
      <c r="IF110" s="733"/>
      <c r="IG110" s="1124"/>
      <c r="IH110" s="733"/>
      <c r="II110" s="733"/>
      <c r="IJ110" s="753"/>
      <c r="IK110" s="733"/>
      <c r="IL110" s="733"/>
      <c r="IM110" s="733"/>
      <c r="IN110" s="733"/>
      <c r="IO110" s="733"/>
      <c r="IP110" s="732"/>
      <c r="IQ110" s="733"/>
      <c r="IR110" s="732"/>
      <c r="IS110" s="1285"/>
      <c r="IT110" s="733"/>
      <c r="IU110" s="1125">
        <v>-100</v>
      </c>
      <c r="IV110" s="733">
        <f>IX110-IU110</f>
        <v>-800</v>
      </c>
      <c r="IW110" s="733">
        <v>-500</v>
      </c>
      <c r="IX110" s="733">
        <v>-900</v>
      </c>
      <c r="IY110" s="733"/>
      <c r="IZ110" s="733">
        <v>-500</v>
      </c>
      <c r="JA110" s="733">
        <f>+IX110+IZ110</f>
        <v>-1400</v>
      </c>
      <c r="JB110" s="733">
        <f>+JC110-IZ110</f>
        <v>-700</v>
      </c>
      <c r="JC110" s="733">
        <f>+JD110-IX110</f>
        <v>-1200</v>
      </c>
      <c r="JD110" s="733">
        <v>-2100</v>
      </c>
      <c r="JE110" s="733"/>
      <c r="JF110" s="733"/>
      <c r="JG110" s="733"/>
      <c r="JH110" s="732"/>
      <c r="JI110" s="1285"/>
      <c r="JJ110" s="1840">
        <f>+ROUND(IU27*JJ29*0.25*2,-2)/2</f>
        <v>-350</v>
      </c>
      <c r="JK110" s="1841">
        <f>+ROUND(IV27*JK29*0.25*2,-2)/2</f>
        <v>-250</v>
      </c>
      <c r="JL110" s="1012">
        <v>-600</v>
      </c>
      <c r="JM110" s="1841">
        <f t="shared" si="284"/>
        <v>-500</v>
      </c>
      <c r="JN110" s="1841">
        <f t="shared" si="285"/>
        <v>-500</v>
      </c>
      <c r="JO110" s="1841"/>
      <c r="JP110" s="2354">
        <v>-1100</v>
      </c>
      <c r="JQ110" s="1841"/>
      <c r="JR110" s="1841"/>
      <c r="JS110" s="1841">
        <v>-1600</v>
      </c>
      <c r="JT110" s="1841">
        <f>+ROUND(IZ27*JT29*0.25*2,-2)/2</f>
        <v>-550</v>
      </c>
      <c r="JU110" s="1841">
        <f>+JW110-JN110</f>
        <v>-400</v>
      </c>
      <c r="JV110" s="733">
        <f>+JL110+JK110</f>
        <v>-850</v>
      </c>
      <c r="JW110" s="733">
        <f>+JX110-JP110</f>
        <v>-900</v>
      </c>
      <c r="JX110" s="733">
        <f>+Driver!AL197</f>
        <v>-2000</v>
      </c>
      <c r="JY110" s="733">
        <f t="shared" si="280"/>
        <v>-1650</v>
      </c>
      <c r="JZ110" s="1125"/>
      <c r="KA110" s="1126"/>
      <c r="KB110" s="1125">
        <f>+KC110-JL110</f>
        <v>-500</v>
      </c>
      <c r="KC110" s="1125">
        <f>+KC106-KC108-KC109</f>
        <v>-1100</v>
      </c>
      <c r="KD110" s="1125">
        <f>+KH110-KC110</f>
        <v>-700</v>
      </c>
      <c r="KE110" s="1125">
        <f>+KG110-JP110</f>
        <v>-700</v>
      </c>
      <c r="KF110" s="1125"/>
      <c r="KG110" s="604">
        <v>-1800</v>
      </c>
      <c r="KH110" s="1125">
        <v>-1800</v>
      </c>
      <c r="KI110" s="1126"/>
      <c r="KJ110" s="1125"/>
      <c r="KK110" s="733"/>
      <c r="KL110" s="733">
        <f>KM110-IX110</f>
        <v>-700</v>
      </c>
      <c r="KM110" s="1125">
        <v>-1600</v>
      </c>
      <c r="KN110" s="1125"/>
      <c r="KO110" s="1125">
        <v>-300</v>
      </c>
      <c r="KP110" s="733">
        <v>-600</v>
      </c>
      <c r="KQ110" s="732">
        <v>-900</v>
      </c>
      <c r="KR110" s="733"/>
      <c r="KS110" s="732"/>
      <c r="KT110" s="733"/>
      <c r="KU110" s="733"/>
      <c r="KV110" s="733"/>
      <c r="KW110" s="754"/>
      <c r="KX110" s="733"/>
      <c r="KY110" s="733"/>
      <c r="KZ110" s="732"/>
      <c r="LA110" s="733"/>
      <c r="LB110" s="733"/>
      <c r="LC110" s="732"/>
      <c r="LD110" s="732"/>
      <c r="LE110" s="733"/>
      <c r="LF110" s="733"/>
      <c r="LG110" s="732"/>
    </row>
    <row r="111" spans="1:319" s="705" customFormat="1" ht="12">
      <c r="A111" s="510"/>
      <c r="B111" s="1064" t="s">
        <v>1200</v>
      </c>
      <c r="C111" s="1065" t="s">
        <v>1294</v>
      </c>
      <c r="D111" s="497"/>
      <c r="E111" s="510"/>
      <c r="F111" s="510"/>
      <c r="G111" s="699"/>
      <c r="H111" s="510"/>
      <c r="I111" s="510"/>
      <c r="J111" s="699"/>
      <c r="K111" s="584"/>
      <c r="L111" s="584"/>
      <c r="M111" s="584"/>
      <c r="N111" s="584"/>
      <c r="O111" s="584"/>
      <c r="P111" s="584"/>
      <c r="Q111" s="584"/>
      <c r="R111" s="584"/>
      <c r="S111" s="700"/>
      <c r="T111" s="584"/>
      <c r="U111" s="584"/>
      <c r="V111" s="584"/>
      <c r="W111" s="584"/>
      <c r="X111" s="584"/>
      <c r="Y111" s="584"/>
      <c r="Z111" s="584"/>
      <c r="AA111" s="584"/>
      <c r="AB111" s="700"/>
      <c r="AC111" s="584"/>
      <c r="AD111" s="584"/>
      <c r="AE111" s="584"/>
      <c r="AF111" s="584"/>
      <c r="AG111" s="584"/>
      <c r="AH111" s="584"/>
      <c r="AI111" s="584"/>
      <c r="AJ111" s="584"/>
      <c r="AK111" s="497"/>
      <c r="AL111" s="584"/>
      <c r="AM111" s="584"/>
      <c r="AN111" s="584"/>
      <c r="AO111" s="584"/>
      <c r="AP111" s="584"/>
      <c r="AQ111" s="584"/>
      <c r="AR111" s="584"/>
      <c r="AS111" s="584"/>
      <c r="AT111" s="497"/>
      <c r="AU111" s="584"/>
      <c r="AV111" s="584"/>
      <c r="AW111" s="609"/>
      <c r="AX111" s="584"/>
      <c r="AY111" s="609"/>
      <c r="AZ111" s="584"/>
      <c r="BA111" s="584"/>
      <c r="BB111" s="612"/>
      <c r="BC111" s="612"/>
      <c r="BD111" s="584"/>
      <c r="BE111" s="609"/>
      <c r="BF111" s="497"/>
      <c r="BG111" s="609"/>
      <c r="BH111" s="609"/>
      <c r="BI111" s="609"/>
      <c r="BJ111" s="497"/>
      <c r="BK111" s="510"/>
      <c r="BL111" s="510"/>
      <c r="BM111" s="647"/>
      <c r="BN111" s="510"/>
      <c r="BO111" s="497"/>
      <c r="BP111" s="609"/>
      <c r="BQ111" s="584"/>
      <c r="BR111" s="609"/>
      <c r="BS111" s="747"/>
      <c r="BT111" s="609"/>
      <c r="BU111" s="609"/>
      <c r="BV111" s="747"/>
      <c r="BW111" s="584"/>
      <c r="BX111" s="1112"/>
      <c r="BY111" s="609"/>
      <c r="BZ111" s="584"/>
      <c r="CA111" s="584"/>
      <c r="CB111" s="584"/>
      <c r="CC111" s="1112"/>
      <c r="CD111" s="584"/>
      <c r="CE111" s="1112"/>
      <c r="CF111" s="497"/>
      <c r="CG111" s="1113"/>
      <c r="CH111" s="667"/>
      <c r="CI111" s="667"/>
      <c r="CJ111" s="1114"/>
      <c r="CK111" s="510"/>
      <c r="CL111" s="1114"/>
      <c r="CM111" s="510"/>
      <c r="CN111" s="510"/>
      <c r="CO111" s="1112"/>
      <c r="CP111" s="1114"/>
      <c r="CQ111" s="510"/>
      <c r="CR111" s="1114"/>
      <c r="CS111" s="510"/>
      <c r="CT111" s="510"/>
      <c r="CU111" s="510"/>
      <c r="CV111" s="510"/>
      <c r="CW111" s="1115"/>
      <c r="CX111" s="1112"/>
      <c r="CY111" s="1012">
        <v>100</v>
      </c>
      <c r="CZ111" s="625">
        <f t="shared" si="287"/>
        <v>-200</v>
      </c>
      <c r="DA111" s="1112"/>
      <c r="DB111" s="625">
        <v>-100</v>
      </c>
      <c r="DC111" s="625">
        <v>100</v>
      </c>
      <c r="DD111" s="625">
        <v>-200</v>
      </c>
      <c r="DE111" s="625">
        <f>DE106-DE108</f>
        <v>700</v>
      </c>
      <c r="DF111" s="625"/>
      <c r="DG111" s="625">
        <f>DG106-DG108</f>
        <v>0</v>
      </c>
      <c r="DH111" s="625"/>
      <c r="DI111" s="625">
        <f t="shared" si="224"/>
        <v>800</v>
      </c>
      <c r="DJ111" s="1112"/>
      <c r="DK111" s="584">
        <f>DK106-DK108</f>
        <v>700</v>
      </c>
      <c r="DL111" s="501"/>
      <c r="DM111" s="501"/>
      <c r="DN111" s="503"/>
      <c r="DO111" s="503"/>
      <c r="DP111" s="733">
        <v>600</v>
      </c>
      <c r="DQ111" s="733">
        <v>1900</v>
      </c>
      <c r="DR111" s="733">
        <v>2000</v>
      </c>
      <c r="DS111" s="732">
        <f>+DR111+DB111</f>
        <v>1900</v>
      </c>
      <c r="DT111" s="501"/>
      <c r="DU111" s="503"/>
      <c r="DV111" s="733">
        <f>DW111-CY111</f>
        <v>-100</v>
      </c>
      <c r="DW111" s="733">
        <v>0</v>
      </c>
      <c r="DX111" s="733">
        <v>800</v>
      </c>
      <c r="DY111" s="733">
        <v>800</v>
      </c>
      <c r="DZ111" s="497"/>
      <c r="EB111" s="503"/>
      <c r="EC111" s="503"/>
      <c r="ED111" s="501"/>
      <c r="EE111" s="497"/>
      <c r="EF111" s="510"/>
      <c r="EG111" s="714"/>
      <c r="EH111" s="510"/>
      <c r="EI111" s="510"/>
      <c r="EJ111" s="510"/>
      <c r="EK111" s="510"/>
      <c r="EL111" s="510"/>
      <c r="EM111" s="510"/>
      <c r="EN111" s="510"/>
      <c r="EO111" s="510"/>
      <c r="EQ111" s="510"/>
      <c r="ES111" s="510"/>
      <c r="EU111" s="699"/>
      <c r="EV111" s="732"/>
      <c r="EW111" s="510"/>
      <c r="EX111" s="510"/>
      <c r="EY111" s="510"/>
      <c r="EZ111" s="510"/>
      <c r="FA111" s="510"/>
      <c r="FB111" s="510"/>
      <c r="FC111" s="510"/>
      <c r="FD111" s="667"/>
      <c r="FE111" s="510"/>
      <c r="FF111" s="667"/>
      <c r="FG111" s="667"/>
      <c r="FH111" s="510"/>
      <c r="FI111" s="510"/>
      <c r="FJ111" s="510"/>
      <c r="FK111" s="699"/>
      <c r="FL111" s="501"/>
      <c r="FM111" s="503">
        <f t="shared" si="278"/>
        <v>0</v>
      </c>
      <c r="FN111" s="733"/>
      <c r="FO111" s="733"/>
      <c r="FP111" s="733"/>
      <c r="FQ111" s="732"/>
      <c r="FR111" s="732"/>
      <c r="FS111" s="510"/>
      <c r="FT111" s="733"/>
      <c r="FU111" s="733"/>
      <c r="FV111" s="510"/>
      <c r="FW111" s="733"/>
      <c r="FX111" s="733"/>
      <c r="FY111" s="510"/>
      <c r="FZ111" s="510"/>
      <c r="GA111" s="510"/>
      <c r="GB111" s="510"/>
      <c r="GC111" s="510"/>
      <c r="GD111" s="699"/>
      <c r="GE111" s="510"/>
      <c r="GF111" s="510"/>
      <c r="GG111" s="510"/>
      <c r="GH111" s="733"/>
      <c r="GI111" s="733"/>
      <c r="GJ111" s="738"/>
      <c r="GK111" s="733"/>
      <c r="GL111" s="733"/>
      <c r="GM111" s="733"/>
      <c r="GN111" s="733"/>
      <c r="GO111" s="733"/>
      <c r="GP111" s="733">
        <v>-300</v>
      </c>
      <c r="GQ111" s="733"/>
      <c r="GR111" s="510">
        <v>0</v>
      </c>
      <c r="GS111" s="510">
        <v>-300</v>
      </c>
      <c r="GT111" s="1123">
        <f>GU111-GR111</f>
        <v>400</v>
      </c>
      <c r="GU111" s="1123">
        <f>GV111-GP111</f>
        <v>400</v>
      </c>
      <c r="GV111" s="699">
        <v>100</v>
      </c>
      <c r="GW111" s="510"/>
      <c r="GX111" s="733"/>
      <c r="GY111" s="733"/>
      <c r="GZ111" s="733"/>
      <c r="HA111" s="738"/>
      <c r="HB111" s="733"/>
      <c r="HC111" s="733"/>
      <c r="HD111" s="733">
        <v>100</v>
      </c>
      <c r="HE111" s="733">
        <v>100</v>
      </c>
      <c r="HF111" s="733">
        <f>HI111-HD111</f>
        <v>200</v>
      </c>
      <c r="HG111" s="733">
        <f>HL111-HE111</f>
        <v>200</v>
      </c>
      <c r="HH111" s="733">
        <f t="shared" si="288"/>
        <v>200</v>
      </c>
      <c r="HI111" s="733">
        <v>300</v>
      </c>
      <c r="HJ111" s="733"/>
      <c r="HK111" s="733"/>
      <c r="HL111" s="733">
        <v>300</v>
      </c>
      <c r="HM111" s="733">
        <v>300</v>
      </c>
      <c r="HN111" s="510">
        <f>HP111-HI111</f>
        <v>-200</v>
      </c>
      <c r="HO111" s="510">
        <f>HQ111-HM111</f>
        <v>-200</v>
      </c>
      <c r="HP111" s="510">
        <v>100</v>
      </c>
      <c r="HQ111" s="510">
        <v>100</v>
      </c>
      <c r="HR111" s="1123">
        <f>HT111-HN111</f>
        <v>-400</v>
      </c>
      <c r="HS111" s="1123"/>
      <c r="HT111" s="1123">
        <f>HV111-HI111</f>
        <v>-600</v>
      </c>
      <c r="HU111" s="1123"/>
      <c r="HV111" s="510">
        <v>-300</v>
      </c>
      <c r="HW111" s="733"/>
      <c r="HX111" s="733"/>
      <c r="HY111" s="733"/>
      <c r="HZ111" s="510"/>
      <c r="IA111" s="733"/>
      <c r="IB111" s="733"/>
      <c r="IC111" s="738"/>
      <c r="ID111" s="733"/>
      <c r="IE111" s="740">
        <v>-300</v>
      </c>
      <c r="IF111" s="733">
        <f>IG111-IE111</f>
        <v>400</v>
      </c>
      <c r="IG111" s="1124">
        <v>100</v>
      </c>
      <c r="IH111" s="733">
        <v>100</v>
      </c>
      <c r="II111" s="733"/>
      <c r="IJ111" s="753">
        <f>IH111+IG111</f>
        <v>200</v>
      </c>
      <c r="IK111" s="733">
        <f>IP111-IL111</f>
        <v>0</v>
      </c>
      <c r="IL111" s="733"/>
      <c r="IM111" s="733">
        <f>IO111-IH111</f>
        <v>400</v>
      </c>
      <c r="IN111" s="733"/>
      <c r="IO111" s="733">
        <f>IR111-IG111</f>
        <v>500</v>
      </c>
      <c r="IP111" s="732"/>
      <c r="IQ111" s="733"/>
      <c r="IR111" s="732">
        <v>600</v>
      </c>
      <c r="IS111" s="740"/>
      <c r="IT111" s="733"/>
      <c r="IU111" s="733"/>
      <c r="IV111" s="733"/>
      <c r="IW111" s="733"/>
      <c r="IX111" s="733"/>
      <c r="IY111" s="733"/>
      <c r="IZ111" s="733"/>
      <c r="JA111" s="733"/>
      <c r="JB111" s="733"/>
      <c r="JC111" s="733"/>
      <c r="JD111" s="733"/>
      <c r="JE111" s="733"/>
      <c r="JF111" s="733"/>
      <c r="JG111" s="733"/>
      <c r="JH111" s="732"/>
      <c r="JI111" s="740"/>
      <c r="JJ111" s="740"/>
      <c r="JK111" s="733"/>
      <c r="JL111" s="756" t="s">
        <v>1516</v>
      </c>
      <c r="JM111" s="733"/>
      <c r="JN111" s="733"/>
      <c r="JO111" s="733"/>
      <c r="JP111" s="733"/>
      <c r="JQ111" s="733"/>
      <c r="JR111" s="733"/>
      <c r="JS111" s="733"/>
      <c r="JT111" s="733"/>
      <c r="JU111" s="733"/>
      <c r="JV111" s="733"/>
      <c r="JW111" s="733"/>
      <c r="JX111" s="733"/>
      <c r="JY111" s="733"/>
      <c r="JZ111" s="733"/>
      <c r="KA111" s="732"/>
      <c r="KB111" s="733"/>
      <c r="KC111" s="733"/>
      <c r="KD111" s="733"/>
      <c r="KE111" s="733"/>
      <c r="KF111" s="733"/>
      <c r="KG111" s="606"/>
      <c r="KH111" s="733"/>
      <c r="KI111" s="732"/>
      <c r="KJ111" s="733"/>
      <c r="KK111" s="733"/>
      <c r="KL111" s="733"/>
      <c r="KM111" s="733"/>
      <c r="KN111" s="733"/>
      <c r="KO111" s="733"/>
      <c r="KP111" s="733"/>
      <c r="KQ111" s="732"/>
      <c r="KR111" s="733">
        <v>800</v>
      </c>
      <c r="KS111" s="732">
        <v>900</v>
      </c>
      <c r="KT111" s="733">
        <f t="shared" ref="KT111:KT117" si="290">KU111-IE111</f>
        <v>500</v>
      </c>
      <c r="KU111" s="733">
        <v>200</v>
      </c>
      <c r="KV111" s="733">
        <f t="shared" ref="KV111:KV117" si="291">KW111-KU111</f>
        <v>700</v>
      </c>
      <c r="KW111" s="754">
        <v>900</v>
      </c>
      <c r="KX111" s="733">
        <f>KY111-HN111</f>
        <v>-1300</v>
      </c>
      <c r="KY111" s="733">
        <f>KZ111-HI111</f>
        <v>-1500</v>
      </c>
      <c r="KZ111" s="732">
        <v>-1200</v>
      </c>
      <c r="LA111" s="733">
        <v>100</v>
      </c>
      <c r="LB111" s="733">
        <f t="shared" si="289"/>
        <v>-400</v>
      </c>
      <c r="LC111" s="732">
        <v>-300</v>
      </c>
      <c r="LD111" s="732"/>
      <c r="LE111" s="733">
        <f>LF111-GR111</f>
        <v>-100</v>
      </c>
      <c r="LF111" s="733">
        <f>LG111-GP111</f>
        <v>-100</v>
      </c>
      <c r="LG111" s="732">
        <v>-400</v>
      </c>
    </row>
    <row r="112" spans="1:319" s="1044" customFormat="1" ht="12">
      <c r="A112" s="1036"/>
      <c r="B112" s="1037" t="s">
        <v>1077</v>
      </c>
      <c r="C112" s="1038" t="s">
        <v>942</v>
      </c>
      <c r="D112" s="1039"/>
      <c r="E112" s="1036"/>
      <c r="F112" s="1036"/>
      <c r="G112" s="1040"/>
      <c r="H112" s="1036"/>
      <c r="I112" s="1036"/>
      <c r="J112" s="1040"/>
      <c r="K112" s="1041"/>
      <c r="L112" s="1041"/>
      <c r="M112" s="1041"/>
      <c r="N112" s="1041"/>
      <c r="O112" s="1041"/>
      <c r="P112" s="1041"/>
      <c r="Q112" s="1041"/>
      <c r="R112" s="1041"/>
      <c r="S112" s="1042"/>
      <c r="T112" s="1041"/>
      <c r="U112" s="1041"/>
      <c r="V112" s="1041"/>
      <c r="W112" s="1041"/>
      <c r="X112" s="1041"/>
      <c r="Y112" s="1041"/>
      <c r="Z112" s="1041"/>
      <c r="AA112" s="1041"/>
      <c r="AB112" s="1042"/>
      <c r="AC112" s="1041"/>
      <c r="AD112" s="1041"/>
      <c r="AE112" s="1041"/>
      <c r="AF112" s="1041"/>
      <c r="AG112" s="1041"/>
      <c r="AH112" s="1041">
        <v>100</v>
      </c>
      <c r="AI112" s="1041">
        <f>+AJ112-AH112</f>
        <v>-700</v>
      </c>
      <c r="AJ112" s="1041">
        <v>-600</v>
      </c>
      <c r="AK112" s="1039"/>
      <c r="AL112" s="1041">
        <v>0</v>
      </c>
      <c r="AM112" s="1041">
        <f>+AQ112-AL112</f>
        <v>-200</v>
      </c>
      <c r="AN112" s="1041">
        <f>+AP112-AQ112</f>
        <v>-400</v>
      </c>
      <c r="AO112" s="1041">
        <f>+AR112-AN112</f>
        <v>0</v>
      </c>
      <c r="AP112" s="1041">
        <v>-600</v>
      </c>
      <c r="AQ112" s="1041">
        <v>-200</v>
      </c>
      <c r="AR112" s="1041">
        <f t="shared" ref="AR112:AR127" si="292">+AS112-AQ112</f>
        <v>-400</v>
      </c>
      <c r="AS112" s="1041">
        <v>-600</v>
      </c>
      <c r="AT112" s="1039"/>
      <c r="AU112" s="1041">
        <v>-300</v>
      </c>
      <c r="AV112" s="1041">
        <f>+BB112-AU112</f>
        <v>400</v>
      </c>
      <c r="AW112" s="1041">
        <f>+BA112-BB112</f>
        <v>700</v>
      </c>
      <c r="AX112" s="1041">
        <v>-100</v>
      </c>
      <c r="AY112" s="1041">
        <f t="shared" ref="AY112:AY127" si="293">+BC112-AW112</f>
        <v>200</v>
      </c>
      <c r="AZ112" s="1041"/>
      <c r="BA112" s="1041">
        <v>800</v>
      </c>
      <c r="BB112" s="1043">
        <v>100</v>
      </c>
      <c r="BC112" s="1043">
        <f t="shared" si="281"/>
        <v>900</v>
      </c>
      <c r="BD112" s="1041"/>
      <c r="BE112" s="1041">
        <v>1000</v>
      </c>
      <c r="BF112" s="1039"/>
      <c r="BG112" s="1041">
        <f>BH112-AW112</f>
        <v>-300</v>
      </c>
      <c r="BH112" s="1041">
        <f t="shared" ref="BH112:BH127" si="294">+BI112-BB112</f>
        <v>400</v>
      </c>
      <c r="BI112" s="1041">
        <v>500</v>
      </c>
      <c r="BJ112" s="1039"/>
      <c r="BK112" s="1036">
        <v>800</v>
      </c>
      <c r="BL112" s="1036">
        <v>1000</v>
      </c>
      <c r="BM112" s="1036">
        <v>1800</v>
      </c>
      <c r="BN112" s="1036"/>
      <c r="BO112" s="1039"/>
      <c r="BP112" s="1041">
        <v>400</v>
      </c>
      <c r="BQ112" s="1041"/>
      <c r="BR112" s="1041">
        <f t="shared" si="282"/>
        <v>0</v>
      </c>
      <c r="BS112" s="1041">
        <v>-400</v>
      </c>
      <c r="BT112" s="1041">
        <v>-500</v>
      </c>
      <c r="BU112" s="1041"/>
      <c r="BV112" s="1041">
        <f>CC112-BT112</f>
        <v>-500</v>
      </c>
      <c r="BW112" s="1041"/>
      <c r="BX112" s="1041">
        <v>-100</v>
      </c>
      <c r="BY112" s="1041">
        <v>400</v>
      </c>
      <c r="BZ112" s="1041"/>
      <c r="CA112" s="1041"/>
      <c r="CB112" s="1041"/>
      <c r="CC112" s="1041">
        <f t="shared" ref="CC112:CC119" si="295">CE112-BY112</f>
        <v>-1000</v>
      </c>
      <c r="CD112" s="1041"/>
      <c r="CE112" s="1041">
        <v>-600</v>
      </c>
      <c r="CF112" s="1039"/>
      <c r="CG112" s="1087">
        <v>-700</v>
      </c>
      <c r="CH112" s="1036">
        <v>-600</v>
      </c>
      <c r="CI112" s="1036">
        <v>-600</v>
      </c>
      <c r="CJ112" s="1036">
        <f t="shared" ref="CJ112:CJ123" si="296">CR112-CG112</f>
        <v>-400</v>
      </c>
      <c r="CK112" s="1036">
        <v>-500</v>
      </c>
      <c r="CL112" s="1097">
        <f t="shared" ref="CL112:CL123" si="297">CP112-CR112</f>
        <v>-500</v>
      </c>
      <c r="CM112" s="1036">
        <v>-400</v>
      </c>
      <c r="CN112" s="1036"/>
      <c r="CO112" s="1036">
        <f>CW112-CP112</f>
        <v>-500</v>
      </c>
      <c r="CP112" s="1036">
        <v>-1600</v>
      </c>
      <c r="CQ112" s="1036"/>
      <c r="CR112" s="1036">
        <v>-1100</v>
      </c>
      <c r="CS112" s="1036"/>
      <c r="CT112" s="1036"/>
      <c r="CU112" s="1036">
        <f t="shared" si="276"/>
        <v>-1000</v>
      </c>
      <c r="CV112" s="1036"/>
      <c r="CW112" s="1040">
        <v>-2100</v>
      </c>
      <c r="CX112" s="1036"/>
      <c r="CY112" s="1036">
        <v>-500</v>
      </c>
      <c r="CZ112" s="1036">
        <f t="shared" si="287"/>
        <v>-800</v>
      </c>
      <c r="DA112" s="1036" t="e">
        <f>+CY112+#REF!</f>
        <v>#REF!</v>
      </c>
      <c r="DB112" s="1036">
        <v>-1300</v>
      </c>
      <c r="DC112" s="1036">
        <f t="shared" ref="DC112:DC127" si="298">+DG112-DB112</f>
        <v>-800</v>
      </c>
      <c r="DD112" s="1036">
        <v>-800</v>
      </c>
      <c r="DE112" s="1036">
        <f t="shared" ref="DE112:DE164" si="299">+DK112-DG112</f>
        <v>100</v>
      </c>
      <c r="DF112" s="1036"/>
      <c r="DG112" s="1036">
        <v>-2100</v>
      </c>
      <c r="DH112" s="1036"/>
      <c r="DI112" s="1036">
        <f t="shared" si="224"/>
        <v>-700</v>
      </c>
      <c r="DJ112" s="1036"/>
      <c r="DK112" s="1036">
        <v>-2000</v>
      </c>
      <c r="DL112" s="1098"/>
      <c r="DM112" s="1098"/>
      <c r="DN112" s="1041"/>
      <c r="DO112" s="1041"/>
      <c r="DP112" s="1099">
        <v>-800</v>
      </c>
      <c r="DQ112" s="1099">
        <f t="shared" ref="DQ112" si="300">+DR112-DC112</f>
        <v>400</v>
      </c>
      <c r="DR112" s="1099">
        <f>+DS112-DB112</f>
        <v>-400</v>
      </c>
      <c r="DS112" s="1100">
        <v>-1700</v>
      </c>
      <c r="DT112" s="1098"/>
      <c r="DU112" s="1127">
        <v>-500</v>
      </c>
      <c r="DV112" s="1053">
        <f>DW112-CY112</f>
        <v>-800</v>
      </c>
      <c r="DW112" s="1097">
        <v>-1300</v>
      </c>
      <c r="DX112" s="1099">
        <f>DY112-DB112</f>
        <v>-100</v>
      </c>
      <c r="DY112" s="1099">
        <v>-1400</v>
      </c>
      <c r="DZ112" s="1039"/>
      <c r="EA112" s="1044">
        <v>-400</v>
      </c>
      <c r="EB112" s="1097">
        <f>ED112-CP112</f>
        <v>300</v>
      </c>
      <c r="EC112" s="1099">
        <f>ED112-CR112</f>
        <v>-200</v>
      </c>
      <c r="ED112" s="1098">
        <v>-1300</v>
      </c>
      <c r="EE112" s="1039"/>
      <c r="EF112" s="1036"/>
      <c r="EG112" s="1087">
        <v>300</v>
      </c>
      <c r="EH112" s="1036"/>
      <c r="EI112" s="1036">
        <f t="shared" ref="EI112" si="301">+EK112-EG112</f>
        <v>100</v>
      </c>
      <c r="EJ112" s="1036"/>
      <c r="EK112" s="1036">
        <v>400</v>
      </c>
      <c r="EL112" s="1036"/>
      <c r="EM112" s="1036">
        <f>+EO112-EK112</f>
        <v>500</v>
      </c>
      <c r="EN112" s="1036"/>
      <c r="EO112" s="1036">
        <v>900</v>
      </c>
      <c r="EQ112" s="1036">
        <f>+EU112-EO112</f>
        <v>400</v>
      </c>
      <c r="ES112" s="1036">
        <f>+EU112-EK112</f>
        <v>900</v>
      </c>
      <c r="EU112" s="1040">
        <v>1300</v>
      </c>
      <c r="EV112" s="517"/>
      <c r="EW112" s="1036">
        <v>-100</v>
      </c>
      <c r="EX112" s="1036">
        <v>200</v>
      </c>
      <c r="EY112" s="1036">
        <v>100</v>
      </c>
      <c r="EZ112" s="1036">
        <f>+FB112-EX112</f>
        <v>-300</v>
      </c>
      <c r="FA112" s="1036">
        <v>300</v>
      </c>
      <c r="FB112" s="1036">
        <v>-100</v>
      </c>
      <c r="FC112" s="1036">
        <f>+FE112-FB112</f>
        <v>-200</v>
      </c>
      <c r="FD112" s="510">
        <v>-400</v>
      </c>
      <c r="FE112" s="1036">
        <v>-300</v>
      </c>
      <c r="FF112" s="1036">
        <v>-400</v>
      </c>
      <c r="FG112" s="1036">
        <f>FI112-FC112</f>
        <v>200</v>
      </c>
      <c r="FH112" s="1036">
        <f>+FL112-FE112</f>
        <v>618.4871453982596</v>
      </c>
      <c r="FI112" s="1036">
        <f>FK112-FB112</f>
        <v>0</v>
      </c>
      <c r="FJ112" s="1036">
        <f>+FL112-FB112</f>
        <v>418.4871453982596</v>
      </c>
      <c r="FK112" s="1040">
        <v>-100</v>
      </c>
      <c r="FL112" s="1098">
        <f>+Driver!AD201</f>
        <v>318.4871453982596</v>
      </c>
      <c r="FM112" s="1041">
        <f t="shared" si="278"/>
        <v>-500</v>
      </c>
      <c r="FN112" s="1099">
        <v>-300</v>
      </c>
      <c r="FO112" s="1099">
        <f>+FQ112-FE112</f>
        <v>-500</v>
      </c>
      <c r="FP112" s="1099">
        <f t="shared" ref="FP112:FP127" si="302">+FQ112-FB112</f>
        <v>-700</v>
      </c>
      <c r="FQ112" s="1100">
        <v>-800</v>
      </c>
      <c r="FR112" s="1100"/>
      <c r="FS112" s="1036">
        <v>-100</v>
      </c>
      <c r="FT112" s="1099"/>
      <c r="FU112" s="1099"/>
      <c r="FV112" s="1036">
        <f>+FY112-FS112</f>
        <v>100</v>
      </c>
      <c r="FW112" s="1099"/>
      <c r="FX112" s="1099"/>
      <c r="FY112" s="1036">
        <v>0</v>
      </c>
      <c r="FZ112" s="1036">
        <f>+GA112-FY112</f>
        <v>0</v>
      </c>
      <c r="GA112" s="1036">
        <v>0</v>
      </c>
      <c r="GB112" s="1036">
        <f>+GD112-GA112</f>
        <v>-200</v>
      </c>
      <c r="GC112" s="1036">
        <f>+GD112-FY112</f>
        <v>-200</v>
      </c>
      <c r="GD112" s="1040">
        <v>-200</v>
      </c>
      <c r="GE112" s="1036"/>
      <c r="GF112" s="1036"/>
      <c r="GG112" s="1036"/>
      <c r="GH112" s="1099"/>
      <c r="GI112" s="1099"/>
      <c r="GJ112" s="1105"/>
      <c r="GK112" s="1099"/>
      <c r="GL112" s="1099">
        <v>-100</v>
      </c>
      <c r="GM112" s="1099"/>
      <c r="GN112" s="1099"/>
      <c r="GO112" s="1099">
        <f>+GP112-GL112</f>
        <v>-200</v>
      </c>
      <c r="GP112" s="1099">
        <v>-300</v>
      </c>
      <c r="GQ112" s="1099"/>
      <c r="GR112" s="1036">
        <f>+GS112-GP112</f>
        <v>0</v>
      </c>
      <c r="GS112" s="1036">
        <v>-300</v>
      </c>
      <c r="GT112" s="1036">
        <f>+GU112-GR112</f>
        <v>-100</v>
      </c>
      <c r="GU112" s="1036">
        <f>+GV112-GP112</f>
        <v>-100</v>
      </c>
      <c r="GV112" s="1040">
        <v>-400</v>
      </c>
      <c r="GW112" s="1036"/>
      <c r="GX112" s="1099"/>
      <c r="GY112" s="1099"/>
      <c r="GZ112" s="1099"/>
      <c r="HA112" s="1105"/>
      <c r="HB112" s="1099"/>
      <c r="HC112" s="1099"/>
      <c r="HD112" s="1099">
        <v>500</v>
      </c>
      <c r="HE112" s="1099">
        <v>500</v>
      </c>
      <c r="HF112" s="1099">
        <f>+HI112-HD112</f>
        <v>300</v>
      </c>
      <c r="HG112" s="1099">
        <f>+HL112-HE112</f>
        <v>300</v>
      </c>
      <c r="HH112" s="1099">
        <f>HM112-HE112</f>
        <v>300</v>
      </c>
      <c r="HI112" s="1099">
        <v>800</v>
      </c>
      <c r="HJ112" s="1099">
        <v>500</v>
      </c>
      <c r="HK112" s="1099"/>
      <c r="HL112" s="1099">
        <v>800</v>
      </c>
      <c r="HM112" s="1099">
        <v>800</v>
      </c>
      <c r="HN112" s="1036">
        <f>+HP112-HI112</f>
        <v>0</v>
      </c>
      <c r="HO112" s="1036">
        <f>+HQ112-HM112</f>
        <v>0</v>
      </c>
      <c r="HP112" s="1036">
        <v>800</v>
      </c>
      <c r="HQ112" s="1036">
        <v>800</v>
      </c>
      <c r="HR112" s="1036">
        <f>+HT112-HN112</f>
        <v>500</v>
      </c>
      <c r="HS112" s="1036"/>
      <c r="HT112" s="1036">
        <f>+HV112-HI112</f>
        <v>500</v>
      </c>
      <c r="HU112" s="1036">
        <f>HZ112-HM112</f>
        <v>500</v>
      </c>
      <c r="HV112" s="1036">
        <v>1300</v>
      </c>
      <c r="HW112" s="1099"/>
      <c r="HX112" s="1099"/>
      <c r="HY112" s="1099"/>
      <c r="HZ112" s="1036">
        <v>1300</v>
      </c>
      <c r="IA112" s="1099"/>
      <c r="IB112" s="1099"/>
      <c r="IC112" s="1105"/>
      <c r="ID112" s="1099"/>
      <c r="IE112" s="1106">
        <v>-400</v>
      </c>
      <c r="IF112" s="1099">
        <f>IG112-IE112</f>
        <v>-300</v>
      </c>
      <c r="IG112" s="1107">
        <v>-700</v>
      </c>
      <c r="IH112" s="1099">
        <f>+IJ112-IG112</f>
        <v>-300</v>
      </c>
      <c r="II112" s="1099"/>
      <c r="IJ112" s="1108">
        <v>-1000</v>
      </c>
      <c r="IK112" s="1099">
        <f>+IP112-IL112</f>
        <v>0</v>
      </c>
      <c r="IL112" s="1099"/>
      <c r="IM112" s="1099">
        <f>+IO112-IH112</f>
        <v>-900</v>
      </c>
      <c r="IN112" s="1099"/>
      <c r="IO112" s="1099">
        <f>+IR112-IG112</f>
        <v>-1200</v>
      </c>
      <c r="IP112" s="1100"/>
      <c r="IQ112" s="1099"/>
      <c r="IR112" s="1109">
        <v>-1900</v>
      </c>
      <c r="IS112" s="1289"/>
      <c r="IT112" s="1110">
        <v>-1200</v>
      </c>
      <c r="IU112" s="723">
        <v>-900</v>
      </c>
      <c r="IV112" s="1110">
        <f>IX112-IU112</f>
        <v>-1600</v>
      </c>
      <c r="IW112" s="1110">
        <v>-1300</v>
      </c>
      <c r="IX112" s="1099">
        <v>-2500</v>
      </c>
      <c r="IY112" s="1099">
        <v>-2200</v>
      </c>
      <c r="IZ112" s="1099">
        <f>JA112-IX112</f>
        <v>-2500</v>
      </c>
      <c r="JA112" s="1099">
        <v>-5000</v>
      </c>
      <c r="JB112" s="1099">
        <f>+JC112-IZ112</f>
        <v>-1700</v>
      </c>
      <c r="JC112" s="1099">
        <f>+JD112-IX112</f>
        <v>-4200</v>
      </c>
      <c r="JD112" s="1099">
        <v>-6700</v>
      </c>
      <c r="JE112" s="1099"/>
      <c r="JF112" s="1099"/>
      <c r="JG112" s="1099"/>
      <c r="JH112" s="1100"/>
      <c r="JI112" s="1289"/>
      <c r="JJ112" s="1797">
        <v>-1200</v>
      </c>
      <c r="JK112" s="1797">
        <v>-600</v>
      </c>
      <c r="JL112" s="1127">
        <v>-1700</v>
      </c>
      <c r="JM112" s="1099">
        <f t="shared" si="284"/>
        <v>-1000</v>
      </c>
      <c r="JN112" s="1099">
        <f t="shared" si="285"/>
        <v>-1100</v>
      </c>
      <c r="JO112" s="1797"/>
      <c r="JP112" s="1797">
        <v>-2700</v>
      </c>
      <c r="JQ112" s="1797"/>
      <c r="JR112" s="1797"/>
      <c r="JS112" s="1797">
        <v>-3800</v>
      </c>
      <c r="JT112" s="1797">
        <v>-600</v>
      </c>
      <c r="JU112" s="1797">
        <f>+JW112-JN112</f>
        <v>400</v>
      </c>
      <c r="JV112" s="1110">
        <f>+JL112+JK112</f>
        <v>-2300</v>
      </c>
      <c r="JW112" s="1110">
        <f>+JX112-JP112</f>
        <v>-700</v>
      </c>
      <c r="JX112" s="1110">
        <f>+JX114+JX117</f>
        <v>-3400</v>
      </c>
      <c r="JY112" s="1110">
        <f>+JP112+JT112</f>
        <v>-3300</v>
      </c>
      <c r="JZ112" s="603"/>
      <c r="KA112" s="746"/>
      <c r="KB112" s="1110">
        <f>+KC112-JL112</f>
        <v>-300</v>
      </c>
      <c r="KC112" s="1110">
        <v>-2000</v>
      </c>
      <c r="KD112" s="1110">
        <f t="shared" ref="KD112" si="303">+KH112-KC112</f>
        <v>-2300</v>
      </c>
      <c r="KE112" s="1110">
        <f>+KG112-JP112</f>
        <v>-1600</v>
      </c>
      <c r="KF112" s="1110"/>
      <c r="KG112" s="1110">
        <v>-4300</v>
      </c>
      <c r="KH112" s="1110">
        <v>-4300</v>
      </c>
      <c r="KI112" s="746"/>
      <c r="KJ112" s="603"/>
      <c r="KK112" s="1099"/>
      <c r="KL112" s="1099">
        <f>KM112-IX112</f>
        <v>-4200</v>
      </c>
      <c r="KM112" s="723">
        <v>-6700</v>
      </c>
      <c r="KN112" s="603"/>
      <c r="KO112" s="723">
        <v>-2500</v>
      </c>
      <c r="KP112" s="1099">
        <v>-3700</v>
      </c>
      <c r="KQ112" s="1100">
        <v>-6200</v>
      </c>
      <c r="KR112" s="1099">
        <v>-800</v>
      </c>
      <c r="KS112" s="1100">
        <v>-1500</v>
      </c>
      <c r="KT112" s="1099">
        <f t="shared" si="290"/>
        <v>-700</v>
      </c>
      <c r="KU112" s="1099">
        <v>-1100</v>
      </c>
      <c r="KV112" s="790">
        <f t="shared" si="291"/>
        <v>200</v>
      </c>
      <c r="KW112" s="1100">
        <v>-900</v>
      </c>
      <c r="KX112" s="790">
        <f>KY112-HN112</f>
        <v>1100</v>
      </c>
      <c r="KY112" s="1099">
        <f>KZ112-HI112</f>
        <v>1100</v>
      </c>
      <c r="KZ112" s="1111">
        <v>1900</v>
      </c>
      <c r="LA112" s="1099">
        <v>100</v>
      </c>
      <c r="LB112" s="1099">
        <f t="shared" si="289"/>
        <v>100</v>
      </c>
      <c r="LC112" s="1100">
        <v>200</v>
      </c>
      <c r="LD112" s="1100"/>
      <c r="LE112" s="1099">
        <f>LF112-GR112</f>
        <v>100</v>
      </c>
      <c r="LF112" s="1099">
        <f>LG112-GP112</f>
        <v>100</v>
      </c>
      <c r="LG112" s="1100">
        <v>-200</v>
      </c>
    </row>
    <row r="113" spans="1:319" s="498" customFormat="1">
      <c r="A113" s="477"/>
      <c r="B113" s="1079" t="s">
        <v>1201</v>
      </c>
      <c r="C113" s="1080" t="s">
        <v>1109</v>
      </c>
      <c r="D113" s="480"/>
      <c r="E113" s="477"/>
      <c r="F113" s="477"/>
      <c r="G113" s="481"/>
      <c r="H113" s="477"/>
      <c r="I113" s="477"/>
      <c r="J113" s="481"/>
      <c r="K113" s="484"/>
      <c r="L113" s="484"/>
      <c r="M113" s="484"/>
      <c r="N113" s="484"/>
      <c r="O113" s="484"/>
      <c r="P113" s="484"/>
      <c r="Q113" s="484"/>
      <c r="R113" s="484"/>
      <c r="S113" s="485"/>
      <c r="T113" s="484"/>
      <c r="U113" s="484"/>
      <c r="V113" s="484"/>
      <c r="W113" s="484"/>
      <c r="X113" s="484"/>
      <c r="Y113" s="484"/>
      <c r="Z113" s="484"/>
      <c r="AA113" s="484"/>
      <c r="AB113" s="485"/>
      <c r="AC113" s="484"/>
      <c r="AD113" s="484"/>
      <c r="AE113" s="484"/>
      <c r="AF113" s="484"/>
      <c r="AG113" s="484"/>
      <c r="AH113" s="484"/>
      <c r="AI113" s="484"/>
      <c r="AJ113" s="484"/>
      <c r="AK113" s="480"/>
      <c r="AL113" s="484"/>
      <c r="AM113" s="484"/>
      <c r="AN113" s="484"/>
      <c r="AO113" s="484"/>
      <c r="AP113" s="484"/>
      <c r="AQ113" s="484"/>
      <c r="AR113" s="484"/>
      <c r="AS113" s="484"/>
      <c r="AT113" s="480"/>
      <c r="AU113" s="584"/>
      <c r="AV113" s="484"/>
      <c r="AW113" s="584"/>
      <c r="AX113" s="484"/>
      <c r="AY113" s="584"/>
      <c r="AZ113" s="484"/>
      <c r="BA113" s="584"/>
      <c r="BB113" s="635"/>
      <c r="BC113" s="507"/>
      <c r="BD113" s="508"/>
      <c r="BE113" s="484"/>
      <c r="BF113" s="480"/>
      <c r="BG113" s="484"/>
      <c r="BH113" s="484"/>
      <c r="BI113" s="1128"/>
      <c r="BJ113" s="480"/>
      <c r="BK113" s="1129"/>
      <c r="BL113" s="477"/>
      <c r="BM113" s="1130"/>
      <c r="BN113" s="477"/>
      <c r="BO113" s="480"/>
      <c r="BP113" s="584"/>
      <c r="BQ113" s="508"/>
      <c r="BR113" s="484"/>
      <c r="BS113" s="508"/>
      <c r="BT113" s="484"/>
      <c r="BU113" s="484"/>
      <c r="BV113" s="484"/>
      <c r="BW113" s="508"/>
      <c r="BX113" s="484"/>
      <c r="BY113" s="584"/>
      <c r="BZ113" s="508"/>
      <c r="CA113" s="508"/>
      <c r="CB113" s="484"/>
      <c r="CC113" s="484"/>
      <c r="CD113" s="484"/>
      <c r="CE113" s="484"/>
      <c r="CF113" s="480"/>
      <c r="CG113" s="509"/>
      <c r="CH113" s="477"/>
      <c r="CI113" s="477"/>
      <c r="CJ113" s="477"/>
      <c r="CK113" s="477"/>
      <c r="CL113" s="1131"/>
      <c r="CM113" s="477"/>
      <c r="CN113" s="477"/>
      <c r="CO113" s="477"/>
      <c r="CP113" s="477"/>
      <c r="CQ113" s="477"/>
      <c r="CR113" s="477"/>
      <c r="CS113" s="477"/>
      <c r="CT113" s="477"/>
      <c r="CU113" s="477">
        <f t="shared" si="276"/>
        <v>0</v>
      </c>
      <c r="CV113" s="477"/>
      <c r="CW113" s="808"/>
      <c r="CX113" s="510"/>
      <c r="CY113" s="510"/>
      <c r="CZ113" s="510">
        <f t="shared" si="287"/>
        <v>0</v>
      </c>
      <c r="DA113" s="510"/>
      <c r="DB113" s="510"/>
      <c r="DC113" s="510">
        <f t="shared" si="298"/>
        <v>0</v>
      </c>
      <c r="DD113" s="510"/>
      <c r="DE113" s="510">
        <f t="shared" si="299"/>
        <v>0</v>
      </c>
      <c r="DF113" s="510"/>
      <c r="DG113" s="510"/>
      <c r="DH113" s="510"/>
      <c r="DI113" s="510">
        <f t="shared" si="224"/>
        <v>0</v>
      </c>
      <c r="DJ113" s="510"/>
      <c r="DK113" s="510"/>
      <c r="DL113" s="512"/>
      <c r="DM113" s="512"/>
      <c r="DN113" s="584"/>
      <c r="DO113" s="584"/>
      <c r="DP113" s="713">
        <f>+DQ113-CZ113</f>
        <v>0</v>
      </c>
      <c r="DQ113" s="713">
        <f>+DR113-DA113</f>
        <v>0</v>
      </c>
      <c r="DR113" s="713">
        <f>+DS113-DB113</f>
        <v>0</v>
      </c>
      <c r="DS113" s="517"/>
      <c r="DT113" s="512"/>
      <c r="DU113" s="584"/>
      <c r="DV113" s="584"/>
      <c r="DW113" s="1131"/>
      <c r="DX113" s="713"/>
      <c r="DY113" s="713"/>
      <c r="DZ113" s="497"/>
      <c r="EB113" s="1131">
        <f>ED113-CP113</f>
        <v>-2000</v>
      </c>
      <c r="EC113" s="713"/>
      <c r="ED113" s="512">
        <v>-2000</v>
      </c>
      <c r="EE113" s="480"/>
      <c r="EF113" s="477"/>
      <c r="EG113" s="509"/>
      <c r="EH113" s="477"/>
      <c r="EI113" s="477"/>
      <c r="EJ113" s="477"/>
      <c r="EK113" s="477"/>
      <c r="EL113" s="477"/>
      <c r="EM113" s="477"/>
      <c r="EN113" s="477"/>
      <c r="EO113" s="477"/>
      <c r="EQ113" s="477"/>
      <c r="ES113" s="477"/>
      <c r="EU113" s="481"/>
      <c r="EV113" s="517"/>
      <c r="EW113" s="477"/>
      <c r="EX113" s="477">
        <v>0</v>
      </c>
      <c r="EY113" s="477"/>
      <c r="EZ113" s="477"/>
      <c r="FA113" s="477"/>
      <c r="FB113" s="477"/>
      <c r="FC113" s="477"/>
      <c r="FD113" s="510"/>
      <c r="FE113" s="477"/>
      <c r="FF113" s="510"/>
      <c r="FG113" s="510"/>
      <c r="FH113" s="477"/>
      <c r="FI113" s="477"/>
      <c r="FJ113" s="477"/>
      <c r="FK113" s="481"/>
      <c r="FL113" s="512"/>
      <c r="FM113" s="584">
        <f t="shared" si="278"/>
        <v>0</v>
      </c>
      <c r="FN113" s="713"/>
      <c r="FO113" s="713"/>
      <c r="FP113" s="713">
        <f t="shared" si="302"/>
        <v>0</v>
      </c>
      <c r="FQ113" s="517"/>
      <c r="FR113" s="517"/>
      <c r="FS113" s="477"/>
      <c r="FT113" s="713"/>
      <c r="FU113" s="713"/>
      <c r="FV113" s="477"/>
      <c r="FW113" s="713"/>
      <c r="FX113" s="713"/>
      <c r="FY113" s="477"/>
      <c r="FZ113" s="477"/>
      <c r="GA113" s="477"/>
      <c r="GB113" s="477"/>
      <c r="GC113" s="477"/>
      <c r="GD113" s="481">
        <v>-200</v>
      </c>
      <c r="GE113" s="477"/>
      <c r="GF113" s="477"/>
      <c r="GG113" s="477"/>
      <c r="GH113" s="713"/>
      <c r="GI113" s="713"/>
      <c r="GJ113" s="715"/>
      <c r="GK113" s="713"/>
      <c r="GL113" s="713"/>
      <c r="GM113" s="713"/>
      <c r="GN113" s="713"/>
      <c r="GO113" s="713"/>
      <c r="GP113" s="713">
        <f>GP114+GP117</f>
        <v>-200</v>
      </c>
      <c r="GQ113" s="713"/>
      <c r="GR113" s="713">
        <f>GR114+GR117</f>
        <v>0</v>
      </c>
      <c r="GS113" s="713">
        <f>GS114+GS117</f>
        <v>-200</v>
      </c>
      <c r="GT113" s="477">
        <f>GU113-GR113</f>
        <v>100</v>
      </c>
      <c r="GU113" s="477">
        <f>GV113-GP113</f>
        <v>100</v>
      </c>
      <c r="GV113" s="481">
        <f>GV114+GV117</f>
        <v>-100</v>
      </c>
      <c r="GW113" s="713"/>
      <c r="GX113" s="713"/>
      <c r="GY113" s="713"/>
      <c r="GZ113" s="713"/>
      <c r="HA113" s="715"/>
      <c r="HB113" s="713"/>
      <c r="HC113" s="713"/>
      <c r="HD113" s="713"/>
      <c r="HE113" s="713"/>
      <c r="HF113" s="713"/>
      <c r="HG113" s="713"/>
      <c r="HH113" s="713"/>
      <c r="HI113" s="713"/>
      <c r="HJ113" s="713"/>
      <c r="HK113" s="713"/>
      <c r="HL113" s="713"/>
      <c r="HM113" s="713"/>
      <c r="HN113" s="713"/>
      <c r="HO113" s="713"/>
      <c r="HP113" s="713"/>
      <c r="HQ113" s="713"/>
      <c r="HR113" s="477"/>
      <c r="HS113" s="477"/>
      <c r="HT113" s="477"/>
      <c r="HU113" s="477"/>
      <c r="HV113" s="477"/>
      <c r="HW113" s="713"/>
      <c r="HX113" s="713"/>
      <c r="HY113" s="713"/>
      <c r="HZ113" s="477"/>
      <c r="IA113" s="713"/>
      <c r="IB113" s="713"/>
      <c r="IC113" s="715"/>
      <c r="ID113" s="713"/>
      <c r="IE113" s="784"/>
      <c r="IF113" s="713"/>
      <c r="IG113" s="713"/>
      <c r="IH113" s="713"/>
      <c r="II113" s="713"/>
      <c r="IJ113" s="713"/>
      <c r="IK113" s="713"/>
      <c r="IL113" s="713"/>
      <c r="IM113" s="713"/>
      <c r="IN113" s="713"/>
      <c r="IO113" s="713"/>
      <c r="IP113" s="517"/>
      <c r="IQ113" s="713"/>
      <c r="IR113" s="517"/>
      <c r="IS113" s="784"/>
      <c r="IT113" s="713"/>
      <c r="IU113" s="713"/>
      <c r="IV113" s="713"/>
      <c r="IW113" s="713"/>
      <c r="IX113" s="713"/>
      <c r="IY113" s="713"/>
      <c r="IZ113" s="713"/>
      <c r="JA113" s="713"/>
      <c r="JB113" s="713"/>
      <c r="JC113" s="713"/>
      <c r="JD113" s="713"/>
      <c r="JE113" s="713"/>
      <c r="JF113" s="713"/>
      <c r="JG113" s="713"/>
      <c r="JH113" s="517"/>
      <c r="JI113" s="784"/>
      <c r="JJ113" s="784"/>
      <c r="JK113" s="713"/>
      <c r="JL113" s="584" t="s">
        <v>1509</v>
      </c>
      <c r="JM113" s="713"/>
      <c r="JN113" s="713"/>
      <c r="JO113" s="713"/>
      <c r="JP113" s="713"/>
      <c r="JQ113" s="713"/>
      <c r="JR113" s="713"/>
      <c r="JS113" s="713"/>
      <c r="JT113" s="713"/>
      <c r="JU113" s="713"/>
      <c r="JV113" s="713"/>
      <c r="JW113" s="713"/>
      <c r="JX113" s="713"/>
      <c r="JY113" s="713"/>
      <c r="JZ113" s="713"/>
      <c r="KA113" s="517"/>
      <c r="KB113" s="713"/>
      <c r="KC113" s="713" t="s">
        <v>1512</v>
      </c>
      <c r="KD113" s="713"/>
      <c r="KE113" s="713"/>
      <c r="KF113" s="713"/>
      <c r="KG113" s="713"/>
      <c r="KH113" s="713"/>
      <c r="KI113" s="517"/>
      <c r="KJ113" s="713"/>
      <c r="KK113" s="713"/>
      <c r="KL113" s="713"/>
      <c r="KM113" s="713"/>
      <c r="KN113" s="713"/>
      <c r="KO113" s="713"/>
      <c r="KP113" s="713"/>
      <c r="KQ113" s="517"/>
      <c r="KR113" s="713"/>
      <c r="KS113" s="517"/>
      <c r="KT113" s="713">
        <f t="shared" si="290"/>
        <v>0</v>
      </c>
      <c r="KU113" s="790"/>
      <c r="KV113" s="713">
        <f t="shared" si="291"/>
        <v>0</v>
      </c>
      <c r="KW113" s="517"/>
      <c r="KX113" s="713">
        <f>KY113-HN113</f>
        <v>0</v>
      </c>
      <c r="KY113" s="713">
        <f>KZ113-HI113</f>
        <v>0</v>
      </c>
      <c r="KZ113" s="517"/>
      <c r="LA113" s="713">
        <v>100</v>
      </c>
      <c r="LB113" s="713">
        <f t="shared" si="289"/>
        <v>100</v>
      </c>
      <c r="LC113" s="517">
        <v>200</v>
      </c>
      <c r="LD113" s="517">
        <f>LD114+LD117</f>
        <v>0</v>
      </c>
      <c r="LE113" s="713"/>
      <c r="LF113" s="713"/>
      <c r="LG113" s="517"/>
    </row>
    <row r="114" spans="1:319" s="498" customFormat="1">
      <c r="A114" s="477"/>
      <c r="B114" s="1079" t="s">
        <v>1275</v>
      </c>
      <c r="C114" s="1080" t="s">
        <v>1309</v>
      </c>
      <c r="D114" s="480"/>
      <c r="E114" s="477"/>
      <c r="F114" s="477"/>
      <c r="G114" s="481"/>
      <c r="H114" s="477"/>
      <c r="I114" s="477"/>
      <c r="J114" s="481"/>
      <c r="K114" s="484"/>
      <c r="L114" s="484"/>
      <c r="M114" s="484"/>
      <c r="N114" s="484"/>
      <c r="O114" s="484"/>
      <c r="P114" s="484"/>
      <c r="Q114" s="484"/>
      <c r="R114" s="484"/>
      <c r="S114" s="485"/>
      <c r="T114" s="484"/>
      <c r="U114" s="484"/>
      <c r="V114" s="484"/>
      <c r="W114" s="484"/>
      <c r="X114" s="484"/>
      <c r="Y114" s="484"/>
      <c r="Z114" s="484"/>
      <c r="AA114" s="484"/>
      <c r="AB114" s="485"/>
      <c r="AC114" s="484"/>
      <c r="AD114" s="484"/>
      <c r="AE114" s="484"/>
      <c r="AF114" s="484"/>
      <c r="AG114" s="484"/>
      <c r="AH114" s="484"/>
      <c r="AI114" s="484"/>
      <c r="AJ114" s="484"/>
      <c r="AK114" s="480"/>
      <c r="AL114" s="484"/>
      <c r="AM114" s="484"/>
      <c r="AN114" s="484"/>
      <c r="AO114" s="484"/>
      <c r="AP114" s="484"/>
      <c r="AQ114" s="484"/>
      <c r="AR114" s="484"/>
      <c r="AS114" s="484"/>
      <c r="AT114" s="480"/>
      <c r="AU114" s="584"/>
      <c r="AV114" s="484"/>
      <c r="AW114" s="584"/>
      <c r="AX114" s="484"/>
      <c r="AY114" s="584"/>
      <c r="AZ114" s="484"/>
      <c r="BA114" s="584"/>
      <c r="BB114" s="635"/>
      <c r="BC114" s="507"/>
      <c r="BD114" s="508"/>
      <c r="BE114" s="484"/>
      <c r="BF114" s="480"/>
      <c r="BG114" s="484"/>
      <c r="BH114" s="484"/>
      <c r="BI114" s="1128"/>
      <c r="BJ114" s="480"/>
      <c r="BK114" s="1129"/>
      <c r="BL114" s="477"/>
      <c r="BM114" s="1130"/>
      <c r="BN114" s="477"/>
      <c r="BO114" s="480"/>
      <c r="BP114" s="584"/>
      <c r="BQ114" s="508"/>
      <c r="BR114" s="484"/>
      <c r="BS114" s="508"/>
      <c r="BT114" s="484"/>
      <c r="BU114" s="484"/>
      <c r="BV114" s="484"/>
      <c r="BW114" s="508"/>
      <c r="BX114" s="484"/>
      <c r="BY114" s="584"/>
      <c r="BZ114" s="508"/>
      <c r="CA114" s="508"/>
      <c r="CB114" s="484"/>
      <c r="CC114" s="484"/>
      <c r="CD114" s="484"/>
      <c r="CE114" s="484"/>
      <c r="CF114" s="480"/>
      <c r="CG114" s="509"/>
      <c r="CH114" s="477"/>
      <c r="CI114" s="477"/>
      <c r="CJ114" s="477"/>
      <c r="CK114" s="477"/>
      <c r="CL114" s="1131"/>
      <c r="CM114" s="477"/>
      <c r="CN114" s="477"/>
      <c r="CO114" s="477"/>
      <c r="CP114" s="477"/>
      <c r="CQ114" s="477"/>
      <c r="CR114" s="477"/>
      <c r="CS114" s="477"/>
      <c r="CT114" s="477"/>
      <c r="CU114" s="477"/>
      <c r="CV114" s="477"/>
      <c r="CW114" s="808"/>
      <c r="CX114" s="510"/>
      <c r="CY114" s="510"/>
      <c r="CZ114" s="510"/>
      <c r="DA114" s="510"/>
      <c r="DB114" s="510"/>
      <c r="DC114" s="510"/>
      <c r="DD114" s="510"/>
      <c r="DE114" s="510"/>
      <c r="DF114" s="510"/>
      <c r="DG114" s="510"/>
      <c r="DH114" s="510"/>
      <c r="DI114" s="510"/>
      <c r="DJ114" s="510"/>
      <c r="DK114" s="510"/>
      <c r="DL114" s="512"/>
      <c r="DM114" s="512"/>
      <c r="DN114" s="584"/>
      <c r="DO114" s="584"/>
      <c r="DP114" s="713"/>
      <c r="DQ114" s="713"/>
      <c r="DR114" s="713"/>
      <c r="DS114" s="517"/>
      <c r="DT114" s="512"/>
      <c r="DU114" s="584"/>
      <c r="DV114" s="584"/>
      <c r="DW114" s="1131"/>
      <c r="DX114" s="713"/>
      <c r="DY114" s="713"/>
      <c r="DZ114" s="497"/>
      <c r="EB114" s="1131"/>
      <c r="EC114" s="713"/>
      <c r="ED114" s="512"/>
      <c r="EE114" s="480"/>
      <c r="EF114" s="477"/>
      <c r="EG114" s="509"/>
      <c r="EH114" s="477"/>
      <c r="EI114" s="477"/>
      <c r="EJ114" s="477"/>
      <c r="EK114" s="477"/>
      <c r="EL114" s="477"/>
      <c r="EM114" s="477"/>
      <c r="EN114" s="477"/>
      <c r="EO114" s="477"/>
      <c r="EQ114" s="477"/>
      <c r="ES114" s="477"/>
      <c r="EU114" s="481"/>
      <c r="EV114" s="517"/>
      <c r="EW114" s="477"/>
      <c r="EX114" s="477"/>
      <c r="EY114" s="477"/>
      <c r="EZ114" s="477"/>
      <c r="FA114" s="477"/>
      <c r="FB114" s="477"/>
      <c r="FC114" s="477"/>
      <c r="FD114" s="510"/>
      <c r="FE114" s="477"/>
      <c r="FF114" s="510"/>
      <c r="FG114" s="510"/>
      <c r="FH114" s="477"/>
      <c r="FI114" s="477"/>
      <c r="FJ114" s="477"/>
      <c r="FK114" s="481"/>
      <c r="FL114" s="512"/>
      <c r="FM114" s="584"/>
      <c r="FN114" s="713"/>
      <c r="FO114" s="713"/>
      <c r="FP114" s="713"/>
      <c r="FQ114" s="517"/>
      <c r="FR114" s="517"/>
      <c r="FS114" s="477"/>
      <c r="FT114" s="713"/>
      <c r="FU114" s="713"/>
      <c r="FV114" s="477"/>
      <c r="FW114" s="713"/>
      <c r="FX114" s="713"/>
      <c r="FY114" s="477"/>
      <c r="FZ114" s="477"/>
      <c r="GA114" s="477"/>
      <c r="GB114" s="477"/>
      <c r="GC114" s="477"/>
      <c r="GD114" s="481"/>
      <c r="GE114" s="477"/>
      <c r="GF114" s="477"/>
      <c r="GG114" s="477"/>
      <c r="GH114" s="713"/>
      <c r="GI114" s="713"/>
      <c r="GJ114" s="715"/>
      <c r="GK114" s="713"/>
      <c r="GL114" s="713">
        <v>0</v>
      </c>
      <c r="GM114" s="713"/>
      <c r="GN114" s="713"/>
      <c r="GO114" s="713">
        <v>100</v>
      </c>
      <c r="GP114" s="713">
        <v>100</v>
      </c>
      <c r="GQ114" s="713"/>
      <c r="GR114" s="477">
        <v>200</v>
      </c>
      <c r="GS114" s="477">
        <f>GR114+GP114</f>
        <v>300</v>
      </c>
      <c r="GT114" s="477">
        <f>GU114-GR114</f>
        <v>-100</v>
      </c>
      <c r="GU114" s="477">
        <f>GV114-GP114</f>
        <v>100</v>
      </c>
      <c r="GV114" s="481">
        <v>200</v>
      </c>
      <c r="GW114" s="477"/>
      <c r="GX114" s="713"/>
      <c r="GY114" s="713"/>
      <c r="GZ114" s="713"/>
      <c r="HA114" s="715"/>
      <c r="HB114" s="713"/>
      <c r="HC114" s="713"/>
      <c r="HD114" s="713"/>
      <c r="HE114" s="713"/>
      <c r="HF114" s="713"/>
      <c r="HG114" s="713"/>
      <c r="HH114" s="713"/>
      <c r="HI114" s="713"/>
      <c r="HJ114" s="713"/>
      <c r="HK114" s="713"/>
      <c r="HL114" s="713"/>
      <c r="HM114" s="713"/>
      <c r="HN114" s="477"/>
      <c r="HO114" s="477"/>
      <c r="HP114" s="477"/>
      <c r="HQ114" s="477"/>
      <c r="HR114" s="477"/>
      <c r="HS114" s="477"/>
      <c r="HT114" s="477"/>
      <c r="HU114" s="477"/>
      <c r="HV114" s="477"/>
      <c r="HW114" s="713"/>
      <c r="HX114" s="713"/>
      <c r="HY114" s="713"/>
      <c r="HZ114" s="477"/>
      <c r="IA114" s="713"/>
      <c r="IB114" s="713"/>
      <c r="IC114" s="715"/>
      <c r="ID114" s="713"/>
      <c r="IE114" s="784"/>
      <c r="IF114" s="713"/>
      <c r="IG114" s="713"/>
      <c r="IH114" s="713"/>
      <c r="II114" s="713"/>
      <c r="IJ114" s="713"/>
      <c r="IK114" s="713"/>
      <c r="IL114" s="713"/>
      <c r="IM114" s="713"/>
      <c r="IN114" s="713"/>
      <c r="IO114" s="713"/>
      <c r="IP114" s="1111"/>
      <c r="IQ114" s="790"/>
      <c r="IR114" s="1111">
        <f>IR115+IR116</f>
        <v>-1300</v>
      </c>
      <c r="IS114" s="784"/>
      <c r="IT114" s="790"/>
      <c r="IU114" s="790"/>
      <c r="IV114" s="790"/>
      <c r="IW114" s="790"/>
      <c r="IX114" s="790">
        <f>IX115+IX116</f>
        <v>-1200</v>
      </c>
      <c r="IY114" s="790"/>
      <c r="IZ114" s="790">
        <f>+IZ115+IZ116</f>
        <v>-500</v>
      </c>
      <c r="JA114" s="1624">
        <f>+IX114+IZ114</f>
        <v>-1700</v>
      </c>
      <c r="JB114" s="790">
        <f>+JC114-IZ114</f>
        <v>100</v>
      </c>
      <c r="JC114" s="790">
        <f>+JD114-IX114</f>
        <v>-400</v>
      </c>
      <c r="JD114" s="1624">
        <f>+JD115+JD116</f>
        <v>-1600</v>
      </c>
      <c r="JE114" s="790"/>
      <c r="JF114" s="790"/>
      <c r="JG114" s="790"/>
      <c r="JH114" s="1111"/>
      <c r="JI114" s="784"/>
      <c r="JJ114" s="784"/>
      <c r="JK114" s="713"/>
      <c r="JL114" s="585" t="s">
        <v>1513</v>
      </c>
      <c r="JM114" s="790"/>
      <c r="JN114" s="790"/>
      <c r="JO114" s="790"/>
      <c r="JP114" s="790"/>
      <c r="JQ114" s="790"/>
      <c r="JR114" s="790"/>
      <c r="JS114" s="790"/>
      <c r="JT114" s="713"/>
      <c r="JU114" s="713"/>
      <c r="JV114" s="713"/>
      <c r="JW114" s="713"/>
      <c r="JX114" s="713">
        <f>+JX115+JX116</f>
        <v>-400</v>
      </c>
      <c r="JY114" s="713">
        <f t="shared" ref="JY114:JY117" si="304">+JP114+JT114</f>
        <v>0</v>
      </c>
      <c r="JZ114" s="713"/>
      <c r="KA114" s="517"/>
      <c r="KB114" s="713"/>
      <c r="KC114" s="713"/>
      <c r="KD114" s="713"/>
      <c r="KE114" s="713"/>
      <c r="KF114" s="713"/>
      <c r="KG114" s="713"/>
      <c r="KH114" s="1624">
        <f>+KH115+KH116</f>
        <v>-1500</v>
      </c>
      <c r="KI114" s="517"/>
      <c r="KJ114" s="713"/>
      <c r="KK114" s="790"/>
      <c r="KL114" s="790">
        <f>KM114-IX114</f>
        <v>-1400</v>
      </c>
      <c r="KM114" s="790">
        <f>KM115+KM116</f>
        <v>-2600</v>
      </c>
      <c r="KN114" s="713"/>
      <c r="KO114" s="713">
        <v>-1600</v>
      </c>
      <c r="KP114" s="713">
        <v>-1600</v>
      </c>
      <c r="KQ114" s="517">
        <v>-3200</v>
      </c>
      <c r="KR114" s="713"/>
      <c r="KS114" s="517" t="s">
        <v>1378</v>
      </c>
      <c r="KT114" s="713">
        <f t="shared" si="290"/>
        <v>-400</v>
      </c>
      <c r="KU114" s="790">
        <f>KU115+KU116</f>
        <v>-400</v>
      </c>
      <c r="KV114" s="713">
        <f t="shared" si="291"/>
        <v>-700</v>
      </c>
      <c r="KW114" s="790">
        <f>KW115+KW116</f>
        <v>-1100</v>
      </c>
      <c r="KX114" s="713">
        <f>KY114-HN114</f>
        <v>0</v>
      </c>
      <c r="KY114" s="713">
        <f>KZ114-HI114</f>
        <v>0</v>
      </c>
      <c r="KZ114" s="517"/>
      <c r="LA114" s="713">
        <v>100</v>
      </c>
      <c r="LB114" s="713">
        <f t="shared" si="289"/>
        <v>100</v>
      </c>
      <c r="LC114" s="517">
        <v>200</v>
      </c>
      <c r="LD114" s="517"/>
      <c r="LE114" s="713">
        <f>LF114-GR114</f>
        <v>0</v>
      </c>
      <c r="LF114" s="713">
        <f>LG114-GP114</f>
        <v>200</v>
      </c>
      <c r="LG114" s="517">
        <v>300</v>
      </c>
    </row>
    <row r="115" spans="1:319" s="498" customFormat="1" ht="12">
      <c r="A115" s="477"/>
      <c r="B115" s="1079"/>
      <c r="C115" s="1080" t="s">
        <v>1364</v>
      </c>
      <c r="D115" s="480"/>
      <c r="E115" s="477"/>
      <c r="F115" s="477"/>
      <c r="G115" s="481"/>
      <c r="H115" s="477"/>
      <c r="I115" s="477"/>
      <c r="J115" s="481"/>
      <c r="K115" s="484"/>
      <c r="L115" s="484"/>
      <c r="M115" s="484"/>
      <c r="N115" s="484"/>
      <c r="O115" s="484"/>
      <c r="P115" s="484"/>
      <c r="Q115" s="484"/>
      <c r="R115" s="484"/>
      <c r="S115" s="485"/>
      <c r="T115" s="484"/>
      <c r="U115" s="484"/>
      <c r="V115" s="484"/>
      <c r="W115" s="484"/>
      <c r="X115" s="484"/>
      <c r="Y115" s="484"/>
      <c r="Z115" s="484"/>
      <c r="AA115" s="484"/>
      <c r="AB115" s="485"/>
      <c r="AC115" s="484"/>
      <c r="AD115" s="484"/>
      <c r="AE115" s="484"/>
      <c r="AF115" s="484"/>
      <c r="AG115" s="484"/>
      <c r="AH115" s="484"/>
      <c r="AI115" s="484"/>
      <c r="AJ115" s="484"/>
      <c r="AK115" s="480"/>
      <c r="AL115" s="484"/>
      <c r="AM115" s="484"/>
      <c r="AN115" s="484"/>
      <c r="AO115" s="484"/>
      <c r="AP115" s="484"/>
      <c r="AQ115" s="484"/>
      <c r="AR115" s="484"/>
      <c r="AS115" s="484"/>
      <c r="AT115" s="480"/>
      <c r="AU115" s="584"/>
      <c r="AV115" s="484"/>
      <c r="AW115" s="584"/>
      <c r="AX115" s="484"/>
      <c r="AY115" s="584"/>
      <c r="AZ115" s="484"/>
      <c r="BA115" s="584"/>
      <c r="BB115" s="635"/>
      <c r="BC115" s="507"/>
      <c r="BD115" s="508"/>
      <c r="BE115" s="484"/>
      <c r="BF115" s="480"/>
      <c r="BG115" s="484"/>
      <c r="BH115" s="484"/>
      <c r="BI115" s="1128"/>
      <c r="BJ115" s="480"/>
      <c r="BK115" s="1129"/>
      <c r="BL115" s="477"/>
      <c r="BM115" s="1130"/>
      <c r="BN115" s="477"/>
      <c r="BO115" s="480"/>
      <c r="BP115" s="584"/>
      <c r="BQ115" s="508"/>
      <c r="BR115" s="484"/>
      <c r="BS115" s="508"/>
      <c r="BT115" s="484"/>
      <c r="BU115" s="484"/>
      <c r="BV115" s="484"/>
      <c r="BW115" s="508"/>
      <c r="BX115" s="484"/>
      <c r="BY115" s="584"/>
      <c r="BZ115" s="508"/>
      <c r="CA115" s="508"/>
      <c r="CB115" s="484"/>
      <c r="CC115" s="484"/>
      <c r="CD115" s="484"/>
      <c r="CE115" s="484"/>
      <c r="CF115" s="480"/>
      <c r="CG115" s="509"/>
      <c r="CH115" s="477"/>
      <c r="CI115" s="477"/>
      <c r="CJ115" s="477"/>
      <c r="CK115" s="477"/>
      <c r="CL115" s="1131"/>
      <c r="CM115" s="477"/>
      <c r="CN115" s="477"/>
      <c r="CO115" s="477"/>
      <c r="CP115" s="477"/>
      <c r="CQ115" s="477"/>
      <c r="CR115" s="477"/>
      <c r="CS115" s="477"/>
      <c r="CT115" s="477"/>
      <c r="CU115" s="477"/>
      <c r="CV115" s="477"/>
      <c r="CW115" s="808"/>
      <c r="CX115" s="510"/>
      <c r="CY115" s="510"/>
      <c r="CZ115" s="510"/>
      <c r="DA115" s="510"/>
      <c r="DB115" s="510"/>
      <c r="DC115" s="510"/>
      <c r="DD115" s="510"/>
      <c r="DE115" s="510"/>
      <c r="DF115" s="510"/>
      <c r="DG115" s="510"/>
      <c r="DH115" s="510"/>
      <c r="DI115" s="510"/>
      <c r="DJ115" s="510"/>
      <c r="DK115" s="510"/>
      <c r="DL115" s="512"/>
      <c r="DM115" s="512"/>
      <c r="DN115" s="584"/>
      <c r="DO115" s="584"/>
      <c r="DP115" s="713"/>
      <c r="DQ115" s="713"/>
      <c r="DR115" s="713"/>
      <c r="DS115" s="517"/>
      <c r="DT115" s="512"/>
      <c r="DU115" s="584"/>
      <c r="DV115" s="584"/>
      <c r="DW115" s="1131"/>
      <c r="DX115" s="713"/>
      <c r="DY115" s="713"/>
      <c r="DZ115" s="497"/>
      <c r="EB115" s="1131"/>
      <c r="EC115" s="713"/>
      <c r="ED115" s="512"/>
      <c r="EE115" s="480"/>
      <c r="EF115" s="477"/>
      <c r="EG115" s="509"/>
      <c r="EH115" s="477"/>
      <c r="EI115" s="477"/>
      <c r="EJ115" s="477"/>
      <c r="EK115" s="477"/>
      <c r="EL115" s="477"/>
      <c r="EM115" s="477"/>
      <c r="EN115" s="477"/>
      <c r="EO115" s="477"/>
      <c r="EQ115" s="477"/>
      <c r="ES115" s="477"/>
      <c r="EU115" s="481"/>
      <c r="EV115" s="517"/>
      <c r="EW115" s="477"/>
      <c r="EX115" s="477"/>
      <c r="EY115" s="477"/>
      <c r="EZ115" s="477"/>
      <c r="FA115" s="477"/>
      <c r="FB115" s="477"/>
      <c r="FC115" s="477"/>
      <c r="FD115" s="510"/>
      <c r="FE115" s="477"/>
      <c r="FF115" s="510"/>
      <c r="FG115" s="510"/>
      <c r="FH115" s="477"/>
      <c r="FI115" s="477"/>
      <c r="FJ115" s="477"/>
      <c r="FK115" s="481"/>
      <c r="FL115" s="512"/>
      <c r="FM115" s="584"/>
      <c r="FN115" s="713"/>
      <c r="FO115" s="713"/>
      <c r="FP115" s="713"/>
      <c r="FQ115" s="517"/>
      <c r="FR115" s="517"/>
      <c r="FS115" s="477"/>
      <c r="FT115" s="713"/>
      <c r="FU115" s="713"/>
      <c r="FV115" s="477"/>
      <c r="FW115" s="713"/>
      <c r="FX115" s="713"/>
      <c r="FY115" s="477"/>
      <c r="FZ115" s="477"/>
      <c r="GA115" s="477"/>
      <c r="GB115" s="477"/>
      <c r="GC115" s="477"/>
      <c r="GD115" s="481"/>
      <c r="GE115" s="477"/>
      <c r="GF115" s="477"/>
      <c r="GG115" s="477"/>
      <c r="GH115" s="713"/>
      <c r="GI115" s="713"/>
      <c r="GJ115" s="715"/>
      <c r="GK115" s="713"/>
      <c r="GL115" s="713"/>
      <c r="GM115" s="713"/>
      <c r="GN115" s="713"/>
      <c r="GO115" s="713"/>
      <c r="GP115" s="713"/>
      <c r="GQ115" s="713"/>
      <c r="GR115" s="477"/>
      <c r="GS115" s="477"/>
      <c r="GT115" s="477"/>
      <c r="GU115" s="477"/>
      <c r="GV115" s="481"/>
      <c r="GW115" s="477"/>
      <c r="GX115" s="713"/>
      <c r="GY115" s="713"/>
      <c r="GZ115" s="713"/>
      <c r="HA115" s="715"/>
      <c r="HB115" s="713"/>
      <c r="HC115" s="713"/>
      <c r="HD115" s="713"/>
      <c r="HE115" s="713"/>
      <c r="HF115" s="713"/>
      <c r="HG115" s="713"/>
      <c r="HH115" s="713"/>
      <c r="HI115" s="713"/>
      <c r="HJ115" s="713"/>
      <c r="HK115" s="713"/>
      <c r="HL115" s="713"/>
      <c r="HM115" s="713"/>
      <c r="HN115" s="477"/>
      <c r="HO115" s="477"/>
      <c r="HP115" s="477"/>
      <c r="HQ115" s="477"/>
      <c r="HR115" s="477"/>
      <c r="HS115" s="477"/>
      <c r="HT115" s="477"/>
      <c r="HU115" s="477"/>
      <c r="HV115" s="477"/>
      <c r="HW115" s="713"/>
      <c r="HX115" s="713"/>
      <c r="HY115" s="713"/>
      <c r="HZ115" s="477"/>
      <c r="IA115" s="713"/>
      <c r="IB115" s="713"/>
      <c r="IC115" s="715"/>
      <c r="ID115" s="713"/>
      <c r="IE115" s="784"/>
      <c r="IF115" s="713"/>
      <c r="IG115" s="713"/>
      <c r="IH115" s="713"/>
      <c r="II115" s="713"/>
      <c r="IJ115" s="713"/>
      <c r="IK115" s="713"/>
      <c r="IL115" s="713"/>
      <c r="IM115" s="713"/>
      <c r="IN115" s="713"/>
      <c r="IO115" s="713"/>
      <c r="IP115" s="1111"/>
      <c r="IQ115" s="790"/>
      <c r="IR115" s="1132">
        <v>-300</v>
      </c>
      <c r="IS115" s="1289"/>
      <c r="IT115" s="790"/>
      <c r="IU115" s="790"/>
      <c r="IV115" s="790"/>
      <c r="IW115" s="790"/>
      <c r="IX115" s="790">
        <v>-500</v>
      </c>
      <c r="IY115" s="790"/>
      <c r="IZ115" s="790">
        <v>-500</v>
      </c>
      <c r="JA115" s="1624">
        <f>+IX115+IZ115</f>
        <v>-1000</v>
      </c>
      <c r="JB115" s="790">
        <f>+JC115-IZ115</f>
        <v>-200</v>
      </c>
      <c r="JC115" s="790">
        <f>+JD115-IX115</f>
        <v>-700</v>
      </c>
      <c r="JD115" s="1624">
        <v>-1200</v>
      </c>
      <c r="JE115" s="790"/>
      <c r="JF115" s="790"/>
      <c r="JG115" s="790"/>
      <c r="JH115" s="1111"/>
      <c r="JI115" s="1289"/>
      <c r="JJ115" s="1289"/>
      <c r="JK115" s="603"/>
      <c r="JL115" s="585" t="s">
        <v>1510</v>
      </c>
      <c r="JM115" s="1133"/>
      <c r="JN115" s="1133"/>
      <c r="JO115" s="1133"/>
      <c r="JP115" s="1133"/>
      <c r="JQ115" s="1133"/>
      <c r="JR115" s="1133"/>
      <c r="JS115" s="1133"/>
      <c r="JT115" s="603"/>
      <c r="JU115" s="603"/>
      <c r="JV115" s="603"/>
      <c r="JW115" s="603"/>
      <c r="JX115" s="603">
        <f>+Driver!AL204</f>
        <v>-300</v>
      </c>
      <c r="JY115" s="603">
        <f t="shared" si="304"/>
        <v>0</v>
      </c>
      <c r="JZ115" s="603"/>
      <c r="KA115" s="746"/>
      <c r="KB115" s="603"/>
      <c r="KC115" s="603"/>
      <c r="KD115" s="603"/>
      <c r="KE115" s="603"/>
      <c r="KF115" s="603"/>
      <c r="KG115" s="603"/>
      <c r="KH115" s="723">
        <v>-1500</v>
      </c>
      <c r="KI115" s="746"/>
      <c r="KJ115" s="603"/>
      <c r="KK115" s="790"/>
      <c r="KL115" s="790">
        <f>KM115-IX115</f>
        <v>-800</v>
      </c>
      <c r="KM115" s="1133">
        <v>-1300</v>
      </c>
      <c r="KN115" s="603"/>
      <c r="KO115" s="603">
        <v>-700</v>
      </c>
      <c r="KP115" s="713">
        <v>-900</v>
      </c>
      <c r="KQ115" s="517">
        <v>-1600</v>
      </c>
      <c r="KR115" s="713"/>
      <c r="KS115" s="517"/>
      <c r="KT115" s="713">
        <f t="shared" si="290"/>
        <v>100</v>
      </c>
      <c r="KU115" s="790">
        <v>100</v>
      </c>
      <c r="KV115" s="713">
        <f>KW115-KU115</f>
        <v>-350</v>
      </c>
      <c r="KW115" s="517">
        <v>-250</v>
      </c>
      <c r="KX115" s="713"/>
      <c r="KY115" s="713"/>
      <c r="KZ115" s="517"/>
      <c r="LA115" s="713"/>
      <c r="LB115" s="713"/>
      <c r="LC115" s="517"/>
      <c r="LD115" s="517"/>
      <c r="LE115" s="713"/>
      <c r="LF115" s="713"/>
      <c r="LG115" s="517"/>
    </row>
    <row r="116" spans="1:319" s="498" customFormat="1" ht="12">
      <c r="A116" s="477"/>
      <c r="B116" s="1079"/>
      <c r="C116" s="1080" t="s">
        <v>1365</v>
      </c>
      <c r="D116" s="480"/>
      <c r="E116" s="477"/>
      <c r="F116" s="477"/>
      <c r="G116" s="481"/>
      <c r="H116" s="477"/>
      <c r="I116" s="477"/>
      <c r="J116" s="481"/>
      <c r="K116" s="484"/>
      <c r="L116" s="484"/>
      <c r="M116" s="484"/>
      <c r="N116" s="484"/>
      <c r="O116" s="484"/>
      <c r="P116" s="484"/>
      <c r="Q116" s="484"/>
      <c r="R116" s="484"/>
      <c r="S116" s="485"/>
      <c r="T116" s="484"/>
      <c r="U116" s="484"/>
      <c r="V116" s="484"/>
      <c r="W116" s="484"/>
      <c r="X116" s="484"/>
      <c r="Y116" s="484"/>
      <c r="Z116" s="484"/>
      <c r="AA116" s="484"/>
      <c r="AB116" s="485"/>
      <c r="AC116" s="484"/>
      <c r="AD116" s="484"/>
      <c r="AE116" s="484"/>
      <c r="AF116" s="484"/>
      <c r="AG116" s="484"/>
      <c r="AH116" s="484"/>
      <c r="AI116" s="484"/>
      <c r="AJ116" s="484"/>
      <c r="AK116" s="480"/>
      <c r="AL116" s="484"/>
      <c r="AM116" s="484"/>
      <c r="AN116" s="484"/>
      <c r="AO116" s="484"/>
      <c r="AP116" s="484"/>
      <c r="AQ116" s="484"/>
      <c r="AR116" s="484"/>
      <c r="AS116" s="484"/>
      <c r="AT116" s="480"/>
      <c r="AU116" s="584"/>
      <c r="AV116" s="484"/>
      <c r="AW116" s="584"/>
      <c r="AX116" s="484"/>
      <c r="AY116" s="584"/>
      <c r="AZ116" s="484"/>
      <c r="BA116" s="584"/>
      <c r="BB116" s="635"/>
      <c r="BC116" s="507"/>
      <c r="BD116" s="508"/>
      <c r="BE116" s="484"/>
      <c r="BF116" s="480"/>
      <c r="BG116" s="484"/>
      <c r="BH116" s="484"/>
      <c r="BI116" s="1128"/>
      <c r="BJ116" s="480"/>
      <c r="BK116" s="1129"/>
      <c r="BL116" s="477"/>
      <c r="BM116" s="1130"/>
      <c r="BN116" s="477"/>
      <c r="BO116" s="480"/>
      <c r="BP116" s="584"/>
      <c r="BQ116" s="508"/>
      <c r="BR116" s="484"/>
      <c r="BS116" s="508"/>
      <c r="BT116" s="484"/>
      <c r="BU116" s="484"/>
      <c r="BV116" s="484"/>
      <c r="BW116" s="508"/>
      <c r="BX116" s="484"/>
      <c r="BY116" s="584"/>
      <c r="BZ116" s="508"/>
      <c r="CA116" s="508"/>
      <c r="CB116" s="484"/>
      <c r="CC116" s="484"/>
      <c r="CD116" s="484"/>
      <c r="CE116" s="484"/>
      <c r="CF116" s="480"/>
      <c r="CG116" s="509"/>
      <c r="CH116" s="477"/>
      <c r="CI116" s="477"/>
      <c r="CJ116" s="477"/>
      <c r="CK116" s="477"/>
      <c r="CL116" s="1131"/>
      <c r="CM116" s="477"/>
      <c r="CN116" s="477"/>
      <c r="CO116" s="477"/>
      <c r="CP116" s="477"/>
      <c r="CQ116" s="477"/>
      <c r="CR116" s="477"/>
      <c r="CS116" s="477"/>
      <c r="CT116" s="477"/>
      <c r="CU116" s="477"/>
      <c r="CV116" s="477"/>
      <c r="CW116" s="808"/>
      <c r="CX116" s="510"/>
      <c r="CY116" s="510"/>
      <c r="CZ116" s="510"/>
      <c r="DA116" s="510"/>
      <c r="DB116" s="510"/>
      <c r="DC116" s="510"/>
      <c r="DD116" s="510"/>
      <c r="DE116" s="510"/>
      <c r="DF116" s="510"/>
      <c r="DG116" s="510"/>
      <c r="DH116" s="510"/>
      <c r="DI116" s="510"/>
      <c r="DJ116" s="510"/>
      <c r="DK116" s="510"/>
      <c r="DL116" s="512"/>
      <c r="DM116" s="512"/>
      <c r="DN116" s="584"/>
      <c r="DO116" s="584"/>
      <c r="DP116" s="713"/>
      <c r="DQ116" s="713"/>
      <c r="DR116" s="713"/>
      <c r="DS116" s="517"/>
      <c r="DT116" s="512"/>
      <c r="DU116" s="584"/>
      <c r="DV116" s="584"/>
      <c r="DW116" s="1131"/>
      <c r="DX116" s="713"/>
      <c r="DY116" s="713"/>
      <c r="DZ116" s="497"/>
      <c r="EB116" s="1131"/>
      <c r="EC116" s="713"/>
      <c r="ED116" s="512"/>
      <c r="EE116" s="480"/>
      <c r="EF116" s="477"/>
      <c r="EG116" s="509"/>
      <c r="EH116" s="477"/>
      <c r="EI116" s="477"/>
      <c r="EJ116" s="477"/>
      <c r="EK116" s="477"/>
      <c r="EL116" s="477"/>
      <c r="EM116" s="477"/>
      <c r="EN116" s="477"/>
      <c r="EO116" s="477"/>
      <c r="EQ116" s="477"/>
      <c r="ES116" s="477"/>
      <c r="EU116" s="481"/>
      <c r="EV116" s="517"/>
      <c r="EW116" s="477"/>
      <c r="EX116" s="477"/>
      <c r="EY116" s="477"/>
      <c r="EZ116" s="477"/>
      <c r="FA116" s="477"/>
      <c r="FB116" s="477"/>
      <c r="FC116" s="477"/>
      <c r="FD116" s="510"/>
      <c r="FE116" s="477"/>
      <c r="FF116" s="510"/>
      <c r="FG116" s="510"/>
      <c r="FH116" s="477"/>
      <c r="FI116" s="477"/>
      <c r="FJ116" s="477"/>
      <c r="FK116" s="481"/>
      <c r="FL116" s="512"/>
      <c r="FM116" s="584"/>
      <c r="FN116" s="713"/>
      <c r="FO116" s="713"/>
      <c r="FP116" s="713"/>
      <c r="FQ116" s="517"/>
      <c r="FR116" s="517"/>
      <c r="FS116" s="477"/>
      <c r="FT116" s="713"/>
      <c r="FU116" s="713"/>
      <c r="FV116" s="477"/>
      <c r="FW116" s="713"/>
      <c r="FX116" s="713"/>
      <c r="FY116" s="477"/>
      <c r="FZ116" s="477"/>
      <c r="GA116" s="477"/>
      <c r="GB116" s="477"/>
      <c r="GC116" s="477"/>
      <c r="GD116" s="481"/>
      <c r="GE116" s="477"/>
      <c r="GF116" s="477"/>
      <c r="GG116" s="477"/>
      <c r="GH116" s="713"/>
      <c r="GI116" s="713"/>
      <c r="GJ116" s="715"/>
      <c r="GK116" s="713"/>
      <c r="GL116" s="713"/>
      <c r="GM116" s="713"/>
      <c r="GN116" s="713"/>
      <c r="GO116" s="713"/>
      <c r="GP116" s="713"/>
      <c r="GQ116" s="713"/>
      <c r="GR116" s="477"/>
      <c r="GS116" s="477"/>
      <c r="GT116" s="477"/>
      <c r="GU116" s="477"/>
      <c r="GV116" s="481"/>
      <c r="GW116" s="477"/>
      <c r="GX116" s="713"/>
      <c r="GY116" s="713"/>
      <c r="GZ116" s="713"/>
      <c r="HA116" s="715"/>
      <c r="HB116" s="713"/>
      <c r="HC116" s="713"/>
      <c r="HD116" s="713"/>
      <c r="HE116" s="713"/>
      <c r="HF116" s="713"/>
      <c r="HG116" s="713"/>
      <c r="HH116" s="713"/>
      <c r="HI116" s="713"/>
      <c r="HJ116" s="713"/>
      <c r="HK116" s="713"/>
      <c r="HL116" s="713"/>
      <c r="HM116" s="713"/>
      <c r="HN116" s="477"/>
      <c r="HO116" s="477"/>
      <c r="HP116" s="477"/>
      <c r="HQ116" s="477"/>
      <c r="HR116" s="477"/>
      <c r="HS116" s="477"/>
      <c r="HT116" s="477"/>
      <c r="HU116" s="477"/>
      <c r="HV116" s="477"/>
      <c r="HW116" s="713"/>
      <c r="HX116" s="713"/>
      <c r="HY116" s="713"/>
      <c r="HZ116" s="477"/>
      <c r="IA116" s="713"/>
      <c r="IB116" s="713"/>
      <c r="IC116" s="715"/>
      <c r="ID116" s="713"/>
      <c r="IE116" s="784"/>
      <c r="IF116" s="713"/>
      <c r="IG116" s="713"/>
      <c r="IH116" s="713"/>
      <c r="II116" s="713"/>
      <c r="IJ116" s="713"/>
      <c r="IK116" s="713"/>
      <c r="IL116" s="713"/>
      <c r="IM116" s="713"/>
      <c r="IN116" s="713"/>
      <c r="IO116" s="713"/>
      <c r="IP116" s="1111"/>
      <c r="IQ116" s="790"/>
      <c r="IR116" s="1132">
        <v>-1000</v>
      </c>
      <c r="IS116" s="1289"/>
      <c r="IT116" s="790"/>
      <c r="IU116" s="790"/>
      <c r="IV116" s="790"/>
      <c r="IW116" s="790"/>
      <c r="IX116" s="790">
        <v>-700</v>
      </c>
      <c r="IY116" s="790"/>
      <c r="IZ116" s="790">
        <v>0</v>
      </c>
      <c r="JA116" s="1624">
        <f>+IX116+IZ116</f>
        <v>-700</v>
      </c>
      <c r="JB116" s="790">
        <f>+JC116-IZ116</f>
        <v>300</v>
      </c>
      <c r="JC116" s="790">
        <f>+JD116-IX116</f>
        <v>300</v>
      </c>
      <c r="JD116" s="1624">
        <v>-400</v>
      </c>
      <c r="JE116" s="790"/>
      <c r="JF116" s="790"/>
      <c r="JG116" s="790"/>
      <c r="JH116" s="1111"/>
      <c r="JI116" s="1289"/>
      <c r="JJ116" s="1289"/>
      <c r="JK116" s="603"/>
      <c r="JL116" s="585" t="s">
        <v>1514</v>
      </c>
      <c r="JM116" s="1133"/>
      <c r="JN116" s="1133"/>
      <c r="JO116" s="1133"/>
      <c r="JP116" s="1133"/>
      <c r="JQ116" s="1133"/>
      <c r="JR116" s="1133"/>
      <c r="JS116" s="1133"/>
      <c r="JT116" s="603"/>
      <c r="JU116" s="603"/>
      <c r="JV116" s="603"/>
      <c r="JW116" s="603"/>
      <c r="JX116" s="603">
        <f>+Driver!AL210</f>
        <v>-100</v>
      </c>
      <c r="JY116" s="603">
        <f t="shared" si="304"/>
        <v>0</v>
      </c>
      <c r="JZ116" s="603"/>
      <c r="KA116" s="746"/>
      <c r="KB116" s="603"/>
      <c r="KC116" s="603"/>
      <c r="KD116" s="603"/>
      <c r="KE116" s="603"/>
      <c r="KF116" s="603"/>
      <c r="KG116" s="603"/>
      <c r="KH116" s="723">
        <v>0</v>
      </c>
      <c r="KI116" s="746"/>
      <c r="KJ116" s="603"/>
      <c r="KK116" s="790"/>
      <c r="KL116" s="790">
        <f>KM116-IX116</f>
        <v>-600</v>
      </c>
      <c r="KM116" s="1133">
        <v>-1300</v>
      </c>
      <c r="KN116" s="603"/>
      <c r="KO116" s="603">
        <v>-900</v>
      </c>
      <c r="KP116" s="713">
        <v>-700</v>
      </c>
      <c r="KQ116" s="517">
        <v>-1600</v>
      </c>
      <c r="KR116" s="713"/>
      <c r="KS116" s="517"/>
      <c r="KT116" s="713">
        <f t="shared" si="290"/>
        <v>-500</v>
      </c>
      <c r="KU116" s="790">
        <v>-500</v>
      </c>
      <c r="KV116" s="713">
        <f>KW116-KU116</f>
        <v>-350</v>
      </c>
      <c r="KW116" s="517">
        <v>-850</v>
      </c>
      <c r="KX116" s="713"/>
      <c r="KY116" s="713"/>
      <c r="KZ116" s="517"/>
      <c r="LA116" s="713"/>
      <c r="LB116" s="713"/>
      <c r="LC116" s="517"/>
      <c r="LD116" s="517"/>
      <c r="LE116" s="713"/>
      <c r="LF116" s="713"/>
      <c r="LG116" s="517"/>
    </row>
    <row r="117" spans="1:319" s="498" customFormat="1" ht="12">
      <c r="A117" s="477"/>
      <c r="B117" s="1079" t="s">
        <v>1276</v>
      </c>
      <c r="C117" s="1080" t="s">
        <v>1259</v>
      </c>
      <c r="D117" s="480"/>
      <c r="E117" s="477"/>
      <c r="F117" s="477"/>
      <c r="G117" s="481"/>
      <c r="H117" s="477"/>
      <c r="I117" s="477"/>
      <c r="J117" s="481"/>
      <c r="K117" s="484"/>
      <c r="L117" s="484"/>
      <c r="M117" s="484"/>
      <c r="N117" s="484"/>
      <c r="O117" s="484"/>
      <c r="P117" s="484"/>
      <c r="Q117" s="484"/>
      <c r="R117" s="484"/>
      <c r="S117" s="485"/>
      <c r="T117" s="484"/>
      <c r="U117" s="484"/>
      <c r="V117" s="484"/>
      <c r="W117" s="484"/>
      <c r="X117" s="484"/>
      <c r="Y117" s="484"/>
      <c r="Z117" s="484"/>
      <c r="AA117" s="484"/>
      <c r="AB117" s="485"/>
      <c r="AC117" s="484"/>
      <c r="AD117" s="484"/>
      <c r="AE117" s="484"/>
      <c r="AF117" s="484"/>
      <c r="AG117" s="484"/>
      <c r="AH117" s="484"/>
      <c r="AI117" s="484"/>
      <c r="AJ117" s="484"/>
      <c r="AK117" s="480"/>
      <c r="AL117" s="484"/>
      <c r="AM117" s="484"/>
      <c r="AN117" s="484"/>
      <c r="AO117" s="484"/>
      <c r="AP117" s="484"/>
      <c r="AQ117" s="484"/>
      <c r="AR117" s="484"/>
      <c r="AS117" s="484"/>
      <c r="AT117" s="480"/>
      <c r="AU117" s="584"/>
      <c r="AV117" s="484"/>
      <c r="AW117" s="584"/>
      <c r="AX117" s="484"/>
      <c r="AY117" s="584"/>
      <c r="AZ117" s="484"/>
      <c r="BA117" s="584"/>
      <c r="BB117" s="635"/>
      <c r="BC117" s="507"/>
      <c r="BD117" s="508"/>
      <c r="BE117" s="484"/>
      <c r="BF117" s="480"/>
      <c r="BG117" s="484"/>
      <c r="BH117" s="484"/>
      <c r="BI117" s="1128"/>
      <c r="BJ117" s="480"/>
      <c r="BK117" s="1129"/>
      <c r="BL117" s="477"/>
      <c r="BM117" s="1130"/>
      <c r="BN117" s="477"/>
      <c r="BO117" s="480"/>
      <c r="BP117" s="584"/>
      <c r="BQ117" s="508"/>
      <c r="BR117" s="484"/>
      <c r="BS117" s="508"/>
      <c r="BT117" s="484"/>
      <c r="BU117" s="484"/>
      <c r="BV117" s="484"/>
      <c r="BW117" s="508"/>
      <c r="BX117" s="484"/>
      <c r="BY117" s="584"/>
      <c r="BZ117" s="508"/>
      <c r="CA117" s="508"/>
      <c r="CB117" s="484"/>
      <c r="CC117" s="484"/>
      <c r="CD117" s="484"/>
      <c r="CE117" s="484"/>
      <c r="CF117" s="480"/>
      <c r="CG117" s="509"/>
      <c r="CH117" s="477"/>
      <c r="CI117" s="477"/>
      <c r="CJ117" s="477"/>
      <c r="CK117" s="477"/>
      <c r="CL117" s="1131"/>
      <c r="CM117" s="477"/>
      <c r="CN117" s="477"/>
      <c r="CO117" s="477"/>
      <c r="CP117" s="477"/>
      <c r="CQ117" s="477"/>
      <c r="CR117" s="477"/>
      <c r="CS117" s="477"/>
      <c r="CT117" s="477"/>
      <c r="CU117" s="477"/>
      <c r="CV117" s="477"/>
      <c r="CW117" s="808"/>
      <c r="CX117" s="510"/>
      <c r="CY117" s="510"/>
      <c r="CZ117" s="510"/>
      <c r="DA117" s="510"/>
      <c r="DB117" s="510"/>
      <c r="DC117" s="510"/>
      <c r="DD117" s="510"/>
      <c r="DE117" s="510"/>
      <c r="DF117" s="510"/>
      <c r="DG117" s="510"/>
      <c r="DH117" s="510"/>
      <c r="DI117" s="510"/>
      <c r="DJ117" s="510"/>
      <c r="DK117" s="510"/>
      <c r="DL117" s="512"/>
      <c r="DM117" s="512"/>
      <c r="DN117" s="584"/>
      <c r="DO117" s="584"/>
      <c r="DP117" s="713"/>
      <c r="DQ117" s="713"/>
      <c r="DR117" s="713"/>
      <c r="DS117" s="517"/>
      <c r="DT117" s="512"/>
      <c r="DU117" s="584"/>
      <c r="DV117" s="584"/>
      <c r="DW117" s="1131"/>
      <c r="DX117" s="713"/>
      <c r="DY117" s="713"/>
      <c r="DZ117" s="497"/>
      <c r="EB117" s="1131"/>
      <c r="EC117" s="713"/>
      <c r="ED117" s="512"/>
      <c r="EE117" s="480"/>
      <c r="EF117" s="477"/>
      <c r="EG117" s="509"/>
      <c r="EH117" s="477"/>
      <c r="EI117" s="477"/>
      <c r="EJ117" s="477"/>
      <c r="EK117" s="477"/>
      <c r="EL117" s="477"/>
      <c r="EM117" s="477"/>
      <c r="EN117" s="477"/>
      <c r="EO117" s="477"/>
      <c r="EQ117" s="477"/>
      <c r="ES117" s="477"/>
      <c r="EU117" s="481"/>
      <c r="EV117" s="517"/>
      <c r="EW117" s="477"/>
      <c r="EX117" s="477"/>
      <c r="EY117" s="477"/>
      <c r="EZ117" s="477"/>
      <c r="FA117" s="477"/>
      <c r="FB117" s="477"/>
      <c r="FC117" s="477"/>
      <c r="FD117" s="510"/>
      <c r="FE117" s="477"/>
      <c r="FF117" s="510"/>
      <c r="FG117" s="510"/>
      <c r="FH117" s="477"/>
      <c r="FI117" s="477"/>
      <c r="FJ117" s="477"/>
      <c r="FK117" s="481"/>
      <c r="FL117" s="512"/>
      <c r="FM117" s="584"/>
      <c r="FN117" s="713"/>
      <c r="FO117" s="713"/>
      <c r="FP117" s="713"/>
      <c r="FQ117" s="517"/>
      <c r="FR117" s="517"/>
      <c r="FS117" s="477"/>
      <c r="FT117" s="713"/>
      <c r="FU117" s="713"/>
      <c r="FV117" s="477"/>
      <c r="FW117" s="713"/>
      <c r="FX117" s="713"/>
      <c r="FY117" s="477"/>
      <c r="FZ117" s="477"/>
      <c r="GA117" s="477"/>
      <c r="GB117" s="477"/>
      <c r="GC117" s="477"/>
      <c r="GD117" s="481"/>
      <c r="GE117" s="477"/>
      <c r="GF117" s="477"/>
      <c r="GG117" s="477"/>
      <c r="GH117" s="713"/>
      <c r="GI117" s="713"/>
      <c r="GJ117" s="715"/>
      <c r="GK117" s="713"/>
      <c r="GL117" s="713">
        <v>-100</v>
      </c>
      <c r="GM117" s="713"/>
      <c r="GN117" s="713"/>
      <c r="GO117" s="713">
        <v>-200</v>
      </c>
      <c r="GP117" s="713">
        <v>-300</v>
      </c>
      <c r="GQ117" s="713"/>
      <c r="GR117" s="477">
        <v>-200</v>
      </c>
      <c r="GS117" s="477">
        <f>GR117+GP117</f>
        <v>-500</v>
      </c>
      <c r="GT117" s="477">
        <f>GU117-GR117</f>
        <v>200</v>
      </c>
      <c r="GU117" s="477">
        <f>GV117-GP117</f>
        <v>0</v>
      </c>
      <c r="GV117" s="481">
        <v>-300</v>
      </c>
      <c r="GW117" s="477"/>
      <c r="GX117" s="713"/>
      <c r="GY117" s="713"/>
      <c r="GZ117" s="713"/>
      <c r="HA117" s="715"/>
      <c r="HB117" s="713"/>
      <c r="HC117" s="713"/>
      <c r="HD117" s="713"/>
      <c r="HE117" s="713"/>
      <c r="HF117" s="713"/>
      <c r="HG117" s="713"/>
      <c r="HH117" s="713"/>
      <c r="HI117" s="713"/>
      <c r="HJ117" s="713"/>
      <c r="HK117" s="713"/>
      <c r="HL117" s="713"/>
      <c r="HM117" s="713"/>
      <c r="HN117" s="477"/>
      <c r="HO117" s="477"/>
      <c r="HP117" s="477"/>
      <c r="HQ117" s="477"/>
      <c r="HR117" s="477"/>
      <c r="HS117" s="477"/>
      <c r="HT117" s="477"/>
      <c r="HU117" s="477"/>
      <c r="HV117" s="477"/>
      <c r="HW117" s="713"/>
      <c r="HX117" s="713"/>
      <c r="HY117" s="713"/>
      <c r="HZ117" s="477"/>
      <c r="IA117" s="713"/>
      <c r="IB117" s="713"/>
      <c r="IC117" s="715"/>
      <c r="ID117" s="713"/>
      <c r="IE117" s="784"/>
      <c r="IF117" s="713"/>
      <c r="IG117" s="713"/>
      <c r="IH117" s="713"/>
      <c r="II117" s="713"/>
      <c r="IJ117" s="713"/>
      <c r="IK117" s="713"/>
      <c r="IL117" s="713"/>
      <c r="IM117" s="713"/>
      <c r="IN117" s="713"/>
      <c r="IO117" s="713"/>
      <c r="IP117" s="1111"/>
      <c r="IQ117" s="790"/>
      <c r="IR117" s="1132">
        <v>-600</v>
      </c>
      <c r="IS117" s="1289"/>
      <c r="IT117" s="790"/>
      <c r="IU117" s="790"/>
      <c r="IV117" s="790"/>
      <c r="IW117" s="790"/>
      <c r="IX117" s="790">
        <v>-1300</v>
      </c>
      <c r="IY117" s="790"/>
      <c r="IZ117" s="790">
        <v>-2000</v>
      </c>
      <c r="JA117" s="1624">
        <f>+IX117+IZ117</f>
        <v>-3300</v>
      </c>
      <c r="JB117" s="790">
        <f>+JC117-IZ117</f>
        <v>-1800</v>
      </c>
      <c r="JC117" s="790">
        <f>+JD117-IX117</f>
        <v>-3800</v>
      </c>
      <c r="JD117" s="1624">
        <f>+JD112-JD114</f>
        <v>-5100</v>
      </c>
      <c r="JE117" s="790"/>
      <c r="JF117" s="790"/>
      <c r="JG117" s="790"/>
      <c r="JH117" s="1111"/>
      <c r="JI117" s="1289"/>
      <c r="JJ117" s="1289"/>
      <c r="JK117" s="603"/>
      <c r="JL117" s="585" t="s">
        <v>1510</v>
      </c>
      <c r="JM117" s="1133"/>
      <c r="JN117" s="1133"/>
      <c r="JO117" s="1133"/>
      <c r="JP117" s="1133"/>
      <c r="JQ117" s="1133"/>
      <c r="JR117" s="1133"/>
      <c r="JS117" s="1133"/>
      <c r="JT117" s="603"/>
      <c r="JU117" s="603"/>
      <c r="JV117" s="603"/>
      <c r="JW117" s="603"/>
      <c r="JX117" s="603">
        <f>+Driver!AL217</f>
        <v>-3000</v>
      </c>
      <c r="JY117" s="603">
        <f t="shared" si="304"/>
        <v>0</v>
      </c>
      <c r="JZ117" s="603"/>
      <c r="KA117" s="746"/>
      <c r="KB117" s="603"/>
      <c r="KC117" s="603"/>
      <c r="KD117" s="603"/>
      <c r="KE117" s="603"/>
      <c r="KF117" s="603"/>
      <c r="KG117" s="603"/>
      <c r="KH117" s="723">
        <f>+KH112-KH114</f>
        <v>-2800</v>
      </c>
      <c r="KI117" s="746"/>
      <c r="KJ117" s="603"/>
      <c r="KK117" s="790"/>
      <c r="KL117" s="790">
        <f>KM117-IX117</f>
        <v>-2800</v>
      </c>
      <c r="KM117" s="1133">
        <f>KM112-KM114</f>
        <v>-4100</v>
      </c>
      <c r="KN117" s="603"/>
      <c r="KO117" s="1133">
        <v>-900</v>
      </c>
      <c r="KP117" s="713">
        <v>-2100</v>
      </c>
      <c r="KQ117" s="517">
        <v>-3000</v>
      </c>
      <c r="KR117" s="713"/>
      <c r="KS117" s="517" t="s">
        <v>1379</v>
      </c>
      <c r="KT117" s="713">
        <f t="shared" si="290"/>
        <v>-700</v>
      </c>
      <c r="KU117" s="790">
        <f>KU112-KU114</f>
        <v>-700</v>
      </c>
      <c r="KV117" s="790">
        <f t="shared" si="291"/>
        <v>900</v>
      </c>
      <c r="KW117" s="790">
        <f>KW112-KW114</f>
        <v>200</v>
      </c>
      <c r="KX117" s="713">
        <f>KY117-HN117</f>
        <v>0</v>
      </c>
      <c r="KY117" s="713">
        <f>KZ117-HI117</f>
        <v>0</v>
      </c>
      <c r="KZ117" s="517"/>
      <c r="LA117" s="713">
        <f>LA113-LA114</f>
        <v>0</v>
      </c>
      <c r="LB117" s="713">
        <f t="shared" si="289"/>
        <v>0</v>
      </c>
      <c r="LC117" s="517"/>
      <c r="LD117" s="517"/>
      <c r="LE117" s="713">
        <v>-200</v>
      </c>
      <c r="LF117" s="713">
        <v>-200</v>
      </c>
      <c r="LG117" s="517">
        <v>-500</v>
      </c>
    </row>
    <row r="118" spans="1:319" s="498" customFormat="1">
      <c r="A118" s="477"/>
      <c r="B118" s="1079" t="s">
        <v>1199</v>
      </c>
      <c r="C118" s="1080" t="s">
        <v>1108</v>
      </c>
      <c r="D118" s="480"/>
      <c r="E118" s="477"/>
      <c r="F118" s="477"/>
      <c r="G118" s="481"/>
      <c r="H118" s="477"/>
      <c r="I118" s="477"/>
      <c r="J118" s="481"/>
      <c r="K118" s="484"/>
      <c r="L118" s="484"/>
      <c r="M118" s="484"/>
      <c r="N118" s="484"/>
      <c r="O118" s="484"/>
      <c r="P118" s="484"/>
      <c r="Q118" s="484"/>
      <c r="R118" s="484"/>
      <c r="S118" s="485"/>
      <c r="T118" s="484"/>
      <c r="U118" s="484"/>
      <c r="V118" s="484"/>
      <c r="W118" s="484"/>
      <c r="X118" s="484"/>
      <c r="Y118" s="484"/>
      <c r="Z118" s="484"/>
      <c r="AA118" s="484"/>
      <c r="AB118" s="485"/>
      <c r="AC118" s="484"/>
      <c r="AD118" s="484"/>
      <c r="AE118" s="484"/>
      <c r="AF118" s="484"/>
      <c r="AG118" s="484"/>
      <c r="AH118" s="484"/>
      <c r="AI118" s="484"/>
      <c r="AJ118" s="484"/>
      <c r="AK118" s="480"/>
      <c r="AL118" s="484"/>
      <c r="AM118" s="484"/>
      <c r="AN118" s="484"/>
      <c r="AO118" s="484"/>
      <c r="AP118" s="484"/>
      <c r="AQ118" s="484"/>
      <c r="AR118" s="484"/>
      <c r="AS118" s="484"/>
      <c r="AT118" s="480"/>
      <c r="AU118" s="584"/>
      <c r="AV118" s="484"/>
      <c r="AW118" s="584"/>
      <c r="AX118" s="484"/>
      <c r="AY118" s="584"/>
      <c r="AZ118" s="484"/>
      <c r="BA118" s="584"/>
      <c r="BB118" s="635"/>
      <c r="BC118" s="507"/>
      <c r="BD118" s="508"/>
      <c r="BE118" s="484"/>
      <c r="BF118" s="480"/>
      <c r="BG118" s="484"/>
      <c r="BH118" s="484"/>
      <c r="BI118" s="1128"/>
      <c r="BJ118" s="480"/>
      <c r="BK118" s="1129"/>
      <c r="BL118" s="477"/>
      <c r="BM118" s="1130"/>
      <c r="BN118" s="477"/>
      <c r="BO118" s="480"/>
      <c r="BP118" s="584"/>
      <c r="BQ118" s="508"/>
      <c r="BR118" s="484"/>
      <c r="BS118" s="508"/>
      <c r="BT118" s="484"/>
      <c r="BU118" s="484"/>
      <c r="BV118" s="484"/>
      <c r="BW118" s="508"/>
      <c r="BX118" s="484"/>
      <c r="BY118" s="584"/>
      <c r="BZ118" s="508"/>
      <c r="CA118" s="508"/>
      <c r="CB118" s="484"/>
      <c r="CC118" s="484"/>
      <c r="CD118" s="484"/>
      <c r="CE118" s="484"/>
      <c r="CF118" s="480"/>
      <c r="CG118" s="509"/>
      <c r="CH118" s="477"/>
      <c r="CI118" s="477"/>
      <c r="CJ118" s="477"/>
      <c r="CK118" s="477"/>
      <c r="CL118" s="1131"/>
      <c r="CM118" s="477"/>
      <c r="CN118" s="477"/>
      <c r="CO118" s="477"/>
      <c r="CP118" s="477">
        <v>0</v>
      </c>
      <c r="CQ118" s="477"/>
      <c r="CR118" s="477"/>
      <c r="CS118" s="477"/>
      <c r="CT118" s="477"/>
      <c r="CU118" s="477">
        <f t="shared" si="276"/>
        <v>0</v>
      </c>
      <c r="CV118" s="477"/>
      <c r="CW118" s="808"/>
      <c r="CX118" s="510"/>
      <c r="CY118" s="510"/>
      <c r="CZ118" s="510">
        <f t="shared" si="287"/>
        <v>0</v>
      </c>
      <c r="DA118" s="510"/>
      <c r="DB118" s="510"/>
      <c r="DC118" s="510">
        <f t="shared" si="298"/>
        <v>0</v>
      </c>
      <c r="DD118" s="510"/>
      <c r="DE118" s="510">
        <f t="shared" si="299"/>
        <v>0</v>
      </c>
      <c r="DF118" s="510"/>
      <c r="DG118" s="510"/>
      <c r="DH118" s="510"/>
      <c r="DI118" s="510">
        <f t="shared" si="224"/>
        <v>0</v>
      </c>
      <c r="DJ118" s="510"/>
      <c r="DK118" s="510"/>
      <c r="DL118" s="512"/>
      <c r="DM118" s="512"/>
      <c r="DN118" s="584"/>
      <c r="DO118" s="584"/>
      <c r="DP118" s="713">
        <f>+DQ118-CZ118</f>
        <v>0</v>
      </c>
      <c r="DQ118" s="713">
        <f>+DR118-DA118</f>
        <v>0</v>
      </c>
      <c r="DR118" s="713">
        <f>+DS118-DB118</f>
        <v>0</v>
      </c>
      <c r="DS118" s="517"/>
      <c r="DT118" s="512"/>
      <c r="DU118" s="584"/>
      <c r="DV118" s="584"/>
      <c r="DW118" s="1131"/>
      <c r="DX118" s="713"/>
      <c r="DY118" s="713"/>
      <c r="DZ118" s="497"/>
      <c r="EB118" s="1131">
        <f>ED118-CP118</f>
        <v>700</v>
      </c>
      <c r="EC118" s="713"/>
      <c r="ED118" s="512">
        <v>700</v>
      </c>
      <c r="EE118" s="480"/>
      <c r="EF118" s="477"/>
      <c r="EG118" s="509"/>
      <c r="EH118" s="477"/>
      <c r="EI118" s="477"/>
      <c r="EJ118" s="477"/>
      <c r="EK118" s="477"/>
      <c r="EL118" s="477"/>
      <c r="EM118" s="477"/>
      <c r="EN118" s="477"/>
      <c r="EO118" s="477"/>
      <c r="EQ118" s="477"/>
      <c r="ES118" s="477"/>
      <c r="EU118" s="481"/>
      <c r="EV118" s="517"/>
      <c r="EW118" s="477"/>
      <c r="EX118" s="477">
        <v>0</v>
      </c>
      <c r="EY118" s="477"/>
      <c r="EZ118" s="477"/>
      <c r="FA118" s="477"/>
      <c r="FB118" s="477"/>
      <c r="FC118" s="477"/>
      <c r="FD118" s="1036"/>
      <c r="FE118" s="510"/>
      <c r="FF118" s="510"/>
      <c r="FG118" s="510"/>
      <c r="FH118" s="510"/>
      <c r="FI118" s="477"/>
      <c r="FJ118" s="477"/>
      <c r="FK118" s="481"/>
      <c r="FL118" s="512"/>
      <c r="FM118" s="584">
        <f t="shared" si="278"/>
        <v>0</v>
      </c>
      <c r="FN118" s="713"/>
      <c r="FO118" s="713"/>
      <c r="FP118" s="713">
        <f t="shared" si="302"/>
        <v>0</v>
      </c>
      <c r="FQ118" s="517"/>
      <c r="FR118" s="517"/>
      <c r="FS118" s="477"/>
      <c r="FT118" s="713"/>
      <c r="FU118" s="713"/>
      <c r="FV118" s="477"/>
      <c r="FW118" s="713"/>
      <c r="FX118" s="713"/>
      <c r="FY118" s="477"/>
      <c r="FZ118" s="477"/>
      <c r="GA118" s="510"/>
      <c r="GB118" s="477"/>
      <c r="GC118" s="477"/>
      <c r="GD118" s="481"/>
      <c r="GE118" s="510"/>
      <c r="GF118" s="477"/>
      <c r="GG118" s="477"/>
      <c r="GH118" s="713"/>
      <c r="GI118" s="713"/>
      <c r="GJ118" s="715"/>
      <c r="GK118" s="713"/>
      <c r="GL118" s="713"/>
      <c r="GM118" s="713"/>
      <c r="GN118" s="713"/>
      <c r="GO118" s="713"/>
      <c r="GP118" s="713">
        <v>-100</v>
      </c>
      <c r="GQ118" s="713"/>
      <c r="GR118" s="477"/>
      <c r="GS118" s="510">
        <v>-100</v>
      </c>
      <c r="GT118" s="477">
        <f>GU118-GR118</f>
        <v>-200</v>
      </c>
      <c r="GU118" s="477">
        <f>GV118-GP118</f>
        <v>-200</v>
      </c>
      <c r="GV118" s="481">
        <v>-300</v>
      </c>
      <c r="GW118" s="510"/>
      <c r="GX118" s="713"/>
      <c r="GY118" s="713"/>
      <c r="GZ118" s="713"/>
      <c r="HA118" s="715"/>
      <c r="HB118" s="713"/>
      <c r="HC118" s="713"/>
      <c r="HD118" s="713"/>
      <c r="HE118" s="713"/>
      <c r="HF118" s="713"/>
      <c r="HG118" s="713"/>
      <c r="HH118" s="713"/>
      <c r="HI118" s="713"/>
      <c r="HJ118" s="713"/>
      <c r="HK118" s="713"/>
      <c r="HL118" s="713"/>
      <c r="HM118" s="713"/>
      <c r="HN118" s="477"/>
      <c r="HO118" s="477"/>
      <c r="HP118" s="510"/>
      <c r="HQ118" s="510"/>
      <c r="HR118" s="477"/>
      <c r="HS118" s="477"/>
      <c r="HT118" s="477"/>
      <c r="HU118" s="477"/>
      <c r="HV118" s="477"/>
      <c r="HW118" s="713"/>
      <c r="HX118" s="713"/>
      <c r="HY118" s="713"/>
      <c r="HZ118" s="477"/>
      <c r="IA118" s="713"/>
      <c r="IB118" s="713"/>
      <c r="IC118" s="715"/>
      <c r="ID118" s="713"/>
      <c r="IE118" s="784"/>
      <c r="IF118" s="713"/>
      <c r="IG118" s="713"/>
      <c r="IH118" s="713"/>
      <c r="II118" s="713"/>
      <c r="IJ118" s="713"/>
      <c r="IK118" s="713"/>
      <c r="IL118" s="713"/>
      <c r="IM118" s="713"/>
      <c r="IN118" s="713"/>
      <c r="IO118" s="713"/>
      <c r="IP118" s="1111"/>
      <c r="IQ118" s="790"/>
      <c r="IR118" s="1111"/>
      <c r="IS118" s="784"/>
      <c r="IT118" s="790"/>
      <c r="IU118" s="790"/>
      <c r="IV118" s="790"/>
      <c r="IW118" s="790"/>
      <c r="IX118" s="790"/>
      <c r="IY118" s="790"/>
      <c r="IZ118" s="790"/>
      <c r="JA118" s="1624"/>
      <c r="JB118" s="790"/>
      <c r="JC118" s="790"/>
      <c r="JD118" s="1624"/>
      <c r="JE118" s="790"/>
      <c r="JF118" s="790"/>
      <c r="JG118" s="790"/>
      <c r="JH118" s="1111"/>
      <c r="JI118" s="784"/>
      <c r="JJ118" s="784"/>
      <c r="JK118" s="713"/>
      <c r="JL118" s="584" t="s">
        <v>1511</v>
      </c>
      <c r="JM118" s="713"/>
      <c r="JN118" s="713"/>
      <c r="JO118" s="713"/>
      <c r="JP118" s="713"/>
      <c r="JQ118" s="713"/>
      <c r="JR118" s="713"/>
      <c r="JS118" s="713"/>
      <c r="JT118" s="713"/>
      <c r="JU118" s="713"/>
      <c r="JV118" s="713"/>
      <c r="JW118" s="713"/>
      <c r="JX118" s="713"/>
      <c r="JY118" s="713"/>
      <c r="JZ118" s="713"/>
      <c r="KA118" s="517"/>
      <c r="KB118" s="713"/>
      <c r="KC118" s="713"/>
      <c r="KD118" s="713"/>
      <c r="KE118" s="713"/>
      <c r="KF118" s="713"/>
      <c r="KG118" s="713"/>
      <c r="KH118" s="713"/>
      <c r="KI118" s="517"/>
      <c r="KJ118" s="713"/>
      <c r="KK118" s="790"/>
      <c r="KL118" s="713"/>
      <c r="KM118" s="713"/>
      <c r="KN118" s="713"/>
      <c r="KO118" s="713"/>
      <c r="KP118" s="713"/>
      <c r="KQ118" s="517"/>
      <c r="KR118" s="713"/>
      <c r="KS118" s="517"/>
      <c r="KT118" s="713"/>
      <c r="KU118" s="790"/>
      <c r="KV118" s="713"/>
      <c r="KW118" s="517"/>
      <c r="KX118" s="713"/>
      <c r="KY118" s="713"/>
      <c r="KZ118" s="517"/>
      <c r="LA118" s="713"/>
      <c r="LB118" s="713"/>
      <c r="LC118" s="517"/>
      <c r="LD118" s="517"/>
      <c r="LE118" s="713"/>
      <c r="LF118" s="713"/>
      <c r="LG118" s="517"/>
    </row>
    <row r="119" spans="1:319" s="1044" customFormat="1" ht="12">
      <c r="A119" s="1036"/>
      <c r="B119" s="1037" t="s">
        <v>1078</v>
      </c>
      <c r="C119" s="1038" t="s">
        <v>941</v>
      </c>
      <c r="D119" s="1039"/>
      <c r="E119" s="1036"/>
      <c r="F119" s="1036"/>
      <c r="G119" s="1040"/>
      <c r="H119" s="1036"/>
      <c r="I119" s="1036"/>
      <c r="J119" s="1040"/>
      <c r="K119" s="1041"/>
      <c r="L119" s="1041"/>
      <c r="M119" s="1041"/>
      <c r="N119" s="1041"/>
      <c r="O119" s="1041"/>
      <c r="P119" s="1041"/>
      <c r="Q119" s="1041"/>
      <c r="R119" s="1041"/>
      <c r="S119" s="1042"/>
      <c r="T119" s="1041"/>
      <c r="U119" s="1041"/>
      <c r="V119" s="1041"/>
      <c r="W119" s="1041"/>
      <c r="X119" s="1041"/>
      <c r="Y119" s="1041"/>
      <c r="Z119" s="1041"/>
      <c r="AA119" s="1041"/>
      <c r="AB119" s="1042"/>
      <c r="AC119" s="1041"/>
      <c r="AD119" s="1041"/>
      <c r="AE119" s="1041"/>
      <c r="AF119" s="1041"/>
      <c r="AG119" s="1041"/>
      <c r="AH119" s="1041">
        <v>-800</v>
      </c>
      <c r="AI119" s="1041">
        <f>+AJ119-AH119</f>
        <v>-300</v>
      </c>
      <c r="AJ119" s="1041">
        <v>-1100</v>
      </c>
      <c r="AK119" s="1039"/>
      <c r="AL119" s="1041">
        <v>-200</v>
      </c>
      <c r="AM119" s="1041">
        <f>+AQ119-AL119</f>
        <v>-400</v>
      </c>
      <c r="AN119" s="1041">
        <f>+AP119-AQ119</f>
        <v>-300</v>
      </c>
      <c r="AO119" s="1041">
        <f>+AR119-AN119</f>
        <v>-200</v>
      </c>
      <c r="AP119" s="1041">
        <v>-900</v>
      </c>
      <c r="AQ119" s="1041">
        <v>-600</v>
      </c>
      <c r="AR119" s="1041">
        <f t="shared" si="292"/>
        <v>-500</v>
      </c>
      <c r="AS119" s="1041">
        <v>-1100</v>
      </c>
      <c r="AT119" s="1039"/>
      <c r="AU119" s="1041">
        <v>-100</v>
      </c>
      <c r="AV119" s="1041">
        <f>+BB119-AU119</f>
        <v>-400</v>
      </c>
      <c r="AW119" s="1041">
        <f>+BA119-BB119</f>
        <v>-500</v>
      </c>
      <c r="AX119" s="1041">
        <v>500</v>
      </c>
      <c r="AY119" s="1041">
        <f t="shared" si="293"/>
        <v>-200</v>
      </c>
      <c r="AZ119" s="1041"/>
      <c r="BA119" s="1041">
        <v>-1000</v>
      </c>
      <c r="BB119" s="1043">
        <v>-500</v>
      </c>
      <c r="BC119" s="1043">
        <f t="shared" si="281"/>
        <v>-700</v>
      </c>
      <c r="BD119" s="1041"/>
      <c r="BE119" s="1041">
        <v>-1200</v>
      </c>
      <c r="BF119" s="1039"/>
      <c r="BG119" s="1041">
        <f>BH119-AW119</f>
        <v>400</v>
      </c>
      <c r="BH119" s="1041">
        <f t="shared" si="294"/>
        <v>-100</v>
      </c>
      <c r="BI119" s="1041">
        <v>-600</v>
      </c>
      <c r="BJ119" s="1039"/>
      <c r="BK119" s="1036">
        <v>-700</v>
      </c>
      <c r="BL119" s="1036">
        <v>-400</v>
      </c>
      <c r="BM119" s="1036">
        <v>-1100</v>
      </c>
      <c r="BN119" s="1036"/>
      <c r="BO119" s="1039"/>
      <c r="BP119" s="1041">
        <v>-200</v>
      </c>
      <c r="BQ119" s="1041"/>
      <c r="BR119" s="1041">
        <f t="shared" si="282"/>
        <v>-100</v>
      </c>
      <c r="BS119" s="1041">
        <v>100</v>
      </c>
      <c r="BT119" s="1041">
        <v>100</v>
      </c>
      <c r="BU119" s="1041"/>
      <c r="BV119" s="1041">
        <f>CC119-BT119</f>
        <v>0</v>
      </c>
      <c r="BW119" s="1041"/>
      <c r="BX119" s="1041">
        <v>-200</v>
      </c>
      <c r="BY119" s="1041">
        <v>-300</v>
      </c>
      <c r="BZ119" s="1041"/>
      <c r="CA119" s="1041"/>
      <c r="CB119" s="1041"/>
      <c r="CC119" s="1041">
        <f t="shared" si="295"/>
        <v>100</v>
      </c>
      <c r="CD119" s="1041"/>
      <c r="CE119" s="1041">
        <v>-200</v>
      </c>
      <c r="CF119" s="1039"/>
      <c r="CG119" s="1087">
        <v>300</v>
      </c>
      <c r="CH119" s="1036">
        <v>100</v>
      </c>
      <c r="CI119" s="1036">
        <v>50</v>
      </c>
      <c r="CJ119" s="1036">
        <f t="shared" si="296"/>
        <v>0</v>
      </c>
      <c r="CK119" s="1036">
        <v>200</v>
      </c>
      <c r="CL119" s="1097">
        <f t="shared" si="297"/>
        <v>100</v>
      </c>
      <c r="CM119" s="1036"/>
      <c r="CN119" s="1036"/>
      <c r="CO119" s="1036">
        <f>CW119-CP119</f>
        <v>300</v>
      </c>
      <c r="CP119" s="1036">
        <v>400</v>
      </c>
      <c r="CQ119" s="1036"/>
      <c r="CR119" s="1036">
        <v>300</v>
      </c>
      <c r="CS119" s="1036"/>
      <c r="CT119" s="1036"/>
      <c r="CU119" s="1036">
        <f t="shared" si="276"/>
        <v>400</v>
      </c>
      <c r="CV119" s="1036"/>
      <c r="CW119" s="1040">
        <v>700</v>
      </c>
      <c r="CX119" s="1036"/>
      <c r="CY119" s="1036">
        <v>0</v>
      </c>
      <c r="CZ119" s="1036">
        <f t="shared" si="287"/>
        <v>-100</v>
      </c>
      <c r="DA119" s="1036">
        <v>0</v>
      </c>
      <c r="DB119" s="1036">
        <v>-100</v>
      </c>
      <c r="DC119" s="1036">
        <f>+DG119-DB119</f>
        <v>200</v>
      </c>
      <c r="DD119" s="1036">
        <v>100</v>
      </c>
      <c r="DE119" s="1036">
        <f t="shared" si="299"/>
        <v>0</v>
      </c>
      <c r="DF119" s="1036"/>
      <c r="DG119" s="1036">
        <v>100</v>
      </c>
      <c r="DH119" s="1036"/>
      <c r="DI119" s="1036">
        <f t="shared" si="224"/>
        <v>200</v>
      </c>
      <c r="DJ119" s="1036"/>
      <c r="DK119" s="1036">
        <v>100</v>
      </c>
      <c r="DL119" s="1098"/>
      <c r="DM119" s="1098"/>
      <c r="DN119" s="1041"/>
      <c r="DO119" s="1041"/>
      <c r="DP119" s="1099">
        <v>-200</v>
      </c>
      <c r="DQ119" s="1099">
        <f t="shared" ref="DQ119" si="305">+DR119-DC119</f>
        <v>-600</v>
      </c>
      <c r="DR119" s="1099">
        <f>+DS119-DB119</f>
        <v>-400</v>
      </c>
      <c r="DS119" s="1100">
        <v>-500</v>
      </c>
      <c r="DT119" s="1098"/>
      <c r="DU119" s="1041"/>
      <c r="DV119" s="1053">
        <f>DW119-CY119</f>
        <v>100</v>
      </c>
      <c r="DW119" s="1097">
        <v>100</v>
      </c>
      <c r="DX119" s="1099">
        <f>DY119-DB119</f>
        <v>200</v>
      </c>
      <c r="DY119" s="1099">
        <v>100</v>
      </c>
      <c r="DZ119" s="1039"/>
      <c r="EB119" s="1097">
        <f>ED119-CP119</f>
        <v>0</v>
      </c>
      <c r="EC119" s="1099">
        <f>ED119-CR119</f>
        <v>100</v>
      </c>
      <c r="ED119" s="1098">
        <v>400</v>
      </c>
      <c r="EE119" s="1039"/>
      <c r="EF119" s="1036"/>
      <c r="EG119" s="1087">
        <v>-100</v>
      </c>
      <c r="EH119" s="1036"/>
      <c r="EI119" s="1036">
        <f t="shared" ref="EI119:EI127" si="306">+EK119-EG119</f>
        <v>-100</v>
      </c>
      <c r="EJ119" s="1036"/>
      <c r="EK119" s="1036">
        <v>-200</v>
      </c>
      <c r="EL119" s="1036"/>
      <c r="EM119" s="1036">
        <f t="shared" ref="EM119:EM127" si="307">+EO119-EK119</f>
        <v>-300</v>
      </c>
      <c r="EN119" s="1036"/>
      <c r="EO119" s="1036">
        <v>-500</v>
      </c>
      <c r="EQ119" s="1036">
        <f>+EU119-EO119</f>
        <v>-500</v>
      </c>
      <c r="ER119" s="1036"/>
      <c r="ES119" s="1036">
        <f>+EU119-EK119</f>
        <v>-800</v>
      </c>
      <c r="EU119" s="1040">
        <v>-1000</v>
      </c>
      <c r="EV119" s="517"/>
      <c r="EW119" s="1036">
        <v>-300</v>
      </c>
      <c r="EX119" s="1036">
        <v>-300</v>
      </c>
      <c r="EY119" s="1036">
        <v>-300</v>
      </c>
      <c r="EZ119" s="1036">
        <f>+FB119-EX119</f>
        <v>-200</v>
      </c>
      <c r="FA119" s="1036">
        <v>-600</v>
      </c>
      <c r="FB119" s="1036">
        <v>-500</v>
      </c>
      <c r="FC119" s="1036">
        <f>+FE119-FB119</f>
        <v>100</v>
      </c>
      <c r="FD119" s="477">
        <v>-600</v>
      </c>
      <c r="FE119" s="1036">
        <v>-400</v>
      </c>
      <c r="FF119" s="1036">
        <v>-600</v>
      </c>
      <c r="FG119" s="1036">
        <f>FI119-FC119</f>
        <v>200</v>
      </c>
      <c r="FH119" s="1036">
        <f>+FL119-FE119</f>
        <v>200</v>
      </c>
      <c r="FI119" s="1036">
        <f t="shared" ref="FI119:FI127" si="308">FK119-FB119</f>
        <v>300</v>
      </c>
      <c r="FJ119" s="1036">
        <f>+FL119-FB119</f>
        <v>300</v>
      </c>
      <c r="FK119" s="1040">
        <v>-200</v>
      </c>
      <c r="FL119" s="1098">
        <f>+Driver!AD218</f>
        <v>-200</v>
      </c>
      <c r="FM119" s="1041">
        <f t="shared" si="278"/>
        <v>-300</v>
      </c>
      <c r="FN119" s="1099">
        <v>-600</v>
      </c>
      <c r="FO119" s="1099">
        <f>+FQ119-FE119</f>
        <v>0</v>
      </c>
      <c r="FP119" s="1099">
        <f t="shared" si="302"/>
        <v>100</v>
      </c>
      <c r="FQ119" s="1100">
        <v>-400</v>
      </c>
      <c r="FR119" s="1100"/>
      <c r="FS119" s="1036">
        <v>100</v>
      </c>
      <c r="FT119" s="1099"/>
      <c r="FU119" s="1099"/>
      <c r="FV119" s="1036">
        <f>+FY119-FS119</f>
        <v>100</v>
      </c>
      <c r="FW119" s="1099"/>
      <c r="FX119" s="1099"/>
      <c r="FY119" s="1036">
        <v>200</v>
      </c>
      <c r="FZ119" s="1036">
        <f>+GA119-FY119</f>
        <v>100</v>
      </c>
      <c r="GA119" s="1036">
        <v>300</v>
      </c>
      <c r="GB119" s="1036">
        <f>+GD119-GA119</f>
        <v>100</v>
      </c>
      <c r="GC119" s="1036">
        <f>+GD119-FY119</f>
        <v>200</v>
      </c>
      <c r="GD119" s="1040">
        <v>400</v>
      </c>
      <c r="GE119" s="1036"/>
      <c r="GF119" s="1036"/>
      <c r="GG119" s="1036"/>
      <c r="GH119" s="1099"/>
      <c r="GI119" s="1099"/>
      <c r="GJ119" s="1105"/>
      <c r="GK119" s="1099"/>
      <c r="GL119" s="1099">
        <v>0</v>
      </c>
      <c r="GM119" s="1099"/>
      <c r="GN119" s="1099"/>
      <c r="GO119" s="1099">
        <f>+GP119-GL119</f>
        <v>0</v>
      </c>
      <c r="GP119" s="1099">
        <v>0</v>
      </c>
      <c r="GQ119" s="1099"/>
      <c r="GR119" s="1036">
        <f>+GS119-GP119</f>
        <v>0</v>
      </c>
      <c r="GS119" s="1036">
        <v>0</v>
      </c>
      <c r="GT119" s="1036">
        <f>+GU119-GR119</f>
        <v>0</v>
      </c>
      <c r="GU119" s="1036">
        <f>+GV119-GP119</f>
        <v>0</v>
      </c>
      <c r="GV119" s="1040">
        <v>0</v>
      </c>
      <c r="GW119" s="1036"/>
      <c r="GX119" s="1099"/>
      <c r="GY119" s="1099"/>
      <c r="GZ119" s="1099"/>
      <c r="HA119" s="1105"/>
      <c r="HB119" s="1099"/>
      <c r="HC119" s="1099"/>
      <c r="HD119" s="1099">
        <v>-100</v>
      </c>
      <c r="HE119" s="1099">
        <v>-100</v>
      </c>
      <c r="HF119" s="1099">
        <f>+HI119-HD119</f>
        <v>0</v>
      </c>
      <c r="HG119" s="1099">
        <f>+HL119-HE119</f>
        <v>0</v>
      </c>
      <c r="HH119" s="1099">
        <f t="shared" ref="HH119:HH121" si="309">HM119-HE119</f>
        <v>0</v>
      </c>
      <c r="HI119" s="1099">
        <v>-100</v>
      </c>
      <c r="HJ119" s="1099">
        <v>0</v>
      </c>
      <c r="HK119" s="1099"/>
      <c r="HL119" s="1099">
        <v>-100</v>
      </c>
      <c r="HM119" s="1099">
        <v>-100</v>
      </c>
      <c r="HN119" s="1036">
        <f>+HP119-HI119</f>
        <v>200</v>
      </c>
      <c r="HO119" s="1036">
        <f>+HQ119-HM119</f>
        <v>200</v>
      </c>
      <c r="HP119" s="1036">
        <v>100</v>
      </c>
      <c r="HQ119" s="1036">
        <v>100</v>
      </c>
      <c r="HR119" s="1036">
        <f>+HT119-HN119</f>
        <v>200</v>
      </c>
      <c r="HS119" s="1036"/>
      <c r="HT119" s="1036">
        <f>+HV119-HI119</f>
        <v>400</v>
      </c>
      <c r="HU119" s="1036">
        <f>HZ119-HM119</f>
        <v>400</v>
      </c>
      <c r="HV119" s="1036">
        <v>300</v>
      </c>
      <c r="HW119" s="1099"/>
      <c r="HX119" s="1099"/>
      <c r="HY119" s="1099"/>
      <c r="HZ119" s="1036">
        <v>300</v>
      </c>
      <c r="IA119" s="1099"/>
      <c r="IB119" s="1099"/>
      <c r="IC119" s="1105"/>
      <c r="ID119" s="1099"/>
      <c r="IE119" s="1106">
        <v>400</v>
      </c>
      <c r="IF119" s="1099">
        <f>IG119-IE119</f>
        <v>100</v>
      </c>
      <c r="IG119" s="1107">
        <v>500</v>
      </c>
      <c r="IH119" s="1099">
        <f>+IJ119-IG119</f>
        <v>100</v>
      </c>
      <c r="II119" s="1099"/>
      <c r="IJ119" s="1108">
        <v>600</v>
      </c>
      <c r="IK119" s="1099">
        <f>+IP119-IL119</f>
        <v>0</v>
      </c>
      <c r="IL119" s="1099"/>
      <c r="IM119" s="1099">
        <f>+IO119-IH119</f>
        <v>-200</v>
      </c>
      <c r="IN119" s="1099"/>
      <c r="IO119" s="1099">
        <f>+IR119-IG119</f>
        <v>-100</v>
      </c>
      <c r="IP119" s="1100"/>
      <c r="IQ119" s="1099"/>
      <c r="IR119" s="1109">
        <v>400</v>
      </c>
      <c r="IS119" s="1289"/>
      <c r="IT119" s="1110">
        <v>-100</v>
      </c>
      <c r="IU119" s="1110">
        <v>-300</v>
      </c>
      <c r="IV119" s="1110">
        <f t="shared" ref="IV119:IV127" si="310">IX119-IU119</f>
        <v>-100</v>
      </c>
      <c r="IW119" s="1099">
        <v>-200</v>
      </c>
      <c r="IX119" s="1099">
        <v>-400</v>
      </c>
      <c r="IY119" s="1099"/>
      <c r="IZ119" s="1099">
        <f>JA119-IX119</f>
        <v>-500</v>
      </c>
      <c r="JA119" s="1099">
        <v>-900</v>
      </c>
      <c r="JB119" s="1099">
        <f>+JC119-IZ119</f>
        <v>-200</v>
      </c>
      <c r="JC119" s="1099">
        <f>+JD119-IX119</f>
        <v>-700</v>
      </c>
      <c r="JD119" s="1099">
        <v>-1100</v>
      </c>
      <c r="JE119" s="1099"/>
      <c r="JF119" s="1099"/>
      <c r="JG119" s="1099"/>
      <c r="JH119" s="1100"/>
      <c r="JI119" s="1289"/>
      <c r="JJ119" s="1796">
        <f>+JJ120+JJ121+JJ122</f>
        <v>-200</v>
      </c>
      <c r="JK119" s="1797">
        <f>+JK120+JK121+JK122</f>
        <v>-100</v>
      </c>
      <c r="JL119" s="1127">
        <v>-200</v>
      </c>
      <c r="JM119" s="1099">
        <f t="shared" ref="JM119" si="311">+JP119-JL119</f>
        <v>0</v>
      </c>
      <c r="JN119" s="1099">
        <f t="shared" ref="JN119" si="312">JS119-JP119</f>
        <v>100</v>
      </c>
      <c r="JO119" s="1797"/>
      <c r="JP119" s="1797">
        <v>-200</v>
      </c>
      <c r="JQ119" s="1797"/>
      <c r="JR119" s="1797"/>
      <c r="JS119" s="1797">
        <v>-100</v>
      </c>
      <c r="JT119" s="1797">
        <f t="shared" ref="JT119:JW119" si="313">+JT120+JT121+JT122</f>
        <v>-100</v>
      </c>
      <c r="JU119" s="1797">
        <f t="shared" si="313"/>
        <v>-200</v>
      </c>
      <c r="JV119" s="1110">
        <f t="shared" si="313"/>
        <v>-300</v>
      </c>
      <c r="JW119" s="1110">
        <f t="shared" si="313"/>
        <v>0</v>
      </c>
      <c r="JX119" s="1110">
        <f>+Driver!AL218</f>
        <v>-200</v>
      </c>
      <c r="JY119" s="1110">
        <f>+JP119+JT119</f>
        <v>-300</v>
      </c>
      <c r="JZ119" s="603"/>
      <c r="KA119" s="746"/>
      <c r="KB119" s="1110">
        <f>+KC119-JL119</f>
        <v>-100</v>
      </c>
      <c r="KC119" s="1110">
        <v>-300</v>
      </c>
      <c r="KD119" s="1110">
        <f t="shared" ref="KD119" si="314">+KH119-KC119</f>
        <v>-100</v>
      </c>
      <c r="KE119" s="1110">
        <f>+KG119-JP119</f>
        <v>-200</v>
      </c>
      <c r="KF119" s="1110"/>
      <c r="KG119" s="1110">
        <v>-400</v>
      </c>
      <c r="KH119" s="1110">
        <v>-400</v>
      </c>
      <c r="KI119" s="746"/>
      <c r="KJ119" s="603"/>
      <c r="KK119" s="1099"/>
      <c r="KL119" s="1099">
        <f t="shared" ref="KL119:KL127" si="315">KM119-IX119</f>
        <v>-800</v>
      </c>
      <c r="KM119" s="1110">
        <v>-1200</v>
      </c>
      <c r="KN119" s="603"/>
      <c r="KO119" s="1110">
        <v>-100</v>
      </c>
      <c r="KP119" s="1099">
        <v>-200</v>
      </c>
      <c r="KQ119" s="1100">
        <v>-300</v>
      </c>
      <c r="KR119" s="1099">
        <v>100</v>
      </c>
      <c r="KS119" s="1100">
        <v>600</v>
      </c>
      <c r="KT119" s="1099">
        <f>KU119-IE119</f>
        <v>-100</v>
      </c>
      <c r="KU119" s="1099">
        <v>300</v>
      </c>
      <c r="KV119" s="1099">
        <f t="shared" ref="KV119:KV127" si="316">KW119-KU119</f>
        <v>100</v>
      </c>
      <c r="KW119" s="1100">
        <v>400</v>
      </c>
      <c r="KX119" s="1099">
        <f t="shared" ref="KX119:KX127" si="317">KY119-HN119</f>
        <v>0</v>
      </c>
      <c r="KY119" s="1099">
        <f t="shared" ref="KY119:KY127" si="318">KZ119-HI119</f>
        <v>200</v>
      </c>
      <c r="KZ119" s="1100">
        <v>100</v>
      </c>
      <c r="LA119" s="1099">
        <v>0</v>
      </c>
      <c r="LB119" s="1099">
        <f t="shared" ref="LB119:LB127" si="319">LC119-LA119</f>
        <v>100</v>
      </c>
      <c r="LC119" s="1100">
        <v>100</v>
      </c>
      <c r="LD119" s="1100"/>
      <c r="LE119" s="1099">
        <f>LF119-GR119</f>
        <v>0</v>
      </c>
      <c r="LF119" s="1099">
        <f>LG119-GP119</f>
        <v>0</v>
      </c>
      <c r="LG119" s="1100">
        <v>0</v>
      </c>
    </row>
    <row r="120" spans="1:319" s="705" customFormat="1">
      <c r="A120" s="510"/>
      <c r="B120" s="1064" t="s">
        <v>1079</v>
      </c>
      <c r="C120" s="1065" t="s">
        <v>947</v>
      </c>
      <c r="D120" s="497"/>
      <c r="E120" s="510"/>
      <c r="F120" s="510"/>
      <c r="G120" s="699"/>
      <c r="H120" s="510"/>
      <c r="I120" s="510"/>
      <c r="J120" s="699"/>
      <c r="K120" s="584"/>
      <c r="L120" s="584"/>
      <c r="M120" s="584"/>
      <c r="N120" s="584"/>
      <c r="O120" s="584"/>
      <c r="P120" s="584"/>
      <c r="Q120" s="584"/>
      <c r="R120" s="584"/>
      <c r="S120" s="700"/>
      <c r="T120" s="584"/>
      <c r="U120" s="584"/>
      <c r="V120" s="584"/>
      <c r="W120" s="584"/>
      <c r="X120" s="584"/>
      <c r="Y120" s="584"/>
      <c r="Z120" s="584"/>
      <c r="AA120" s="584"/>
      <c r="AB120" s="700"/>
      <c r="AC120" s="584"/>
      <c r="AD120" s="584"/>
      <c r="AE120" s="584"/>
      <c r="AF120" s="584"/>
      <c r="AG120" s="584"/>
      <c r="AH120" s="584"/>
      <c r="AI120" s="584"/>
      <c r="AJ120" s="584"/>
      <c r="AK120" s="497"/>
      <c r="AL120" s="584"/>
      <c r="AM120" s="584"/>
      <c r="AN120" s="584"/>
      <c r="AO120" s="584"/>
      <c r="AP120" s="584">
        <v>-400</v>
      </c>
      <c r="AQ120" s="584">
        <v>-400</v>
      </c>
      <c r="AR120" s="584">
        <f t="shared" si="292"/>
        <v>-100</v>
      </c>
      <c r="AS120" s="584">
        <v>-500</v>
      </c>
      <c r="AT120" s="497"/>
      <c r="AU120" s="584"/>
      <c r="AV120" s="584"/>
      <c r="AW120" s="584">
        <v>-300</v>
      </c>
      <c r="AX120" s="584">
        <v>0</v>
      </c>
      <c r="AY120" s="584">
        <f t="shared" si="293"/>
        <v>0</v>
      </c>
      <c r="AZ120" s="584"/>
      <c r="BA120" s="584">
        <f>+AW120+BB120</f>
        <v>-500</v>
      </c>
      <c r="BB120" s="625">
        <v>-200</v>
      </c>
      <c r="BC120" s="625">
        <f t="shared" si="281"/>
        <v>-300</v>
      </c>
      <c r="BD120" s="584"/>
      <c r="BE120" s="584">
        <v>-500</v>
      </c>
      <c r="BF120" s="497"/>
      <c r="BG120" s="584">
        <f>BH120-AW120</f>
        <v>500</v>
      </c>
      <c r="BH120" s="584">
        <f t="shared" si="294"/>
        <v>200</v>
      </c>
      <c r="BI120" s="584"/>
      <c r="BJ120" s="497"/>
      <c r="BK120" s="510">
        <v>-100</v>
      </c>
      <c r="BL120" s="510">
        <v>200</v>
      </c>
      <c r="BM120" s="510">
        <v>100</v>
      </c>
      <c r="BN120" s="510"/>
      <c r="BO120" s="497"/>
      <c r="BP120" s="584">
        <v>-100</v>
      </c>
      <c r="BQ120" s="584"/>
      <c r="BR120" s="584">
        <f t="shared" si="282"/>
        <v>0</v>
      </c>
      <c r="BS120" s="584"/>
      <c r="BT120" s="584">
        <v>0</v>
      </c>
      <c r="BU120" s="584"/>
      <c r="BV120" s="584"/>
      <c r="BW120" s="584"/>
      <c r="BX120" s="584">
        <f>BY120+BT120</f>
        <v>-100</v>
      </c>
      <c r="BY120" s="584">
        <v>-100</v>
      </c>
      <c r="BZ120" s="584"/>
      <c r="CA120" s="584"/>
      <c r="CB120" s="584"/>
      <c r="CC120" s="584"/>
      <c r="CD120" s="584"/>
      <c r="CE120" s="584">
        <f>CE119-CE121-CE122</f>
        <v>-100</v>
      </c>
      <c r="CF120" s="497"/>
      <c r="CG120" s="714">
        <v>200</v>
      </c>
      <c r="CH120" s="510"/>
      <c r="CI120" s="510"/>
      <c r="CJ120" s="510">
        <f>CR120-CG120</f>
        <v>0</v>
      </c>
      <c r="CK120" s="510"/>
      <c r="CL120" s="710">
        <v>0</v>
      </c>
      <c r="CM120" s="510"/>
      <c r="CN120" s="510"/>
      <c r="CO120" s="510">
        <v>150</v>
      </c>
      <c r="CP120" s="510">
        <f>CR120+CL120</f>
        <v>200</v>
      </c>
      <c r="CQ120" s="510"/>
      <c r="CR120" s="510">
        <v>200</v>
      </c>
      <c r="CS120" s="510"/>
      <c r="CT120" s="510"/>
      <c r="CU120" s="510">
        <f>CL120+CO120</f>
        <v>150</v>
      </c>
      <c r="CV120" s="510"/>
      <c r="CW120" s="699">
        <f>CR120+CU120</f>
        <v>350</v>
      </c>
      <c r="CX120" s="510"/>
      <c r="CY120" s="510"/>
      <c r="CZ120" s="510">
        <f t="shared" si="287"/>
        <v>-100</v>
      </c>
      <c r="DA120" s="510"/>
      <c r="DB120" s="510">
        <v>-100</v>
      </c>
      <c r="DC120" s="510">
        <f>+DG120-DB120</f>
        <v>-300</v>
      </c>
      <c r="DD120" s="510"/>
      <c r="DE120" s="510">
        <f t="shared" si="299"/>
        <v>-100</v>
      </c>
      <c r="DF120" s="510"/>
      <c r="DG120" s="510">
        <v>-400</v>
      </c>
      <c r="DH120" s="510"/>
      <c r="DI120" s="510">
        <f t="shared" si="224"/>
        <v>-400</v>
      </c>
      <c r="DJ120" s="510"/>
      <c r="DK120" s="510">
        <v>-500</v>
      </c>
      <c r="DL120" s="512"/>
      <c r="DM120" s="512"/>
      <c r="DN120" s="584"/>
      <c r="DO120" s="584"/>
      <c r="DP120" s="713">
        <v>-200</v>
      </c>
      <c r="DQ120" s="713">
        <v>-200</v>
      </c>
      <c r="DR120" s="713">
        <v>-400</v>
      </c>
      <c r="DS120" s="517"/>
      <c r="DT120" s="512"/>
      <c r="DU120" s="584"/>
      <c r="DV120" s="584"/>
      <c r="DX120" s="713"/>
      <c r="DY120" s="713"/>
      <c r="DZ120" s="497"/>
      <c r="EB120" s="705">
        <v>0</v>
      </c>
      <c r="EC120" s="713"/>
      <c r="ED120" s="512"/>
      <c r="EE120" s="497"/>
      <c r="EF120" s="510"/>
      <c r="EG120" s="714">
        <v>-200</v>
      </c>
      <c r="EH120" s="510"/>
      <c r="EI120" s="510">
        <f t="shared" si="306"/>
        <v>-100</v>
      </c>
      <c r="EJ120" s="510"/>
      <c r="EK120" s="510">
        <v>-300</v>
      </c>
      <c r="EL120" s="510"/>
      <c r="EM120" s="510">
        <f t="shared" si="307"/>
        <v>0</v>
      </c>
      <c r="EN120" s="510"/>
      <c r="EO120" s="510">
        <v>-300</v>
      </c>
      <c r="EQ120" s="510">
        <f>ES120-EM120</f>
        <v>-100</v>
      </c>
      <c r="ES120" s="510">
        <f>EU120-EK120</f>
        <v>-100</v>
      </c>
      <c r="EU120" s="699">
        <v>-400</v>
      </c>
      <c r="EV120" s="517"/>
      <c r="EW120" s="510"/>
      <c r="EX120" s="510">
        <v>0</v>
      </c>
      <c r="EY120" s="510"/>
      <c r="EZ120" s="510"/>
      <c r="FA120" s="510"/>
      <c r="FB120" s="510"/>
      <c r="FC120" s="510">
        <v>100</v>
      </c>
      <c r="FD120" s="477"/>
      <c r="FE120" s="510">
        <f>FC120+FB120</f>
        <v>100</v>
      </c>
      <c r="FF120" s="477"/>
      <c r="FG120" s="477">
        <f>FI120-FC120</f>
        <v>0</v>
      </c>
      <c r="FH120" s="510"/>
      <c r="FI120" s="510">
        <f t="shared" si="308"/>
        <v>100</v>
      </c>
      <c r="FJ120" s="510"/>
      <c r="FK120" s="699">
        <v>100</v>
      </c>
      <c r="FL120" s="512"/>
      <c r="FM120" s="584">
        <f t="shared" si="278"/>
        <v>0</v>
      </c>
      <c r="FN120" s="713">
        <v>0</v>
      </c>
      <c r="FO120" s="713"/>
      <c r="FP120" s="713">
        <f t="shared" si="302"/>
        <v>0</v>
      </c>
      <c r="FQ120" s="517">
        <v>0</v>
      </c>
      <c r="FR120" s="517"/>
      <c r="FS120" s="510">
        <v>0</v>
      </c>
      <c r="FT120" s="713"/>
      <c r="FU120" s="713"/>
      <c r="FV120" s="510"/>
      <c r="FW120" s="713"/>
      <c r="FX120" s="713"/>
      <c r="FY120" s="510"/>
      <c r="FZ120" s="510"/>
      <c r="GA120" s="510"/>
      <c r="GB120" s="510"/>
      <c r="GC120" s="510"/>
      <c r="GD120" s="699"/>
      <c r="GE120" s="510"/>
      <c r="GF120" s="510"/>
      <c r="GG120" s="510"/>
      <c r="GH120" s="713"/>
      <c r="GI120" s="713"/>
      <c r="GJ120" s="715"/>
      <c r="GK120" s="713"/>
      <c r="GL120" s="713">
        <v>-100</v>
      </c>
      <c r="GM120" s="713"/>
      <c r="GN120" s="713"/>
      <c r="GO120" s="713">
        <f>GP120-GL120</f>
        <v>0</v>
      </c>
      <c r="GP120" s="713">
        <v>-100</v>
      </c>
      <c r="GQ120" s="713"/>
      <c r="GR120" s="510">
        <v>-100</v>
      </c>
      <c r="GS120" s="510">
        <f>GR120+GP120</f>
        <v>-200</v>
      </c>
      <c r="GT120" s="477">
        <f>GU120-GR120</f>
        <v>-100</v>
      </c>
      <c r="GU120" s="477">
        <f>GV120-GP120</f>
        <v>-200</v>
      </c>
      <c r="GV120" s="699">
        <v>-300</v>
      </c>
      <c r="GW120" s="510"/>
      <c r="GX120" s="713"/>
      <c r="GY120" s="713"/>
      <c r="GZ120" s="713"/>
      <c r="HA120" s="715"/>
      <c r="HB120" s="713"/>
      <c r="HC120" s="713"/>
      <c r="HD120" s="713">
        <v>-100</v>
      </c>
      <c r="HE120" s="713">
        <v>-100</v>
      </c>
      <c r="HF120" s="713">
        <f>HI120-HD120</f>
        <v>-200</v>
      </c>
      <c r="HG120" s="713">
        <f>HL120-HE120</f>
        <v>-200</v>
      </c>
      <c r="HH120" s="713">
        <f t="shared" si="309"/>
        <v>-200</v>
      </c>
      <c r="HI120" s="713">
        <v>-300</v>
      </c>
      <c r="HJ120" s="713"/>
      <c r="HK120" s="713"/>
      <c r="HL120" s="713">
        <v>-300</v>
      </c>
      <c r="HM120" s="713">
        <v>-300</v>
      </c>
      <c r="HN120" s="510">
        <f>HP120-HI120</f>
        <v>0</v>
      </c>
      <c r="HO120" s="510">
        <f>HQ120-HM120</f>
        <v>0</v>
      </c>
      <c r="HP120" s="510">
        <v>-300</v>
      </c>
      <c r="HQ120" s="510">
        <v>-300</v>
      </c>
      <c r="HR120" s="477">
        <f>HT120-HN120</f>
        <v>0</v>
      </c>
      <c r="HS120" s="477"/>
      <c r="HT120" s="477">
        <f>HV120-HI120</f>
        <v>0</v>
      </c>
      <c r="HU120" s="477"/>
      <c r="HV120" s="510">
        <v>-300</v>
      </c>
      <c r="HW120" s="713"/>
      <c r="HX120" s="713"/>
      <c r="HY120" s="713"/>
      <c r="HZ120" s="510"/>
      <c r="IA120" s="713"/>
      <c r="IB120" s="713"/>
      <c r="IC120" s="715"/>
      <c r="ID120" s="713"/>
      <c r="IE120" s="784">
        <v>300</v>
      </c>
      <c r="IF120" s="713">
        <f>IG120-IE120</f>
        <v>0</v>
      </c>
      <c r="IG120" s="1134">
        <v>300</v>
      </c>
      <c r="IH120" s="713">
        <v>100</v>
      </c>
      <c r="II120" s="713"/>
      <c r="IJ120" s="1135">
        <f>IG120+IH120</f>
        <v>400</v>
      </c>
      <c r="IK120" s="713">
        <f>IP120-IL120</f>
        <v>0</v>
      </c>
      <c r="IL120" s="713"/>
      <c r="IM120" s="713">
        <f>IO120-IH120</f>
        <v>0</v>
      </c>
      <c r="IN120" s="713"/>
      <c r="IO120" s="713">
        <f>IR120-IG120</f>
        <v>100</v>
      </c>
      <c r="IP120" s="517"/>
      <c r="IQ120" s="713"/>
      <c r="IR120" s="517">
        <v>400</v>
      </c>
      <c r="IS120" s="1289"/>
      <c r="IT120" s="713"/>
      <c r="IU120" s="603">
        <v>-100</v>
      </c>
      <c r="IV120" s="713">
        <f t="shared" si="310"/>
        <v>150</v>
      </c>
      <c r="IW120" s="713"/>
      <c r="IX120" s="713">
        <v>50</v>
      </c>
      <c r="IY120" s="713"/>
      <c r="IZ120" s="713">
        <v>50</v>
      </c>
      <c r="JA120" s="1624">
        <f t="shared" ref="JA120:JA122" si="320">+IX120+IZ120</f>
        <v>100</v>
      </c>
      <c r="JB120" s="713">
        <f t="shared" ref="JB120:JB122" si="321">+JC120-IZ120</f>
        <v>0</v>
      </c>
      <c r="JC120" s="713">
        <f t="shared" ref="JC120:JC122" si="322">+JD120-IX120</f>
        <v>50</v>
      </c>
      <c r="JD120" s="1624">
        <v>100</v>
      </c>
      <c r="JE120" s="713"/>
      <c r="JF120" s="713"/>
      <c r="JG120" s="713"/>
      <c r="JH120" s="517"/>
      <c r="JI120" s="1289"/>
      <c r="JJ120" s="1289"/>
      <c r="JK120" s="603"/>
      <c r="JL120" s="585"/>
      <c r="JM120" s="1133"/>
      <c r="JN120" s="1133"/>
      <c r="JO120" s="1133"/>
      <c r="JP120" s="1133">
        <v>0</v>
      </c>
      <c r="JQ120" s="1133"/>
      <c r="JR120" s="1133"/>
      <c r="JS120" s="1133"/>
      <c r="JT120" s="603"/>
      <c r="JU120" s="603"/>
      <c r="JV120" s="603"/>
      <c r="JW120" s="603"/>
      <c r="JX120" s="603"/>
      <c r="JY120" s="603"/>
      <c r="JZ120" s="603"/>
      <c r="KA120" s="746"/>
      <c r="KB120" s="603"/>
      <c r="KC120" s="603">
        <v>0</v>
      </c>
      <c r="KD120" s="603"/>
      <c r="KE120" s="603"/>
      <c r="KF120" s="603"/>
      <c r="KG120" s="603"/>
      <c r="KH120" s="723">
        <v>0</v>
      </c>
      <c r="KI120" s="746"/>
      <c r="KJ120" s="603"/>
      <c r="KK120" s="713"/>
      <c r="KL120" s="713">
        <f t="shared" si="315"/>
        <v>50</v>
      </c>
      <c r="KM120" s="603">
        <v>100</v>
      </c>
      <c r="KN120" s="603"/>
      <c r="KO120" s="603">
        <v>100</v>
      </c>
      <c r="KP120" s="713">
        <v>100</v>
      </c>
      <c r="KQ120" s="517">
        <v>200</v>
      </c>
      <c r="KR120" s="713">
        <v>150</v>
      </c>
      <c r="KS120" s="517">
        <v>450</v>
      </c>
      <c r="KT120" s="713">
        <f>KU120-IE120</f>
        <v>-150</v>
      </c>
      <c r="KU120" s="790">
        <v>150</v>
      </c>
      <c r="KV120" s="713">
        <f t="shared" si="316"/>
        <v>150</v>
      </c>
      <c r="KW120" s="517">
        <v>300</v>
      </c>
      <c r="KX120" s="713">
        <f t="shared" si="317"/>
        <v>0</v>
      </c>
      <c r="KY120" s="713">
        <f t="shared" si="318"/>
        <v>0</v>
      </c>
      <c r="KZ120" s="517">
        <v>-300</v>
      </c>
      <c r="LA120" s="713">
        <v>-100</v>
      </c>
      <c r="LB120" s="713">
        <f t="shared" si="319"/>
        <v>0</v>
      </c>
      <c r="LC120" s="517">
        <v>-100</v>
      </c>
      <c r="LD120" s="517"/>
      <c r="LE120" s="713">
        <f>LF120-GR120</f>
        <v>0</v>
      </c>
      <c r="LF120" s="713">
        <f>LG120-GP120</f>
        <v>-100</v>
      </c>
      <c r="LG120" s="517">
        <v>-200</v>
      </c>
    </row>
    <row r="121" spans="1:319" s="705" customFormat="1">
      <c r="A121" s="510"/>
      <c r="B121" s="1064" t="s">
        <v>170</v>
      </c>
      <c r="C121" s="1065" t="s">
        <v>946</v>
      </c>
      <c r="D121" s="497"/>
      <c r="E121" s="510"/>
      <c r="F121" s="510"/>
      <c r="G121" s="699"/>
      <c r="H121" s="510"/>
      <c r="I121" s="510"/>
      <c r="J121" s="699"/>
      <c r="K121" s="584"/>
      <c r="L121" s="584"/>
      <c r="M121" s="584"/>
      <c r="N121" s="584"/>
      <c r="O121" s="584"/>
      <c r="P121" s="584"/>
      <c r="Q121" s="584"/>
      <c r="R121" s="584"/>
      <c r="S121" s="700"/>
      <c r="T121" s="584"/>
      <c r="U121" s="584"/>
      <c r="V121" s="584"/>
      <c r="W121" s="584"/>
      <c r="X121" s="584"/>
      <c r="Y121" s="584"/>
      <c r="Z121" s="584"/>
      <c r="AA121" s="584"/>
      <c r="AB121" s="700"/>
      <c r="AC121" s="584"/>
      <c r="AD121" s="584"/>
      <c r="AE121" s="584"/>
      <c r="AF121" s="584"/>
      <c r="AG121" s="584"/>
      <c r="AH121" s="584"/>
      <c r="AI121" s="584"/>
      <c r="AJ121" s="584"/>
      <c r="AK121" s="497"/>
      <c r="AL121" s="584"/>
      <c r="AM121" s="584"/>
      <c r="AN121" s="584"/>
      <c r="AO121" s="584"/>
      <c r="AP121" s="584">
        <v>-400</v>
      </c>
      <c r="AQ121" s="584">
        <v>-200</v>
      </c>
      <c r="AR121" s="584">
        <f t="shared" si="292"/>
        <v>-200</v>
      </c>
      <c r="AS121" s="584">
        <v>-400</v>
      </c>
      <c r="AT121" s="497"/>
      <c r="AU121" s="584"/>
      <c r="AV121" s="584"/>
      <c r="AW121" s="584">
        <v>-200</v>
      </c>
      <c r="AX121" s="584"/>
      <c r="AY121" s="584">
        <f t="shared" si="293"/>
        <v>-200</v>
      </c>
      <c r="AZ121" s="584"/>
      <c r="BA121" s="584">
        <f>+AW121+BB121</f>
        <v>-500</v>
      </c>
      <c r="BB121" s="625">
        <v>-300</v>
      </c>
      <c r="BC121" s="625">
        <f t="shared" si="281"/>
        <v>-400</v>
      </c>
      <c r="BD121" s="584"/>
      <c r="BE121" s="584">
        <v>-700</v>
      </c>
      <c r="BF121" s="497"/>
      <c r="BG121" s="584">
        <f>BH121-AW121</f>
        <v>-100</v>
      </c>
      <c r="BH121" s="584">
        <f t="shared" si="294"/>
        <v>-300</v>
      </c>
      <c r="BI121" s="584">
        <v>-600</v>
      </c>
      <c r="BJ121" s="497"/>
      <c r="BK121" s="510">
        <v>-400</v>
      </c>
      <c r="BL121" s="510">
        <v>-400</v>
      </c>
      <c r="BM121" s="510">
        <v>-800</v>
      </c>
      <c r="BN121" s="510"/>
      <c r="BO121" s="497"/>
      <c r="BP121" s="584">
        <v>-100</v>
      </c>
      <c r="BQ121" s="584"/>
      <c r="BR121" s="584">
        <f t="shared" si="282"/>
        <v>0</v>
      </c>
      <c r="BS121" s="584"/>
      <c r="BT121" s="584">
        <v>100</v>
      </c>
      <c r="BU121" s="584"/>
      <c r="BV121" s="584"/>
      <c r="BW121" s="584"/>
      <c r="BX121" s="584">
        <f>BY121+BT121</f>
        <v>0</v>
      </c>
      <c r="BY121" s="584">
        <v>-100</v>
      </c>
      <c r="BZ121" s="584"/>
      <c r="CA121" s="584"/>
      <c r="CB121" s="584"/>
      <c r="CC121" s="584"/>
      <c r="CD121" s="584"/>
      <c r="CE121" s="584">
        <v>200</v>
      </c>
      <c r="CF121" s="497"/>
      <c r="CG121" s="714">
        <v>100</v>
      </c>
      <c r="CH121" s="510">
        <v>200</v>
      </c>
      <c r="CI121" s="510"/>
      <c r="CJ121" s="510">
        <f t="shared" si="296"/>
        <v>100</v>
      </c>
      <c r="CK121" s="510"/>
      <c r="CL121" s="710">
        <v>100</v>
      </c>
      <c r="CM121" s="510"/>
      <c r="CN121" s="510"/>
      <c r="CO121" s="510">
        <v>150</v>
      </c>
      <c r="CP121" s="510">
        <f>CR121+CL121</f>
        <v>300</v>
      </c>
      <c r="CQ121" s="510"/>
      <c r="CR121" s="510">
        <v>200</v>
      </c>
      <c r="CS121" s="510"/>
      <c r="CT121" s="510"/>
      <c r="CU121" s="510">
        <f t="shared" ref="CU121:CU122" si="323">CL121+CO121</f>
        <v>250</v>
      </c>
      <c r="CV121" s="510"/>
      <c r="CW121" s="699">
        <f t="shared" ref="CW121:CW122" si="324">CR121+CU121</f>
        <v>450</v>
      </c>
      <c r="CX121" s="510"/>
      <c r="CY121" s="510"/>
      <c r="CZ121" s="510">
        <f t="shared" si="287"/>
        <v>0</v>
      </c>
      <c r="DA121" s="510"/>
      <c r="DB121" s="510">
        <v>0</v>
      </c>
      <c r="DC121" s="510">
        <f>+DG121-DB121</f>
        <v>0</v>
      </c>
      <c r="DD121" s="510"/>
      <c r="DE121" s="510">
        <f t="shared" si="299"/>
        <v>200</v>
      </c>
      <c r="DF121" s="510"/>
      <c r="DG121" s="510">
        <v>0</v>
      </c>
      <c r="DH121" s="510"/>
      <c r="DI121" s="510">
        <f t="shared" si="224"/>
        <v>200</v>
      </c>
      <c r="DJ121" s="510"/>
      <c r="DK121" s="510">
        <v>200</v>
      </c>
      <c r="DL121" s="512"/>
      <c r="DM121" s="512"/>
      <c r="DN121" s="584"/>
      <c r="DO121" s="584"/>
      <c r="DP121" s="713">
        <f t="shared" ref="DP121:DR122" si="325">+DQ121-CZ121</f>
        <v>0</v>
      </c>
      <c r="DQ121" s="713">
        <f t="shared" si="325"/>
        <v>0</v>
      </c>
      <c r="DR121" s="713">
        <f t="shared" si="325"/>
        <v>0</v>
      </c>
      <c r="DS121" s="517"/>
      <c r="DT121" s="512"/>
      <c r="DU121" s="584"/>
      <c r="DV121" s="584"/>
      <c r="DX121" s="713"/>
      <c r="DY121" s="713"/>
      <c r="DZ121" s="497"/>
      <c r="EB121" s="705">
        <v>-100</v>
      </c>
      <c r="EC121" s="713"/>
      <c r="ED121" s="512"/>
      <c r="EE121" s="497"/>
      <c r="EF121" s="510"/>
      <c r="EG121" s="714">
        <v>0</v>
      </c>
      <c r="EH121" s="510"/>
      <c r="EI121" s="510">
        <f t="shared" si="306"/>
        <v>-100</v>
      </c>
      <c r="EJ121" s="510"/>
      <c r="EK121" s="734">
        <v>-100</v>
      </c>
      <c r="EL121" s="510"/>
      <c r="EM121" s="510">
        <f t="shared" si="307"/>
        <v>-300</v>
      </c>
      <c r="EN121" s="510"/>
      <c r="EO121" s="510">
        <v>-400</v>
      </c>
      <c r="EQ121" s="510">
        <f>ES121-EM121</f>
        <v>-200</v>
      </c>
      <c r="ES121" s="734">
        <f>EU121-EK121</f>
        <v>-500</v>
      </c>
      <c r="EU121" s="699">
        <v>-600</v>
      </c>
      <c r="EV121" s="517"/>
      <c r="EW121" s="510"/>
      <c r="EX121" s="510">
        <v>-300</v>
      </c>
      <c r="EY121" s="510"/>
      <c r="EZ121" s="510">
        <f>FB121-EX121</f>
        <v>-200</v>
      </c>
      <c r="FA121" s="510"/>
      <c r="FB121" s="510">
        <v>-500</v>
      </c>
      <c r="FC121" s="510">
        <v>0</v>
      </c>
      <c r="FD121" s="1036"/>
      <c r="FE121" s="510">
        <f>FC121+FB121</f>
        <v>-500</v>
      </c>
      <c r="FF121" s="510"/>
      <c r="FG121" s="477">
        <f>FI121-FC121</f>
        <v>0</v>
      </c>
      <c r="FH121" s="510"/>
      <c r="FI121" s="510">
        <f t="shared" si="308"/>
        <v>0</v>
      </c>
      <c r="FJ121" s="510"/>
      <c r="FK121" s="699">
        <v>-500</v>
      </c>
      <c r="FL121" s="512"/>
      <c r="FM121" s="584">
        <f t="shared" si="278"/>
        <v>-300</v>
      </c>
      <c r="FN121" s="713">
        <v>-600</v>
      </c>
      <c r="FO121" s="713"/>
      <c r="FP121" s="713">
        <f t="shared" si="302"/>
        <v>100</v>
      </c>
      <c r="FQ121" s="517">
        <v>-400</v>
      </c>
      <c r="FR121" s="517"/>
      <c r="FS121" s="510">
        <v>100</v>
      </c>
      <c r="FT121" s="713"/>
      <c r="FU121" s="713"/>
      <c r="FV121" s="510">
        <f>FY121-FS121</f>
        <v>100</v>
      </c>
      <c r="FW121" s="713"/>
      <c r="FX121" s="713"/>
      <c r="FY121" s="510">
        <v>200</v>
      </c>
      <c r="FZ121" s="510">
        <v>100</v>
      </c>
      <c r="GA121" s="510">
        <f>FZ121+FY121</f>
        <v>300</v>
      </c>
      <c r="GB121" s="510">
        <f>GD121-GA121</f>
        <v>100</v>
      </c>
      <c r="GC121" s="510">
        <f>GD121-FY121</f>
        <v>200</v>
      </c>
      <c r="GD121" s="699">
        <v>400</v>
      </c>
      <c r="GE121" s="510"/>
      <c r="GF121" s="510"/>
      <c r="GG121" s="510"/>
      <c r="GH121" s="713"/>
      <c r="GI121" s="713"/>
      <c r="GJ121" s="715"/>
      <c r="GK121" s="713"/>
      <c r="GL121" s="713">
        <v>100</v>
      </c>
      <c r="GM121" s="713"/>
      <c r="GN121" s="713"/>
      <c r="GO121" s="713">
        <f>GP121-GL121</f>
        <v>50</v>
      </c>
      <c r="GP121" s="713">
        <v>150</v>
      </c>
      <c r="GQ121" s="713"/>
      <c r="GR121" s="510">
        <v>100</v>
      </c>
      <c r="GS121" s="510">
        <f>GR121+GP121</f>
        <v>250</v>
      </c>
      <c r="GT121" s="510">
        <f>GU121-GR121</f>
        <v>50</v>
      </c>
      <c r="GU121" s="510">
        <f>GV121-GP121</f>
        <v>150</v>
      </c>
      <c r="GV121" s="699">
        <v>300</v>
      </c>
      <c r="GW121" s="510"/>
      <c r="GX121" s="713"/>
      <c r="GY121" s="713"/>
      <c r="GZ121" s="713"/>
      <c r="HA121" s="715"/>
      <c r="HB121" s="713"/>
      <c r="HC121" s="713"/>
      <c r="HD121" s="713">
        <v>50</v>
      </c>
      <c r="HE121" s="713">
        <v>50</v>
      </c>
      <c r="HF121" s="713">
        <f>HI121-HD121</f>
        <v>50</v>
      </c>
      <c r="HG121" s="713">
        <f>HL121-HE121</f>
        <v>50</v>
      </c>
      <c r="HH121" s="713">
        <f t="shared" si="309"/>
        <v>50</v>
      </c>
      <c r="HI121" s="713">
        <v>100</v>
      </c>
      <c r="HJ121" s="713"/>
      <c r="HK121" s="713"/>
      <c r="HL121" s="713">
        <v>100</v>
      </c>
      <c r="HM121" s="713">
        <v>100</v>
      </c>
      <c r="HN121" s="510">
        <f>HP121-HI121</f>
        <v>100</v>
      </c>
      <c r="HO121" s="510">
        <f>HQ121-HM121</f>
        <v>100</v>
      </c>
      <c r="HP121" s="510">
        <v>200</v>
      </c>
      <c r="HQ121" s="510">
        <v>200</v>
      </c>
      <c r="HR121" s="510">
        <f>HT121-HN121</f>
        <v>100</v>
      </c>
      <c r="HS121" s="510"/>
      <c r="HT121" s="510">
        <f>HV121-HI121</f>
        <v>200</v>
      </c>
      <c r="HU121" s="510"/>
      <c r="HV121" s="510">
        <v>300</v>
      </c>
      <c r="HW121" s="713"/>
      <c r="HX121" s="713"/>
      <c r="HY121" s="713"/>
      <c r="HZ121" s="510"/>
      <c r="IA121" s="713"/>
      <c r="IB121" s="713"/>
      <c r="IC121" s="715"/>
      <c r="ID121" s="713"/>
      <c r="IE121" s="784">
        <v>50</v>
      </c>
      <c r="IF121" s="713">
        <f>IG121-IE121</f>
        <v>50</v>
      </c>
      <c r="IG121" s="1134">
        <v>100</v>
      </c>
      <c r="IH121" s="713">
        <v>100</v>
      </c>
      <c r="II121" s="713"/>
      <c r="IJ121" s="1135">
        <f>IG121+IH121</f>
        <v>200</v>
      </c>
      <c r="IK121" s="713">
        <f>IP121-IL121</f>
        <v>0</v>
      </c>
      <c r="IL121" s="713"/>
      <c r="IM121" s="713">
        <f>IO121-IH121</f>
        <v>0</v>
      </c>
      <c r="IN121" s="713"/>
      <c r="IO121" s="713">
        <f>IR121-IG121</f>
        <v>100</v>
      </c>
      <c r="IP121" s="517"/>
      <c r="IQ121" s="713"/>
      <c r="IR121" s="517">
        <v>200</v>
      </c>
      <c r="IS121" s="1289"/>
      <c r="IT121" s="713"/>
      <c r="IU121" s="713"/>
      <c r="IV121" s="713">
        <f t="shared" si="310"/>
        <v>50</v>
      </c>
      <c r="IW121" s="713"/>
      <c r="IX121" s="713">
        <v>50</v>
      </c>
      <c r="IY121" s="713"/>
      <c r="IZ121" s="713">
        <v>-50</v>
      </c>
      <c r="JA121" s="1624">
        <f t="shared" si="320"/>
        <v>0</v>
      </c>
      <c r="JB121" s="713">
        <f t="shared" si="321"/>
        <v>0</v>
      </c>
      <c r="JC121" s="713">
        <f t="shared" si="322"/>
        <v>-50</v>
      </c>
      <c r="JD121" s="1624">
        <v>0</v>
      </c>
      <c r="JE121" s="713"/>
      <c r="JF121" s="713"/>
      <c r="JG121" s="713"/>
      <c r="JH121" s="517"/>
      <c r="JI121" s="1289"/>
      <c r="JJ121" s="784">
        <v>-50</v>
      </c>
      <c r="JK121" s="713">
        <v>-50</v>
      </c>
      <c r="JL121" s="585">
        <v>-100</v>
      </c>
      <c r="JM121" s="790">
        <f t="shared" ref="JM121:JM123" si="326">+JP121-JL121</f>
        <v>0</v>
      </c>
      <c r="JN121" s="790">
        <f t="shared" ref="JN121:JN122" si="327">JS121-JP121</f>
        <v>100</v>
      </c>
      <c r="JO121" s="790"/>
      <c r="JP121" s="790">
        <v>-100</v>
      </c>
      <c r="JQ121" s="790"/>
      <c r="JR121" s="790"/>
      <c r="JS121" s="790"/>
      <c r="JT121" s="713">
        <v>-50</v>
      </c>
      <c r="JU121" s="713">
        <v>-50</v>
      </c>
      <c r="JV121" s="713">
        <f>+JL121+JK121</f>
        <v>-150</v>
      </c>
      <c r="JW121" s="713">
        <f>+JN121+JU121</f>
        <v>50</v>
      </c>
      <c r="JX121" s="713">
        <f>+JP121+JW121</f>
        <v>-50</v>
      </c>
      <c r="JY121" s="713">
        <f t="shared" ref="JY121:JY123" si="328">+JP121+JT121</f>
        <v>-150</v>
      </c>
      <c r="JZ121" s="603"/>
      <c r="KA121" s="746"/>
      <c r="KB121" s="603"/>
      <c r="KC121" s="603">
        <v>-100</v>
      </c>
      <c r="KD121" s="603">
        <f t="shared" ref="KD121:KD126" si="329">+KH121-KC121</f>
        <v>-100</v>
      </c>
      <c r="KE121" s="603">
        <f>+KG121-JP121</f>
        <v>100</v>
      </c>
      <c r="KF121" s="603"/>
      <c r="KG121" s="603"/>
      <c r="KH121" s="723">
        <v>-200</v>
      </c>
      <c r="KI121" s="746"/>
      <c r="KJ121" s="603"/>
      <c r="KK121" s="713"/>
      <c r="KL121" s="713">
        <f t="shared" si="315"/>
        <v>-150</v>
      </c>
      <c r="KM121" s="603">
        <v>-100</v>
      </c>
      <c r="KN121" s="603"/>
      <c r="KO121" s="603"/>
      <c r="KP121" s="713">
        <v>-100</v>
      </c>
      <c r="KQ121" s="517">
        <v>-100</v>
      </c>
      <c r="KR121" s="713">
        <v>50</v>
      </c>
      <c r="KS121" s="517">
        <v>150</v>
      </c>
      <c r="KT121" s="713">
        <f>KU121-IE121</f>
        <v>0</v>
      </c>
      <c r="KU121" s="790">
        <v>50</v>
      </c>
      <c r="KV121" s="713">
        <f t="shared" si="316"/>
        <v>50</v>
      </c>
      <c r="KW121" s="517">
        <v>100</v>
      </c>
      <c r="KX121" s="713">
        <f t="shared" si="317"/>
        <v>50</v>
      </c>
      <c r="KY121" s="713">
        <f t="shared" si="318"/>
        <v>150</v>
      </c>
      <c r="KZ121" s="517">
        <v>250</v>
      </c>
      <c r="LA121" s="713">
        <v>100</v>
      </c>
      <c r="LB121" s="713">
        <f t="shared" si="319"/>
        <v>100</v>
      </c>
      <c r="LC121" s="517">
        <v>200</v>
      </c>
      <c r="LD121" s="517"/>
      <c r="LE121" s="713">
        <f>LF121-GR121</f>
        <v>50</v>
      </c>
      <c r="LF121" s="713">
        <f>LG121-GP121</f>
        <v>150</v>
      </c>
      <c r="LG121" s="517">
        <v>300</v>
      </c>
    </row>
    <row r="122" spans="1:319" s="705" customFormat="1">
      <c r="A122" s="510"/>
      <c r="B122" s="1064" t="s">
        <v>1080</v>
      </c>
      <c r="C122" s="1065" t="s">
        <v>1227</v>
      </c>
      <c r="D122" s="497"/>
      <c r="E122" s="510"/>
      <c r="F122" s="510"/>
      <c r="G122" s="699"/>
      <c r="H122" s="510"/>
      <c r="I122" s="510"/>
      <c r="J122" s="699"/>
      <c r="K122" s="584"/>
      <c r="L122" s="584"/>
      <c r="M122" s="584"/>
      <c r="N122" s="584"/>
      <c r="O122" s="584"/>
      <c r="P122" s="584"/>
      <c r="Q122" s="584"/>
      <c r="R122" s="584"/>
      <c r="S122" s="700"/>
      <c r="T122" s="584"/>
      <c r="U122" s="584"/>
      <c r="V122" s="584"/>
      <c r="W122" s="584"/>
      <c r="X122" s="584"/>
      <c r="Y122" s="584"/>
      <c r="Z122" s="584"/>
      <c r="AA122" s="584"/>
      <c r="AB122" s="700"/>
      <c r="AC122" s="584"/>
      <c r="AD122" s="584"/>
      <c r="AE122" s="584"/>
      <c r="AF122" s="584"/>
      <c r="AG122" s="584"/>
      <c r="AH122" s="584"/>
      <c r="AI122" s="584"/>
      <c r="AJ122" s="584"/>
      <c r="AK122" s="497"/>
      <c r="AL122" s="584"/>
      <c r="AM122" s="584"/>
      <c r="AN122" s="584"/>
      <c r="AO122" s="584"/>
      <c r="AP122" s="584">
        <v>-100</v>
      </c>
      <c r="AQ122" s="584">
        <v>0</v>
      </c>
      <c r="AR122" s="584">
        <f t="shared" si="292"/>
        <v>-200</v>
      </c>
      <c r="AS122" s="584">
        <v>-200</v>
      </c>
      <c r="AT122" s="497"/>
      <c r="AU122" s="584"/>
      <c r="AV122" s="584"/>
      <c r="AW122" s="584"/>
      <c r="AX122" s="584"/>
      <c r="AY122" s="584">
        <f t="shared" si="293"/>
        <v>0</v>
      </c>
      <c r="AZ122" s="584"/>
      <c r="BA122" s="584"/>
      <c r="BB122" s="625"/>
      <c r="BC122" s="625">
        <f t="shared" si="281"/>
        <v>0</v>
      </c>
      <c r="BD122" s="584"/>
      <c r="BE122" s="584">
        <f>BE119-BE120-BE121</f>
        <v>0</v>
      </c>
      <c r="BF122" s="497"/>
      <c r="BG122" s="584"/>
      <c r="BH122" s="584">
        <f t="shared" si="294"/>
        <v>0</v>
      </c>
      <c r="BI122" s="584"/>
      <c r="BJ122" s="497"/>
      <c r="BK122" s="510">
        <v>-200</v>
      </c>
      <c r="BL122" s="510">
        <v>-200</v>
      </c>
      <c r="BM122" s="510">
        <v>-400</v>
      </c>
      <c r="BN122" s="510"/>
      <c r="BO122" s="497"/>
      <c r="BP122" s="584"/>
      <c r="BQ122" s="584"/>
      <c r="BR122" s="584"/>
      <c r="BS122" s="584"/>
      <c r="BT122" s="584">
        <v>0</v>
      </c>
      <c r="BU122" s="584"/>
      <c r="BV122" s="584"/>
      <c r="BW122" s="584"/>
      <c r="BX122" s="584">
        <f>BY122+BT122</f>
        <v>-100</v>
      </c>
      <c r="BY122" s="584">
        <v>-100</v>
      </c>
      <c r="BZ122" s="584"/>
      <c r="CA122" s="584"/>
      <c r="CB122" s="584"/>
      <c r="CC122" s="584"/>
      <c r="CD122" s="584"/>
      <c r="CE122" s="584">
        <v>-300</v>
      </c>
      <c r="CF122" s="497"/>
      <c r="CG122" s="714"/>
      <c r="CH122" s="510"/>
      <c r="CI122" s="510"/>
      <c r="CJ122" s="510">
        <f t="shared" si="296"/>
        <v>-100</v>
      </c>
      <c r="CK122" s="510"/>
      <c r="CL122" s="710">
        <v>0</v>
      </c>
      <c r="CM122" s="510"/>
      <c r="CN122" s="510"/>
      <c r="CO122" s="510">
        <v>0</v>
      </c>
      <c r="CP122" s="510">
        <f>CR122+CL122</f>
        <v>-100</v>
      </c>
      <c r="CQ122" s="510"/>
      <c r="CR122" s="510">
        <v>-100</v>
      </c>
      <c r="CS122" s="510"/>
      <c r="CT122" s="510"/>
      <c r="CU122" s="510">
        <f t="shared" si="323"/>
        <v>0</v>
      </c>
      <c r="CV122" s="510"/>
      <c r="CW122" s="699">
        <f t="shared" si="324"/>
        <v>-100</v>
      </c>
      <c r="CX122" s="510"/>
      <c r="CY122" s="510"/>
      <c r="CZ122" s="510">
        <f t="shared" si="287"/>
        <v>0</v>
      </c>
      <c r="DA122" s="510"/>
      <c r="DB122" s="510">
        <v>0</v>
      </c>
      <c r="DC122" s="510">
        <f>+DG122-DB122</f>
        <v>100</v>
      </c>
      <c r="DD122" s="510"/>
      <c r="DE122" s="510">
        <f t="shared" si="299"/>
        <v>300</v>
      </c>
      <c r="DF122" s="510"/>
      <c r="DG122" s="510">
        <v>100</v>
      </c>
      <c r="DH122" s="510"/>
      <c r="DI122" s="510">
        <f t="shared" si="224"/>
        <v>400</v>
      </c>
      <c r="DJ122" s="510"/>
      <c r="DK122" s="510">
        <v>400</v>
      </c>
      <c r="DL122" s="512"/>
      <c r="DM122" s="512"/>
      <c r="DN122" s="584"/>
      <c r="DO122" s="584"/>
      <c r="DP122" s="713">
        <f t="shared" si="325"/>
        <v>0</v>
      </c>
      <c r="DQ122" s="713">
        <f t="shared" si="325"/>
        <v>0</v>
      </c>
      <c r="DR122" s="713">
        <f t="shared" si="325"/>
        <v>0</v>
      </c>
      <c r="DS122" s="517"/>
      <c r="DT122" s="512"/>
      <c r="DU122" s="584"/>
      <c r="DV122" s="584"/>
      <c r="DX122" s="713"/>
      <c r="DY122" s="713"/>
      <c r="DZ122" s="497"/>
      <c r="EB122" s="705">
        <v>100</v>
      </c>
      <c r="EC122" s="713"/>
      <c r="ED122" s="512"/>
      <c r="EE122" s="497"/>
      <c r="EF122" s="510"/>
      <c r="EG122" s="714">
        <v>100</v>
      </c>
      <c r="EH122" s="510"/>
      <c r="EI122" s="510">
        <f t="shared" si="306"/>
        <v>100</v>
      </c>
      <c r="EJ122" s="510"/>
      <c r="EK122" s="510">
        <v>200</v>
      </c>
      <c r="EL122" s="510"/>
      <c r="EM122" s="510">
        <f t="shared" si="307"/>
        <v>0</v>
      </c>
      <c r="EN122" s="510"/>
      <c r="EO122" s="510">
        <v>200</v>
      </c>
      <c r="EQ122" s="510">
        <f>ES122-EM122</f>
        <v>-200</v>
      </c>
      <c r="ES122" s="510">
        <f>EU122-EK122</f>
        <v>-200</v>
      </c>
      <c r="EU122" s="699">
        <v>0</v>
      </c>
      <c r="EV122" s="517"/>
      <c r="EW122" s="510"/>
      <c r="EX122" s="510"/>
      <c r="EY122" s="510"/>
      <c r="EZ122" s="510"/>
      <c r="FA122" s="510"/>
      <c r="FB122" s="510"/>
      <c r="FC122" s="510">
        <v>0</v>
      </c>
      <c r="FD122" s="510"/>
      <c r="FE122" s="510">
        <v>0</v>
      </c>
      <c r="FF122" s="510"/>
      <c r="FG122" s="477">
        <f>FI122-FC122</f>
        <v>200</v>
      </c>
      <c r="FH122" s="510"/>
      <c r="FI122" s="510">
        <f t="shared" si="308"/>
        <v>200</v>
      </c>
      <c r="FJ122" s="510"/>
      <c r="FK122" s="699">
        <v>200</v>
      </c>
      <c r="FL122" s="512"/>
      <c r="FM122" s="584">
        <f t="shared" si="278"/>
        <v>0</v>
      </c>
      <c r="FN122" s="713">
        <v>0</v>
      </c>
      <c r="FO122" s="713"/>
      <c r="FP122" s="713">
        <f t="shared" si="302"/>
        <v>0</v>
      </c>
      <c r="FQ122" s="517"/>
      <c r="FR122" s="517"/>
      <c r="FS122" s="510">
        <v>0</v>
      </c>
      <c r="FT122" s="713"/>
      <c r="FU122" s="713"/>
      <c r="FV122" s="510"/>
      <c r="FW122" s="713"/>
      <c r="FX122" s="713"/>
      <c r="FY122" s="510"/>
      <c r="FZ122" s="510"/>
      <c r="GA122" s="510"/>
      <c r="GB122" s="510"/>
      <c r="GC122" s="510"/>
      <c r="GD122" s="699"/>
      <c r="GE122" s="510"/>
      <c r="GF122" s="510"/>
      <c r="GG122" s="510"/>
      <c r="GH122" s="713"/>
      <c r="GI122" s="713"/>
      <c r="GJ122" s="715"/>
      <c r="GK122" s="713"/>
      <c r="GL122" s="713">
        <v>0</v>
      </c>
      <c r="GM122" s="713"/>
      <c r="GN122" s="713"/>
      <c r="GO122" s="713">
        <f>GP122-GL122</f>
        <v>-50</v>
      </c>
      <c r="GP122" s="713">
        <v>-50</v>
      </c>
      <c r="GQ122" s="713"/>
      <c r="GR122" s="510"/>
      <c r="GS122" s="510">
        <f>GR122+GP122</f>
        <v>-50</v>
      </c>
      <c r="GT122" s="477">
        <f>GU122-GR122</f>
        <v>50</v>
      </c>
      <c r="GU122" s="477">
        <f>GV122-GP122</f>
        <v>50</v>
      </c>
      <c r="GV122" s="699"/>
      <c r="GW122" s="510"/>
      <c r="GX122" s="713"/>
      <c r="GY122" s="713"/>
      <c r="GZ122" s="713"/>
      <c r="HA122" s="715"/>
      <c r="HB122" s="713"/>
      <c r="HC122" s="713"/>
      <c r="HD122" s="713"/>
      <c r="HE122" s="713"/>
      <c r="HF122" s="713">
        <f>HI122-HD122</f>
        <v>100</v>
      </c>
      <c r="HG122" s="713">
        <f>HL122-HE122</f>
        <v>100</v>
      </c>
      <c r="HH122" s="713"/>
      <c r="HI122" s="713">
        <v>100</v>
      </c>
      <c r="HJ122" s="713"/>
      <c r="HK122" s="713"/>
      <c r="HL122" s="713">
        <v>100</v>
      </c>
      <c r="HM122" s="713">
        <v>100</v>
      </c>
      <c r="HN122" s="510">
        <f>HP122-HI122</f>
        <v>100</v>
      </c>
      <c r="HO122" s="510">
        <f>HQ122-HM122</f>
        <v>100</v>
      </c>
      <c r="HP122" s="510">
        <v>200</v>
      </c>
      <c r="HQ122" s="510">
        <v>200</v>
      </c>
      <c r="HR122" s="477">
        <f>HT122-HN122</f>
        <v>100</v>
      </c>
      <c r="HS122" s="477"/>
      <c r="HT122" s="477">
        <f>HV122-HI122</f>
        <v>200</v>
      </c>
      <c r="HU122" s="477"/>
      <c r="HV122" s="510">
        <v>300</v>
      </c>
      <c r="HW122" s="713"/>
      <c r="HX122" s="713"/>
      <c r="HY122" s="713"/>
      <c r="HZ122" s="510"/>
      <c r="IA122" s="713"/>
      <c r="IB122" s="713"/>
      <c r="IC122" s="715"/>
      <c r="ID122" s="713"/>
      <c r="IE122" s="784">
        <v>50</v>
      </c>
      <c r="IF122" s="713">
        <f>IG122-IE122</f>
        <v>50</v>
      </c>
      <c r="IG122" s="1134">
        <v>100</v>
      </c>
      <c r="IH122" s="713">
        <v>-100</v>
      </c>
      <c r="II122" s="713"/>
      <c r="IJ122" s="1135">
        <f>IG122+IH122</f>
        <v>0</v>
      </c>
      <c r="IK122" s="713">
        <f>IP122-IL122</f>
        <v>0</v>
      </c>
      <c r="IL122" s="713"/>
      <c r="IM122" s="713">
        <f>IO122-IH122</f>
        <v>-200</v>
      </c>
      <c r="IN122" s="713"/>
      <c r="IO122" s="713">
        <f>IR122-IG122</f>
        <v>-300</v>
      </c>
      <c r="IP122" s="517"/>
      <c r="IQ122" s="713"/>
      <c r="IR122" s="517">
        <v>-200</v>
      </c>
      <c r="IS122" s="1289"/>
      <c r="IT122" s="713"/>
      <c r="IU122" s="603">
        <v>-200</v>
      </c>
      <c r="IV122" s="713">
        <f t="shared" si="310"/>
        <v>-300</v>
      </c>
      <c r="IW122" s="713"/>
      <c r="IX122" s="713">
        <v>-500</v>
      </c>
      <c r="IY122" s="713"/>
      <c r="IZ122" s="713">
        <v>-500</v>
      </c>
      <c r="JA122" s="1624">
        <f t="shared" si="320"/>
        <v>-1000</v>
      </c>
      <c r="JB122" s="713">
        <f t="shared" si="321"/>
        <v>-200</v>
      </c>
      <c r="JC122" s="713">
        <f t="shared" si="322"/>
        <v>-700</v>
      </c>
      <c r="JD122" s="1624">
        <v>-1200</v>
      </c>
      <c r="JE122" s="713"/>
      <c r="JF122" s="713"/>
      <c r="JG122" s="713"/>
      <c r="JH122" s="517"/>
      <c r="JI122" s="1289"/>
      <c r="JJ122" s="784">
        <v>-150</v>
      </c>
      <c r="JK122" s="713">
        <v>-50</v>
      </c>
      <c r="JL122" s="585">
        <v>-100</v>
      </c>
      <c r="JM122" s="790">
        <f t="shared" si="326"/>
        <v>0</v>
      </c>
      <c r="JN122" s="790">
        <f t="shared" si="327"/>
        <v>100</v>
      </c>
      <c r="JO122" s="790"/>
      <c r="JP122" s="790">
        <v>-100</v>
      </c>
      <c r="JQ122" s="790"/>
      <c r="JR122" s="790"/>
      <c r="JS122" s="790"/>
      <c r="JT122" s="713">
        <v>-50</v>
      </c>
      <c r="JU122" s="713">
        <f>+JX122-SUM(JL122:JN122)</f>
        <v>-150</v>
      </c>
      <c r="JV122" s="713">
        <f>+JL122+JK122</f>
        <v>-150</v>
      </c>
      <c r="JW122" s="713">
        <f>+JN122+JU122</f>
        <v>-50</v>
      </c>
      <c r="JX122" s="713">
        <f>+JX119-JX121</f>
        <v>-150</v>
      </c>
      <c r="JY122" s="713">
        <f t="shared" si="328"/>
        <v>-150</v>
      </c>
      <c r="JZ122" s="603"/>
      <c r="KA122" s="746"/>
      <c r="KB122" s="603"/>
      <c r="KC122" s="603">
        <v>-200</v>
      </c>
      <c r="KD122" s="603">
        <f t="shared" si="329"/>
        <v>0</v>
      </c>
      <c r="KE122" s="603">
        <f>+KG122-JP122</f>
        <v>100</v>
      </c>
      <c r="KF122" s="603"/>
      <c r="KG122" s="603"/>
      <c r="KH122" s="723">
        <v>-200</v>
      </c>
      <c r="KI122" s="746"/>
      <c r="KJ122" s="603"/>
      <c r="KK122" s="713"/>
      <c r="KL122" s="713">
        <f t="shared" si="315"/>
        <v>-700</v>
      </c>
      <c r="KM122" s="603">
        <v>-1200</v>
      </c>
      <c r="KN122" s="603"/>
      <c r="KO122" s="603">
        <v>-200</v>
      </c>
      <c r="KP122" s="713">
        <v>-200</v>
      </c>
      <c r="KQ122" s="517">
        <v>-400</v>
      </c>
      <c r="KR122" s="713">
        <v>-100</v>
      </c>
      <c r="KS122" s="517">
        <v>0</v>
      </c>
      <c r="KT122" s="713">
        <f>KU122-IE122</f>
        <v>50</v>
      </c>
      <c r="KU122" s="790">
        <v>100</v>
      </c>
      <c r="KV122" s="713">
        <f t="shared" si="316"/>
        <v>-100</v>
      </c>
      <c r="KW122" s="517">
        <v>0</v>
      </c>
      <c r="KX122" s="713">
        <f t="shared" si="317"/>
        <v>-50</v>
      </c>
      <c r="KY122" s="713">
        <f t="shared" si="318"/>
        <v>50</v>
      </c>
      <c r="KZ122" s="517">
        <v>150</v>
      </c>
      <c r="LA122" s="713"/>
      <c r="LB122" s="713">
        <f t="shared" si="319"/>
        <v>0</v>
      </c>
      <c r="LC122" s="517"/>
      <c r="LD122" s="517"/>
      <c r="LE122" s="713">
        <f>LF122-GR122</f>
        <v>-50</v>
      </c>
      <c r="LF122" s="713">
        <f>LG122-GP122</f>
        <v>-50</v>
      </c>
      <c r="LG122" s="517">
        <v>-100</v>
      </c>
    </row>
    <row r="123" spans="1:319" s="1044" customFormat="1" ht="12">
      <c r="A123" s="1036"/>
      <c r="B123" s="1037" t="s">
        <v>983</v>
      </c>
      <c r="C123" s="1038" t="s">
        <v>940</v>
      </c>
      <c r="D123" s="1039"/>
      <c r="E123" s="1036"/>
      <c r="F123" s="1036"/>
      <c r="G123" s="1040"/>
      <c r="H123" s="1036"/>
      <c r="I123" s="1036"/>
      <c r="J123" s="1040"/>
      <c r="K123" s="1041"/>
      <c r="L123" s="1041"/>
      <c r="M123" s="1041"/>
      <c r="N123" s="1041"/>
      <c r="O123" s="1041"/>
      <c r="P123" s="1041"/>
      <c r="Q123" s="1041"/>
      <c r="R123" s="1041"/>
      <c r="S123" s="1042"/>
      <c r="T123" s="1041"/>
      <c r="U123" s="1041"/>
      <c r="V123" s="1041"/>
      <c r="W123" s="1041"/>
      <c r="X123" s="1041"/>
      <c r="Y123" s="1041"/>
      <c r="Z123" s="1041"/>
      <c r="AA123" s="1041"/>
      <c r="AB123" s="1042"/>
      <c r="AC123" s="1041"/>
      <c r="AD123" s="1041"/>
      <c r="AE123" s="1041"/>
      <c r="AF123" s="1041"/>
      <c r="AG123" s="1041"/>
      <c r="AH123" s="1041">
        <v>-900</v>
      </c>
      <c r="AI123" s="1041">
        <f>+AJ123-AH123</f>
        <v>400</v>
      </c>
      <c r="AJ123" s="1041">
        <v>-500</v>
      </c>
      <c r="AK123" s="1039"/>
      <c r="AL123" s="1041">
        <v>400</v>
      </c>
      <c r="AM123" s="1041">
        <f>+AQ123-AL123</f>
        <v>200</v>
      </c>
      <c r="AN123" s="1041">
        <f>+AP123-AQ123</f>
        <v>-900</v>
      </c>
      <c r="AO123" s="1041">
        <f>+AR123-AN123</f>
        <v>-400</v>
      </c>
      <c r="AP123" s="1041">
        <v>-300</v>
      </c>
      <c r="AQ123" s="1041">
        <v>600</v>
      </c>
      <c r="AR123" s="1041">
        <f t="shared" si="292"/>
        <v>-1300</v>
      </c>
      <c r="AS123" s="1041">
        <v>-700</v>
      </c>
      <c r="AT123" s="1039"/>
      <c r="AU123" s="1041">
        <v>-900</v>
      </c>
      <c r="AV123" s="1041">
        <f>+BB123-AU123</f>
        <v>-400</v>
      </c>
      <c r="AW123" s="1041">
        <f>+BA123-BB123</f>
        <v>100</v>
      </c>
      <c r="AX123" s="1041">
        <v>1300</v>
      </c>
      <c r="AY123" s="1041">
        <f t="shared" si="293"/>
        <v>-400</v>
      </c>
      <c r="AZ123" s="1041"/>
      <c r="BA123" s="1041">
        <v>-1200</v>
      </c>
      <c r="BB123" s="1043">
        <v>-1300</v>
      </c>
      <c r="BC123" s="1043">
        <f t="shared" si="281"/>
        <v>-300</v>
      </c>
      <c r="BD123" s="1041"/>
      <c r="BE123" s="1041">
        <v>-1600</v>
      </c>
      <c r="BF123" s="1039"/>
      <c r="BG123" s="1041">
        <f>BH123-AW123</f>
        <v>-400</v>
      </c>
      <c r="BH123" s="1041">
        <f t="shared" si="294"/>
        <v>-300</v>
      </c>
      <c r="BI123" s="1041">
        <v>-1600</v>
      </c>
      <c r="BJ123" s="1039"/>
      <c r="BK123" s="1036">
        <v>-1300</v>
      </c>
      <c r="BL123" s="1036">
        <v>-400</v>
      </c>
      <c r="BM123" s="1036">
        <v>-1700</v>
      </c>
      <c r="BN123" s="1036"/>
      <c r="BO123" s="1039"/>
      <c r="BP123" s="1041">
        <v>-500</v>
      </c>
      <c r="BQ123" s="1041"/>
      <c r="BR123" s="1041">
        <f t="shared" ref="BR123:BR125" si="330">+BY123-BP123</f>
        <v>-400</v>
      </c>
      <c r="BS123" s="1041">
        <v>-300</v>
      </c>
      <c r="BT123" s="1041">
        <v>-600</v>
      </c>
      <c r="BU123" s="1041"/>
      <c r="BV123" s="1041">
        <f>CC123-BT123</f>
        <v>100</v>
      </c>
      <c r="BW123" s="1041"/>
      <c r="BX123" s="1041">
        <v>-1500</v>
      </c>
      <c r="BY123" s="1041">
        <v>-900</v>
      </c>
      <c r="BZ123" s="1041"/>
      <c r="CA123" s="1041"/>
      <c r="CB123" s="1041"/>
      <c r="CC123" s="1041">
        <f t="shared" ref="CC123" si="331">CE123-BY123</f>
        <v>-500</v>
      </c>
      <c r="CD123" s="1041"/>
      <c r="CE123" s="1041">
        <v>-1400</v>
      </c>
      <c r="CF123" s="1039"/>
      <c r="CG123" s="1087">
        <v>-100</v>
      </c>
      <c r="CH123" s="1036">
        <v>-100</v>
      </c>
      <c r="CI123" s="1036">
        <v>-100</v>
      </c>
      <c r="CJ123" s="1036">
        <f t="shared" si="296"/>
        <v>300</v>
      </c>
      <c r="CK123" s="1036">
        <v>-100</v>
      </c>
      <c r="CL123" s="1097">
        <f t="shared" si="297"/>
        <v>-300</v>
      </c>
      <c r="CM123" s="1036">
        <v>-400</v>
      </c>
      <c r="CN123" s="1036"/>
      <c r="CO123" s="1036">
        <f>CW123-CP123</f>
        <v>700</v>
      </c>
      <c r="CP123" s="1036">
        <v>-100</v>
      </c>
      <c r="CQ123" s="1036"/>
      <c r="CR123" s="1036">
        <v>200</v>
      </c>
      <c r="CS123" s="1036"/>
      <c r="CT123" s="1036"/>
      <c r="CU123" s="1036">
        <f>CW123-CR123</f>
        <v>400</v>
      </c>
      <c r="CV123" s="1036"/>
      <c r="CW123" s="1040">
        <v>600</v>
      </c>
      <c r="CX123" s="1036"/>
      <c r="CY123" s="1036">
        <v>-200</v>
      </c>
      <c r="CZ123" s="1036">
        <f t="shared" si="287"/>
        <v>100</v>
      </c>
      <c r="DA123" s="1036" t="e">
        <f>+CY123+#REF!</f>
        <v>#REF!</v>
      </c>
      <c r="DB123" s="1036">
        <v>-100</v>
      </c>
      <c r="DC123" s="1036">
        <f>+DG123-DB123</f>
        <v>-800</v>
      </c>
      <c r="DD123" s="1036">
        <f>DD124+DD125+DD126</f>
        <v>-600</v>
      </c>
      <c r="DE123" s="1036">
        <f t="shared" si="299"/>
        <v>-800</v>
      </c>
      <c r="DF123" s="1036"/>
      <c r="DG123" s="1036">
        <v>-900</v>
      </c>
      <c r="DH123" s="1036"/>
      <c r="DI123" s="1036">
        <f t="shared" si="224"/>
        <v>-1600</v>
      </c>
      <c r="DJ123" s="1036"/>
      <c r="DK123" s="1036">
        <v>-1700</v>
      </c>
      <c r="DL123" s="1098"/>
      <c r="DM123" s="1098"/>
      <c r="DN123" s="1041"/>
      <c r="DO123" s="1041"/>
      <c r="DP123" s="1099">
        <v>-700</v>
      </c>
      <c r="DQ123" s="1099">
        <f t="shared" ref="DQ123" si="332">+DR123-DC123</f>
        <v>-1600</v>
      </c>
      <c r="DR123" s="1099">
        <f>+DS123-DB123</f>
        <v>-2400</v>
      </c>
      <c r="DS123" s="1100">
        <v>-2500</v>
      </c>
      <c r="DT123" s="1098"/>
      <c r="DU123" s="1041">
        <f>DU124+DU125+DU126</f>
        <v>-600</v>
      </c>
      <c r="DV123" s="1053">
        <f>DW123-CY123</f>
        <v>-1100</v>
      </c>
      <c r="DW123" s="1097">
        <v>-1300</v>
      </c>
      <c r="DX123" s="1099">
        <f>DY123-DB123</f>
        <v>-2500</v>
      </c>
      <c r="DY123" s="1099">
        <v>-2600</v>
      </c>
      <c r="DZ123" s="1039"/>
      <c r="EA123" s="1044">
        <v>-400</v>
      </c>
      <c r="EB123" s="1097">
        <f>ED123-CP123</f>
        <v>100</v>
      </c>
      <c r="EC123" s="1099">
        <f>ED123-CR123</f>
        <v>-200</v>
      </c>
      <c r="ED123" s="1098">
        <v>0</v>
      </c>
      <c r="EE123" s="1039"/>
      <c r="EF123" s="1036"/>
      <c r="EG123" s="1087">
        <v>-300</v>
      </c>
      <c r="EH123" s="1036"/>
      <c r="EI123" s="1036">
        <f t="shared" si="306"/>
        <v>-200</v>
      </c>
      <c r="EJ123" s="1036"/>
      <c r="EK123" s="1036">
        <v>-500</v>
      </c>
      <c r="EL123" s="1036"/>
      <c r="EM123" s="1036">
        <f t="shared" si="307"/>
        <v>0</v>
      </c>
      <c r="EN123" s="1036"/>
      <c r="EO123" s="1036">
        <v>-500</v>
      </c>
      <c r="EQ123" s="1036">
        <f>+EU123-EO123</f>
        <v>-400</v>
      </c>
      <c r="ER123" s="1044">
        <f>+ER124+ER125+ER126</f>
        <v>-600</v>
      </c>
      <c r="ES123" s="1036">
        <f>+EU123-EK123</f>
        <v>-400</v>
      </c>
      <c r="EU123" s="1040">
        <v>-900</v>
      </c>
      <c r="EV123" s="517"/>
      <c r="EW123" s="1036">
        <v>-200</v>
      </c>
      <c r="EX123" s="1036">
        <v>-1100</v>
      </c>
      <c r="EY123" s="1036">
        <v>-400</v>
      </c>
      <c r="EZ123" s="1036">
        <f>+FB123-EX123</f>
        <v>-200</v>
      </c>
      <c r="FA123" s="1036">
        <v>-1500</v>
      </c>
      <c r="FB123" s="1036">
        <v>-1300</v>
      </c>
      <c r="FC123" s="1036">
        <f>+FE123-FB123</f>
        <v>-400</v>
      </c>
      <c r="FD123" s="510">
        <v>-600</v>
      </c>
      <c r="FE123" s="1036">
        <v>-1700</v>
      </c>
      <c r="FF123" s="1036">
        <v>-600</v>
      </c>
      <c r="FG123" s="1036">
        <f>FI123-FC123</f>
        <v>-500</v>
      </c>
      <c r="FH123" s="1036">
        <f>+FL123-FE123</f>
        <v>-500</v>
      </c>
      <c r="FI123" s="1036">
        <f t="shared" si="308"/>
        <v>-900</v>
      </c>
      <c r="FJ123" s="1036">
        <f>+FL123-FB123</f>
        <v>-900</v>
      </c>
      <c r="FK123" s="1040">
        <v>-2200</v>
      </c>
      <c r="FL123" s="1098">
        <f>+Driver!AD219</f>
        <v>-2200</v>
      </c>
      <c r="FM123" s="1041">
        <f t="shared" si="278"/>
        <v>300</v>
      </c>
      <c r="FN123" s="1099">
        <v>-800</v>
      </c>
      <c r="FO123" s="1099">
        <f>+FQ123-FE123</f>
        <v>0</v>
      </c>
      <c r="FP123" s="1099">
        <f t="shared" si="302"/>
        <v>-400</v>
      </c>
      <c r="FQ123" s="1100">
        <v>-1700</v>
      </c>
      <c r="FR123" s="1100"/>
      <c r="FS123" s="1036">
        <v>200</v>
      </c>
      <c r="FT123" s="1099"/>
      <c r="FU123" s="1099"/>
      <c r="FV123" s="1036">
        <f>+FY123-FS123</f>
        <v>0</v>
      </c>
      <c r="FW123" s="1099"/>
      <c r="FX123" s="1099"/>
      <c r="FY123" s="1036">
        <v>200</v>
      </c>
      <c r="FZ123" s="1036">
        <f>+GA123-FY123</f>
        <v>-300</v>
      </c>
      <c r="GA123" s="1036">
        <v>-100</v>
      </c>
      <c r="GB123" s="1036">
        <f>+GD123-GA123</f>
        <v>-100</v>
      </c>
      <c r="GC123" s="1036">
        <f>+GD123-FY123</f>
        <v>-400</v>
      </c>
      <c r="GD123" s="1040">
        <v>-200</v>
      </c>
      <c r="GE123" s="1036"/>
      <c r="GF123" s="1036"/>
      <c r="GG123" s="1036"/>
      <c r="GH123" s="1099"/>
      <c r="GI123" s="1099"/>
      <c r="GJ123" s="1105"/>
      <c r="GK123" s="1099"/>
      <c r="GL123" s="1099">
        <v>-400</v>
      </c>
      <c r="GM123" s="1099"/>
      <c r="GN123" s="1099"/>
      <c r="GO123" s="1099">
        <f>+GP123-GL123</f>
        <v>-300</v>
      </c>
      <c r="GP123" s="1099">
        <v>-700</v>
      </c>
      <c r="GQ123" s="1099"/>
      <c r="GR123" s="1036">
        <f>+GS123-GP123</f>
        <v>-500</v>
      </c>
      <c r="GS123" s="1036">
        <v>-1200</v>
      </c>
      <c r="GT123" s="1036">
        <f>+GU123-GR123</f>
        <v>-400</v>
      </c>
      <c r="GU123" s="1036">
        <f>+GV123-GP123</f>
        <v>-900</v>
      </c>
      <c r="GV123" s="1040">
        <v>-1600</v>
      </c>
      <c r="GW123" s="1036"/>
      <c r="GX123" s="1099"/>
      <c r="GY123" s="1099"/>
      <c r="GZ123" s="1099"/>
      <c r="HA123" s="1105"/>
      <c r="HB123" s="1099"/>
      <c r="HC123" s="1099"/>
      <c r="HD123" s="1099">
        <v>400</v>
      </c>
      <c r="HE123" s="1099">
        <v>400</v>
      </c>
      <c r="HF123" s="1099">
        <f>+HI123-HD123</f>
        <v>300</v>
      </c>
      <c r="HG123" s="1099">
        <f>+HL123-HE123</f>
        <v>300</v>
      </c>
      <c r="HH123" s="1099">
        <f t="shared" ref="HH123:HH127" si="333">HM123-HE123</f>
        <v>300</v>
      </c>
      <c r="HI123" s="1099">
        <v>700</v>
      </c>
      <c r="HJ123" s="1099">
        <v>-200</v>
      </c>
      <c r="HK123" s="1099"/>
      <c r="HL123" s="1099">
        <v>700</v>
      </c>
      <c r="HM123" s="1099">
        <v>700</v>
      </c>
      <c r="HN123" s="1036">
        <f>+HP123-HI123</f>
        <v>-500</v>
      </c>
      <c r="HO123" s="1036">
        <f>+HQ123-HM123</f>
        <v>-500</v>
      </c>
      <c r="HP123" s="1036">
        <v>200</v>
      </c>
      <c r="HQ123" s="1036">
        <v>200</v>
      </c>
      <c r="HR123" s="1036">
        <f>+HT123-HN123</f>
        <v>-500</v>
      </c>
      <c r="HS123" s="1036"/>
      <c r="HT123" s="1036">
        <f>+HV123-HI123</f>
        <v>-1000</v>
      </c>
      <c r="HU123" s="1036">
        <f>HZ123-HM123</f>
        <v>-1000</v>
      </c>
      <c r="HV123" s="1036">
        <v>-300</v>
      </c>
      <c r="HW123" s="1099"/>
      <c r="HX123" s="1099"/>
      <c r="HY123" s="1099"/>
      <c r="HZ123" s="1036">
        <v>-300</v>
      </c>
      <c r="IA123" s="1099"/>
      <c r="IB123" s="1099"/>
      <c r="IC123" s="1105"/>
      <c r="ID123" s="1099"/>
      <c r="IE123" s="1106">
        <v>0</v>
      </c>
      <c r="IF123" s="1099">
        <f>IG123-IE123</f>
        <v>0</v>
      </c>
      <c r="IG123" s="1107">
        <v>0</v>
      </c>
      <c r="IH123" s="1099">
        <f>+IJ123-IG123</f>
        <v>0</v>
      </c>
      <c r="II123" s="1099"/>
      <c r="IJ123" s="1108">
        <v>0</v>
      </c>
      <c r="IK123" s="1099">
        <f>+IP123-IL123</f>
        <v>0</v>
      </c>
      <c r="IL123" s="1099"/>
      <c r="IM123" s="1099">
        <f>+IO123-IH123</f>
        <v>100</v>
      </c>
      <c r="IN123" s="1099"/>
      <c r="IO123" s="1099">
        <f>+IR123-IG123</f>
        <v>100</v>
      </c>
      <c r="IP123" s="1100"/>
      <c r="IQ123" s="1099"/>
      <c r="IR123" s="1109">
        <v>100</v>
      </c>
      <c r="IS123" s="1289"/>
      <c r="IT123" s="1110">
        <v>-900</v>
      </c>
      <c r="IU123" s="1110">
        <v>-900</v>
      </c>
      <c r="IV123" s="1110">
        <f t="shared" si="310"/>
        <v>-300</v>
      </c>
      <c r="IW123" s="1110">
        <v>-600</v>
      </c>
      <c r="IX123" s="1099">
        <v>-1200</v>
      </c>
      <c r="IY123" s="1099">
        <v>-1500</v>
      </c>
      <c r="IZ123" s="1099">
        <f>JA123-IX123</f>
        <v>-200</v>
      </c>
      <c r="JA123" s="1099">
        <v>-1400</v>
      </c>
      <c r="JB123" s="1099">
        <f>+JC123-IZ123</f>
        <v>-800</v>
      </c>
      <c r="JC123" s="1099">
        <f>+JD123-IX123</f>
        <v>-1000</v>
      </c>
      <c r="JD123" s="1099">
        <v>-2200</v>
      </c>
      <c r="JE123" s="1099"/>
      <c r="JF123" s="1099"/>
      <c r="JG123" s="1099"/>
      <c r="JH123" s="1100"/>
      <c r="JI123" s="1289"/>
      <c r="JJ123" s="1796">
        <f>+JJ124+JJ125+JJ126</f>
        <v>0</v>
      </c>
      <c r="JK123" s="1797">
        <f t="shared" ref="JK123" si="334">+JK124+JK125+JK126</f>
        <v>0</v>
      </c>
      <c r="JL123" s="1127">
        <v>300</v>
      </c>
      <c r="JM123" s="1797">
        <f t="shared" si="326"/>
        <v>-100</v>
      </c>
      <c r="JN123" s="1099">
        <f t="shared" ref="JN123" si="335">JS123-JP123</f>
        <v>-100</v>
      </c>
      <c r="JO123" s="1797"/>
      <c r="JP123" s="1797">
        <v>200</v>
      </c>
      <c r="JQ123" s="1797"/>
      <c r="JR123" s="1797"/>
      <c r="JS123" s="1797">
        <v>100</v>
      </c>
      <c r="JT123" s="1797">
        <f t="shared" ref="JT123" si="336">+JT124+JT125+JT126</f>
        <v>-300</v>
      </c>
      <c r="JU123" s="1797">
        <f t="shared" ref="JU123" si="337">+JU124+JU125+JU126</f>
        <v>-200</v>
      </c>
      <c r="JV123" s="1110">
        <f>+JL123+JK123</f>
        <v>300</v>
      </c>
      <c r="JW123" s="1110">
        <f>+JN123+JU123</f>
        <v>-300</v>
      </c>
      <c r="JX123" s="1110">
        <f>+Driver!AL219</f>
        <v>-200</v>
      </c>
      <c r="JY123" s="1110">
        <f t="shared" si="328"/>
        <v>-100</v>
      </c>
      <c r="JZ123" s="603"/>
      <c r="KA123" s="746"/>
      <c r="KB123" s="1110">
        <f>+KC123-JL123</f>
        <v>-200</v>
      </c>
      <c r="KC123" s="1110">
        <v>100</v>
      </c>
      <c r="KD123" s="1110">
        <f t="shared" si="329"/>
        <v>-500</v>
      </c>
      <c r="KE123" s="1110">
        <f>+KG123-JP123</f>
        <v>-600</v>
      </c>
      <c r="KF123" s="1110"/>
      <c r="KG123" s="1110">
        <v>-400</v>
      </c>
      <c r="KH123" s="1110">
        <v>-400</v>
      </c>
      <c r="KI123" s="746"/>
      <c r="KJ123" s="603"/>
      <c r="KK123" s="1099"/>
      <c r="KL123" s="1099">
        <f t="shared" si="315"/>
        <v>-1100</v>
      </c>
      <c r="KM123" s="1110">
        <v>-2300</v>
      </c>
      <c r="KN123" s="603"/>
      <c r="KO123" s="1110">
        <v>-1400</v>
      </c>
      <c r="KP123" s="1099">
        <v>-700</v>
      </c>
      <c r="KQ123" s="1100">
        <v>-2100</v>
      </c>
      <c r="KR123" s="1099">
        <v>0</v>
      </c>
      <c r="KS123" s="1100">
        <v>0</v>
      </c>
      <c r="KT123" s="1099">
        <f>KU123-IE123</f>
        <v>-100</v>
      </c>
      <c r="KU123" s="1099">
        <v>-100</v>
      </c>
      <c r="KV123" s="1099">
        <f t="shared" si="316"/>
        <v>-100</v>
      </c>
      <c r="KW123" s="1100">
        <v>-200</v>
      </c>
      <c r="KX123" s="1099">
        <f t="shared" si="317"/>
        <v>-700</v>
      </c>
      <c r="KY123" s="790">
        <f t="shared" si="318"/>
        <v>-1200</v>
      </c>
      <c r="KZ123" s="1100">
        <v>-500</v>
      </c>
      <c r="LA123" s="1099">
        <v>-500</v>
      </c>
      <c r="LB123" s="1099">
        <f t="shared" si="319"/>
        <v>-500</v>
      </c>
      <c r="LC123" s="1100">
        <v>-1000</v>
      </c>
      <c r="LD123" s="1100"/>
      <c r="LE123" s="1099">
        <f>LF123-GR123</f>
        <v>-1100</v>
      </c>
      <c r="LF123" s="1099">
        <f>LG123-GP123</f>
        <v>-1600</v>
      </c>
      <c r="LG123" s="1100">
        <v>-2300</v>
      </c>
    </row>
    <row r="124" spans="1:319" s="705" customFormat="1">
      <c r="A124" s="510"/>
      <c r="B124" s="1064" t="s">
        <v>1081</v>
      </c>
      <c r="C124" s="1065" t="s">
        <v>1367</v>
      </c>
      <c r="D124" s="497"/>
      <c r="E124" s="510"/>
      <c r="F124" s="510"/>
      <c r="G124" s="699"/>
      <c r="H124" s="510"/>
      <c r="I124" s="510"/>
      <c r="J124" s="699"/>
      <c r="K124" s="584"/>
      <c r="L124" s="584"/>
      <c r="M124" s="584"/>
      <c r="N124" s="584"/>
      <c r="O124" s="584"/>
      <c r="P124" s="584"/>
      <c r="Q124" s="584"/>
      <c r="R124" s="584"/>
      <c r="S124" s="700"/>
      <c r="T124" s="584"/>
      <c r="U124" s="584"/>
      <c r="V124" s="584"/>
      <c r="W124" s="584"/>
      <c r="X124" s="584"/>
      <c r="Y124" s="584"/>
      <c r="Z124" s="584"/>
      <c r="AA124" s="584"/>
      <c r="AB124" s="700"/>
      <c r="AC124" s="584"/>
      <c r="AD124" s="584"/>
      <c r="AE124" s="584"/>
      <c r="AF124" s="584"/>
      <c r="AG124" s="584"/>
      <c r="AH124" s="584">
        <v>-500</v>
      </c>
      <c r="AI124" s="584"/>
      <c r="AJ124" s="584"/>
      <c r="AK124" s="497"/>
      <c r="AL124" s="584">
        <v>200</v>
      </c>
      <c r="AM124" s="584">
        <f>+AQ124-AL124</f>
        <v>200</v>
      </c>
      <c r="AN124" s="584">
        <f>+AP124-AQ124</f>
        <v>-500</v>
      </c>
      <c r="AO124" s="584">
        <f>+AR124-AN124</f>
        <v>-100</v>
      </c>
      <c r="AP124" s="584">
        <v>-100</v>
      </c>
      <c r="AQ124" s="584">
        <v>400</v>
      </c>
      <c r="AR124" s="584">
        <f t="shared" si="292"/>
        <v>-600</v>
      </c>
      <c r="AS124" s="584">
        <v>-200</v>
      </c>
      <c r="AT124" s="497"/>
      <c r="AU124" s="584"/>
      <c r="AV124" s="584"/>
      <c r="AW124" s="584">
        <v>100</v>
      </c>
      <c r="AX124" s="584">
        <v>1200</v>
      </c>
      <c r="AY124" s="584">
        <f t="shared" si="293"/>
        <v>-500</v>
      </c>
      <c r="AZ124" s="584"/>
      <c r="BA124" s="584">
        <f>+AW124+BB124</f>
        <v>-1100</v>
      </c>
      <c r="BB124" s="625">
        <v>-1200</v>
      </c>
      <c r="BC124" s="625">
        <f t="shared" si="281"/>
        <v>-400</v>
      </c>
      <c r="BD124" s="584"/>
      <c r="BE124" s="584">
        <v>-1600</v>
      </c>
      <c r="BF124" s="497"/>
      <c r="BG124" s="584">
        <f>BH124-AW124</f>
        <v>-600</v>
      </c>
      <c r="BH124" s="584">
        <f t="shared" si="294"/>
        <v>-500</v>
      </c>
      <c r="BI124" s="584">
        <v>-1700</v>
      </c>
      <c r="BJ124" s="497"/>
      <c r="BK124" s="510">
        <v>-1100</v>
      </c>
      <c r="BL124" s="510">
        <v>-200</v>
      </c>
      <c r="BM124" s="510">
        <v>-1300</v>
      </c>
      <c r="BN124" s="510"/>
      <c r="BO124" s="497"/>
      <c r="BP124" s="584">
        <v>-300</v>
      </c>
      <c r="BQ124" s="584"/>
      <c r="BR124" s="584">
        <f t="shared" si="330"/>
        <v>-100</v>
      </c>
      <c r="BS124" s="584"/>
      <c r="BT124" s="584">
        <v>-400</v>
      </c>
      <c r="BU124" s="584"/>
      <c r="BV124" s="584"/>
      <c r="BW124" s="584"/>
      <c r="BX124" s="584">
        <f>BY124+BT124</f>
        <v>-800</v>
      </c>
      <c r="BY124" s="584">
        <v>-400</v>
      </c>
      <c r="BZ124" s="584"/>
      <c r="CA124" s="584"/>
      <c r="CB124" s="584"/>
      <c r="CC124" s="584"/>
      <c r="CD124" s="584"/>
      <c r="CE124" s="584">
        <v>-900</v>
      </c>
      <c r="CF124" s="497"/>
      <c r="CG124" s="714"/>
      <c r="CH124" s="510"/>
      <c r="CI124" s="510"/>
      <c r="CJ124" s="510"/>
      <c r="CK124" s="510"/>
      <c r="CL124" s="510">
        <v>-200</v>
      </c>
      <c r="CM124" s="510"/>
      <c r="CN124" s="510"/>
      <c r="CO124" s="510">
        <v>900</v>
      </c>
      <c r="CP124" s="510">
        <f>CL124+CR124</f>
        <v>-200</v>
      </c>
      <c r="CQ124" s="510"/>
      <c r="CR124" s="510">
        <v>0</v>
      </c>
      <c r="CS124" s="510"/>
      <c r="CT124" s="510"/>
      <c r="CU124" s="510">
        <f>CW124-CR124</f>
        <v>700</v>
      </c>
      <c r="CV124" s="510"/>
      <c r="CW124" s="699">
        <f>CO124+CL124+CR124</f>
        <v>700</v>
      </c>
      <c r="CX124" s="510"/>
      <c r="CY124" s="510">
        <v>300</v>
      </c>
      <c r="CZ124" s="510">
        <f t="shared" si="287"/>
        <v>200</v>
      </c>
      <c r="DA124" s="510"/>
      <c r="DB124" s="510">
        <v>500</v>
      </c>
      <c r="DC124" s="510">
        <v>500</v>
      </c>
      <c r="DD124" s="510">
        <v>500</v>
      </c>
      <c r="DE124" s="510">
        <f t="shared" si="299"/>
        <v>-700</v>
      </c>
      <c r="DF124" s="510"/>
      <c r="DG124" s="510">
        <f>+DC124+DB124</f>
        <v>1000</v>
      </c>
      <c r="DH124" s="510"/>
      <c r="DI124" s="510">
        <f t="shared" si="224"/>
        <v>-200</v>
      </c>
      <c r="DJ124" s="510"/>
      <c r="DK124" s="510">
        <v>300</v>
      </c>
      <c r="DL124" s="512"/>
      <c r="DM124" s="512"/>
      <c r="DN124" s="584"/>
      <c r="DO124" s="584"/>
      <c r="DP124" s="713">
        <v>-200</v>
      </c>
      <c r="DQ124" s="713">
        <f>DR124-DC124</f>
        <v>-2200</v>
      </c>
      <c r="DR124" s="713">
        <v>-1700</v>
      </c>
      <c r="DS124" s="517">
        <f>+DR124+DB124</f>
        <v>-1200</v>
      </c>
      <c r="DT124" s="512"/>
      <c r="DU124" s="584">
        <v>-300</v>
      </c>
      <c r="DV124" s="759">
        <f>DW124-CY124</f>
        <v>-900</v>
      </c>
      <c r="DW124" s="713">
        <v>-600</v>
      </c>
      <c r="DX124" s="713">
        <v>-1300</v>
      </c>
      <c r="DY124" s="713">
        <v>-1900</v>
      </c>
      <c r="DZ124" s="497"/>
      <c r="EC124" s="713"/>
      <c r="ED124" s="512"/>
      <c r="EE124" s="497"/>
      <c r="EF124" s="510"/>
      <c r="EG124" s="714">
        <v>-300</v>
      </c>
      <c r="EH124" s="510"/>
      <c r="EI124" s="510">
        <f t="shared" si="306"/>
        <v>-200</v>
      </c>
      <c r="EJ124" s="510"/>
      <c r="EK124" s="510">
        <v>-500</v>
      </c>
      <c r="EL124" s="510"/>
      <c r="EM124" s="510">
        <v>-700</v>
      </c>
      <c r="EN124" s="510"/>
      <c r="EO124" s="510">
        <f>+EM124+EK124</f>
        <v>-1200</v>
      </c>
      <c r="EQ124" s="510">
        <f>ES124-EM124</f>
        <v>-200</v>
      </c>
      <c r="ER124" s="705">
        <v>-100</v>
      </c>
      <c r="ES124" s="510">
        <f>+EU124-EK124</f>
        <v>-900</v>
      </c>
      <c r="EU124" s="699">
        <v>-1400</v>
      </c>
      <c r="EV124" s="517"/>
      <c r="EW124" s="510"/>
      <c r="EX124" s="510">
        <v>-600</v>
      </c>
      <c r="EY124" s="510"/>
      <c r="EZ124" s="510">
        <f>FB124-EX124</f>
        <v>-200</v>
      </c>
      <c r="FA124" s="510">
        <v>-700</v>
      </c>
      <c r="FB124" s="510">
        <v>-800</v>
      </c>
      <c r="FC124" s="510">
        <v>-200</v>
      </c>
      <c r="FD124" s="510"/>
      <c r="FE124" s="510">
        <f>FC124+FB124</f>
        <v>-1000</v>
      </c>
      <c r="FF124" s="510"/>
      <c r="FG124" s="510">
        <f>FK124-FE124</f>
        <v>-900</v>
      </c>
      <c r="FH124" s="510"/>
      <c r="FI124" s="510">
        <f t="shared" si="308"/>
        <v>-1100</v>
      </c>
      <c r="FJ124" s="510"/>
      <c r="FK124" s="699">
        <v>-1900</v>
      </c>
      <c r="FL124" s="512"/>
      <c r="FM124" s="584">
        <f t="shared" si="278"/>
        <v>300</v>
      </c>
      <c r="FN124" s="713">
        <v>-300</v>
      </c>
      <c r="FO124" s="713">
        <f>FP124-FC124</f>
        <v>-300</v>
      </c>
      <c r="FP124" s="713">
        <f t="shared" si="302"/>
        <v>-500</v>
      </c>
      <c r="FQ124" s="517">
        <v>-1300</v>
      </c>
      <c r="FR124" s="517"/>
      <c r="FS124" s="510">
        <v>-200</v>
      </c>
      <c r="FT124" s="713"/>
      <c r="FU124" s="713"/>
      <c r="FV124" s="510">
        <f>FY124-FS124</f>
        <v>-200</v>
      </c>
      <c r="FW124" s="713"/>
      <c r="FX124" s="713"/>
      <c r="FY124" s="510">
        <v>-400</v>
      </c>
      <c r="FZ124" s="510">
        <v>-300</v>
      </c>
      <c r="GA124" s="510">
        <f>FZ124+FY124</f>
        <v>-700</v>
      </c>
      <c r="GB124" s="510">
        <f>GD124-GA124</f>
        <v>0</v>
      </c>
      <c r="GC124" s="510">
        <f>GD124-FY124</f>
        <v>-300</v>
      </c>
      <c r="GD124" s="699">
        <v>-700</v>
      </c>
      <c r="GE124" s="510"/>
      <c r="GF124" s="510"/>
      <c r="GG124" s="510"/>
      <c r="GH124" s="713"/>
      <c r="GI124" s="713"/>
      <c r="GJ124" s="715"/>
      <c r="GK124" s="713"/>
      <c r="GL124" s="713">
        <v>-100</v>
      </c>
      <c r="GM124" s="713"/>
      <c r="GN124" s="713"/>
      <c r="GO124" s="713">
        <f>GP124-GL124</f>
        <v>-200</v>
      </c>
      <c r="GP124" s="713">
        <v>-300</v>
      </c>
      <c r="GQ124" s="713"/>
      <c r="GR124" s="510">
        <v>-300</v>
      </c>
      <c r="GS124" s="510">
        <f>GP124+GR124</f>
        <v>-600</v>
      </c>
      <c r="GT124" s="510">
        <f>GU124-GR124</f>
        <v>-500</v>
      </c>
      <c r="GU124" s="510">
        <f>GV124-GP124</f>
        <v>-800</v>
      </c>
      <c r="GV124" s="699">
        <v>-1100</v>
      </c>
      <c r="GW124" s="510"/>
      <c r="GX124" s="713"/>
      <c r="GY124" s="713"/>
      <c r="GZ124" s="713"/>
      <c r="HA124" s="715"/>
      <c r="HB124" s="713"/>
      <c r="HC124" s="713"/>
      <c r="HD124" s="713">
        <v>200</v>
      </c>
      <c r="HE124" s="713">
        <v>200</v>
      </c>
      <c r="HF124" s="713">
        <f>HI124-HD124</f>
        <v>300</v>
      </c>
      <c r="HG124" s="713">
        <f>HL124-HE124</f>
        <v>300</v>
      </c>
      <c r="HH124" s="713">
        <f t="shared" si="333"/>
        <v>300</v>
      </c>
      <c r="HI124" s="713">
        <v>500</v>
      </c>
      <c r="HJ124" s="713"/>
      <c r="HK124" s="713"/>
      <c r="HL124" s="713">
        <v>500</v>
      </c>
      <c r="HM124" s="713">
        <v>500</v>
      </c>
      <c r="HN124" s="510">
        <f>HP124-HI124</f>
        <v>-300</v>
      </c>
      <c r="HO124" s="510">
        <f>HQ124-HM124</f>
        <v>-300</v>
      </c>
      <c r="HP124" s="510">
        <v>200</v>
      </c>
      <c r="HQ124" s="510">
        <v>200</v>
      </c>
      <c r="HR124" s="510">
        <f>HT124-HN124</f>
        <v>-100</v>
      </c>
      <c r="HS124" s="510"/>
      <c r="HT124" s="510">
        <f>HV124-HI124</f>
        <v>-400</v>
      </c>
      <c r="HU124" s="510"/>
      <c r="HV124" s="510">
        <v>100</v>
      </c>
      <c r="HW124" s="713"/>
      <c r="HX124" s="713"/>
      <c r="HY124" s="713"/>
      <c r="HZ124" s="510"/>
      <c r="IA124" s="713"/>
      <c r="IB124" s="713"/>
      <c r="IC124" s="715"/>
      <c r="ID124" s="713"/>
      <c r="IE124" s="1136"/>
      <c r="IG124" s="713"/>
      <c r="IH124" s="713">
        <f>IJ124-IG124</f>
        <v>0</v>
      </c>
      <c r="II124" s="713"/>
      <c r="IJ124" s="1135"/>
      <c r="IK124" s="713">
        <f>IP124-IL124</f>
        <v>0</v>
      </c>
      <c r="IL124" s="713"/>
      <c r="IM124" s="713">
        <f>IO124-IH124</f>
        <v>0</v>
      </c>
      <c r="IN124" s="713"/>
      <c r="IO124" s="713">
        <f>IR124-IG124</f>
        <v>0</v>
      </c>
      <c r="IP124" s="517"/>
      <c r="IQ124" s="713"/>
      <c r="IR124" s="517"/>
      <c r="IS124" s="740"/>
      <c r="IT124" s="713"/>
      <c r="IU124" s="603">
        <v>-100</v>
      </c>
      <c r="IV124" s="713">
        <f t="shared" si="310"/>
        <v>100</v>
      </c>
      <c r="IW124" s="713"/>
      <c r="IX124" s="713">
        <v>0</v>
      </c>
      <c r="IY124" s="713"/>
      <c r="IZ124" s="713"/>
      <c r="JA124" s="1624"/>
      <c r="JB124" s="713"/>
      <c r="JC124" s="713"/>
      <c r="JD124" s="1624"/>
      <c r="JE124" s="713"/>
      <c r="JF124" s="713"/>
      <c r="JG124" s="713"/>
      <c r="JH124" s="517"/>
      <c r="JI124" s="740"/>
      <c r="JJ124" s="740"/>
      <c r="JK124" s="733"/>
      <c r="JL124" s="683"/>
      <c r="JM124" s="606"/>
      <c r="JN124" s="606"/>
      <c r="JO124" s="606"/>
      <c r="JP124" s="606"/>
      <c r="JQ124" s="606"/>
      <c r="JR124" s="606"/>
      <c r="JS124" s="606"/>
      <c r="JT124" s="733"/>
      <c r="JU124" s="733"/>
      <c r="JV124" s="733"/>
      <c r="JW124" s="733"/>
      <c r="JX124" s="733"/>
      <c r="JY124" s="733"/>
      <c r="JZ124" s="733"/>
      <c r="KA124" s="732"/>
      <c r="KB124" s="733"/>
      <c r="KC124" s="733"/>
      <c r="KD124" s="733"/>
      <c r="KE124" s="733"/>
      <c r="KF124" s="733"/>
      <c r="KG124" s="733"/>
      <c r="KH124" s="1642"/>
      <c r="KI124" s="732"/>
      <c r="KJ124" s="733"/>
      <c r="KK124" s="713"/>
      <c r="KL124" s="733">
        <f t="shared" si="315"/>
        <v>0</v>
      </c>
      <c r="KM124" s="733">
        <v>0</v>
      </c>
      <c r="KN124" s="733"/>
      <c r="KO124" s="733"/>
      <c r="KP124" s="733"/>
      <c r="KQ124" s="732"/>
      <c r="KR124" s="733"/>
      <c r="KS124" s="732"/>
      <c r="KT124" s="733"/>
      <c r="KU124" s="733"/>
      <c r="KV124" s="733">
        <f t="shared" si="316"/>
        <v>0</v>
      </c>
      <c r="KW124" s="732"/>
      <c r="KX124" s="733">
        <f t="shared" si="317"/>
        <v>-300</v>
      </c>
      <c r="KY124" s="733">
        <f t="shared" si="318"/>
        <v>-600</v>
      </c>
      <c r="KZ124" s="732">
        <v>-100</v>
      </c>
      <c r="LA124" s="733">
        <v>-300</v>
      </c>
      <c r="LB124" s="733">
        <f t="shared" si="319"/>
        <v>0</v>
      </c>
      <c r="LC124" s="732">
        <v>-300</v>
      </c>
      <c r="LD124" s="732">
        <f t="shared" ref="LD124:LD126" si="338">LB124+LC124</f>
        <v>-300</v>
      </c>
      <c r="LE124" s="733">
        <v>-1000</v>
      </c>
      <c r="LF124" s="733">
        <v>-1000</v>
      </c>
      <c r="LG124" s="732">
        <v>-1300</v>
      </c>
    </row>
    <row r="125" spans="1:319" s="705" customFormat="1">
      <c r="A125" s="510"/>
      <c r="B125" s="1064" t="s">
        <v>1082</v>
      </c>
      <c r="C125" s="1065" t="s">
        <v>945</v>
      </c>
      <c r="D125" s="497"/>
      <c r="E125" s="510"/>
      <c r="F125" s="510"/>
      <c r="G125" s="699"/>
      <c r="H125" s="510"/>
      <c r="I125" s="510"/>
      <c r="J125" s="699"/>
      <c r="K125" s="584"/>
      <c r="L125" s="584"/>
      <c r="M125" s="584"/>
      <c r="N125" s="584"/>
      <c r="O125" s="584"/>
      <c r="P125" s="584"/>
      <c r="Q125" s="584"/>
      <c r="R125" s="584"/>
      <c r="S125" s="700"/>
      <c r="T125" s="584"/>
      <c r="U125" s="584"/>
      <c r="V125" s="584"/>
      <c r="W125" s="584"/>
      <c r="X125" s="584"/>
      <c r="Y125" s="584"/>
      <c r="Z125" s="584"/>
      <c r="AA125" s="584"/>
      <c r="AB125" s="700"/>
      <c r="AC125" s="584"/>
      <c r="AD125" s="584"/>
      <c r="AE125" s="584"/>
      <c r="AF125" s="584"/>
      <c r="AG125" s="584"/>
      <c r="AH125" s="584">
        <v>-200</v>
      </c>
      <c r="AI125" s="584"/>
      <c r="AJ125" s="584"/>
      <c r="AK125" s="497"/>
      <c r="AL125" s="584">
        <v>200</v>
      </c>
      <c r="AM125" s="584">
        <f>+AQ125-AL125</f>
        <v>100</v>
      </c>
      <c r="AN125" s="584">
        <f>+AP125-AQ125</f>
        <v>-500</v>
      </c>
      <c r="AO125" s="584">
        <f>+AR125-AN125</f>
        <v>-200</v>
      </c>
      <c r="AP125" s="584">
        <v>-200</v>
      </c>
      <c r="AQ125" s="584">
        <v>300</v>
      </c>
      <c r="AR125" s="584">
        <f t="shared" si="292"/>
        <v>-700</v>
      </c>
      <c r="AS125" s="584">
        <v>-400</v>
      </c>
      <c r="AT125" s="497"/>
      <c r="AU125" s="584"/>
      <c r="AV125" s="584"/>
      <c r="AW125" s="584">
        <v>0</v>
      </c>
      <c r="AX125" s="584">
        <v>400</v>
      </c>
      <c r="AY125" s="584">
        <f t="shared" si="293"/>
        <v>100</v>
      </c>
      <c r="AZ125" s="584"/>
      <c r="BA125" s="584">
        <f>+AW125+BB125</f>
        <v>-400</v>
      </c>
      <c r="BB125" s="625">
        <v>-400</v>
      </c>
      <c r="BC125" s="625">
        <f t="shared" si="281"/>
        <v>100</v>
      </c>
      <c r="BD125" s="584"/>
      <c r="BE125" s="584">
        <v>-300</v>
      </c>
      <c r="BF125" s="497"/>
      <c r="BG125" s="584">
        <f>BH125-AW125</f>
        <v>200</v>
      </c>
      <c r="BH125" s="584">
        <f t="shared" si="294"/>
        <v>200</v>
      </c>
      <c r="BI125" s="584">
        <v>-200</v>
      </c>
      <c r="BJ125" s="497"/>
      <c r="BK125" s="510">
        <v>-200</v>
      </c>
      <c r="BL125" s="510">
        <v>-200</v>
      </c>
      <c r="BM125" s="510">
        <v>-400</v>
      </c>
      <c r="BN125" s="510"/>
      <c r="BO125" s="497"/>
      <c r="BP125" s="584">
        <v>-200</v>
      </c>
      <c r="BQ125" s="584"/>
      <c r="BR125" s="584">
        <f t="shared" si="330"/>
        <v>-100</v>
      </c>
      <c r="BS125" s="584"/>
      <c r="BT125" s="584">
        <v>-200</v>
      </c>
      <c r="BU125" s="584"/>
      <c r="BV125" s="584"/>
      <c r="BW125" s="584"/>
      <c r="BX125" s="584">
        <f>BY125+BT125</f>
        <v>-500</v>
      </c>
      <c r="BY125" s="584">
        <v>-300</v>
      </c>
      <c r="BZ125" s="584"/>
      <c r="CA125" s="584"/>
      <c r="CB125" s="584"/>
      <c r="CC125" s="584"/>
      <c r="CD125" s="584"/>
      <c r="CE125" s="584">
        <v>-300</v>
      </c>
      <c r="CF125" s="497"/>
      <c r="CG125" s="714"/>
      <c r="CH125" s="510"/>
      <c r="CI125" s="510"/>
      <c r="CJ125" s="510">
        <v>200</v>
      </c>
      <c r="CK125" s="510"/>
      <c r="CL125" s="510">
        <v>200</v>
      </c>
      <c r="CM125" s="510"/>
      <c r="CN125" s="510"/>
      <c r="CO125" s="510">
        <v>0</v>
      </c>
      <c r="CP125" s="510">
        <f>CL125+CR125</f>
        <v>400</v>
      </c>
      <c r="CQ125" s="510"/>
      <c r="CR125" s="510">
        <v>200</v>
      </c>
      <c r="CS125" s="510"/>
      <c r="CT125" s="510"/>
      <c r="CU125" s="510">
        <f t="shared" si="276"/>
        <v>200</v>
      </c>
      <c r="CV125" s="510"/>
      <c r="CW125" s="699">
        <f>CG125+CJ125+CL125+CO125</f>
        <v>400</v>
      </c>
      <c r="CX125" s="510"/>
      <c r="CY125" s="510">
        <v>-100</v>
      </c>
      <c r="CZ125" s="510">
        <f t="shared" si="287"/>
        <v>200</v>
      </c>
      <c r="DA125" s="510"/>
      <c r="DB125" s="510">
        <v>100</v>
      </c>
      <c r="DC125" s="510">
        <v>-700</v>
      </c>
      <c r="DD125" s="510">
        <v>-700</v>
      </c>
      <c r="DE125" s="510">
        <f t="shared" si="299"/>
        <v>0</v>
      </c>
      <c r="DF125" s="510"/>
      <c r="DG125" s="510">
        <f>+DC125+DB125</f>
        <v>-600</v>
      </c>
      <c r="DH125" s="510"/>
      <c r="DI125" s="510">
        <f t="shared" si="224"/>
        <v>-700</v>
      </c>
      <c r="DJ125" s="510"/>
      <c r="DK125" s="510">
        <v>-600</v>
      </c>
      <c r="DL125" s="512"/>
      <c r="DM125" s="512"/>
      <c r="DN125" s="584"/>
      <c r="DO125" s="584"/>
      <c r="DP125" s="713">
        <v>-400</v>
      </c>
      <c r="DQ125" s="713">
        <f>DR125-DC125</f>
        <v>-100</v>
      </c>
      <c r="DR125" s="713">
        <v>-800</v>
      </c>
      <c r="DS125" s="517">
        <f>+DR125+DB125</f>
        <v>-700</v>
      </c>
      <c r="DT125" s="512"/>
      <c r="DU125" s="584">
        <v>-100</v>
      </c>
      <c r="DV125" s="759">
        <f>DW125-CY125</f>
        <v>-100</v>
      </c>
      <c r="DW125" s="713">
        <v>-200</v>
      </c>
      <c r="DX125" s="713">
        <v>-300</v>
      </c>
      <c r="DY125" s="713">
        <v>-500</v>
      </c>
      <c r="DZ125" s="497"/>
      <c r="EC125" s="713"/>
      <c r="ED125" s="512"/>
      <c r="EE125" s="497"/>
      <c r="EF125" s="510"/>
      <c r="EG125" s="714">
        <v>0</v>
      </c>
      <c r="EH125" s="510"/>
      <c r="EI125" s="510">
        <f t="shared" si="306"/>
        <v>-100</v>
      </c>
      <c r="EJ125" s="510"/>
      <c r="EK125" s="510">
        <v>-100</v>
      </c>
      <c r="EL125" s="510"/>
      <c r="EM125" s="510">
        <v>400</v>
      </c>
      <c r="EN125" s="510"/>
      <c r="EO125" s="510">
        <f>+EM125+EK125</f>
        <v>300</v>
      </c>
      <c r="EQ125" s="510">
        <f>ES125-EM125</f>
        <v>-200</v>
      </c>
      <c r="ER125" s="705">
        <v>-600</v>
      </c>
      <c r="ES125" s="510">
        <f>+EU125-EK125</f>
        <v>200</v>
      </c>
      <c r="EU125" s="699">
        <v>100</v>
      </c>
      <c r="EV125" s="517"/>
      <c r="EW125" s="510"/>
      <c r="EX125" s="510">
        <v>-400</v>
      </c>
      <c r="EY125" s="510"/>
      <c r="EZ125" s="510">
        <f>FB125-EX125</f>
        <v>0</v>
      </c>
      <c r="FA125" s="510">
        <v>-500</v>
      </c>
      <c r="FB125" s="510">
        <v>-400</v>
      </c>
      <c r="FC125" s="510">
        <v>-200</v>
      </c>
      <c r="FD125" s="734"/>
      <c r="FE125" s="510">
        <f>FC125+FB125</f>
        <v>-600</v>
      </c>
      <c r="FF125" s="510"/>
      <c r="FG125" s="510">
        <f>FK125-FE125</f>
        <v>400</v>
      </c>
      <c r="FH125" s="510"/>
      <c r="FI125" s="510">
        <f t="shared" si="308"/>
        <v>200</v>
      </c>
      <c r="FJ125" s="510"/>
      <c r="FK125" s="699">
        <v>-200</v>
      </c>
      <c r="FL125" s="512"/>
      <c r="FM125" s="584">
        <f t="shared" si="278"/>
        <v>-100</v>
      </c>
      <c r="FN125" s="713">
        <v>-500</v>
      </c>
      <c r="FO125" s="713">
        <f>FP125-FC125</f>
        <v>200</v>
      </c>
      <c r="FP125" s="713">
        <f t="shared" si="302"/>
        <v>0</v>
      </c>
      <c r="FQ125" s="517">
        <v>-400</v>
      </c>
      <c r="FR125" s="517"/>
      <c r="FS125" s="510">
        <v>400</v>
      </c>
      <c r="FT125" s="713"/>
      <c r="FU125" s="713"/>
      <c r="FV125" s="510">
        <f>FY125-FS125</f>
        <v>300</v>
      </c>
      <c r="FW125" s="713"/>
      <c r="FX125" s="713"/>
      <c r="FY125" s="510">
        <v>700</v>
      </c>
      <c r="FZ125" s="510">
        <v>300</v>
      </c>
      <c r="GA125" s="510">
        <f>FZ125+FY125</f>
        <v>1000</v>
      </c>
      <c r="GB125" s="510">
        <f>GD125-GA125</f>
        <v>0</v>
      </c>
      <c r="GC125" s="510">
        <f>GD125-FY125</f>
        <v>300</v>
      </c>
      <c r="GD125" s="699">
        <v>1000</v>
      </c>
      <c r="GE125" s="510"/>
      <c r="GF125" s="510"/>
      <c r="GG125" s="510"/>
      <c r="GH125" s="713"/>
      <c r="GI125" s="713"/>
      <c r="GJ125" s="715"/>
      <c r="GK125" s="713"/>
      <c r="GL125" s="713">
        <v>-100</v>
      </c>
      <c r="GM125" s="713"/>
      <c r="GN125" s="713"/>
      <c r="GO125" s="713">
        <f>GP125-GL125</f>
        <v>-100</v>
      </c>
      <c r="GP125" s="713">
        <v>-200</v>
      </c>
      <c r="GQ125" s="713"/>
      <c r="GR125" s="510">
        <v>-200</v>
      </c>
      <c r="GS125" s="510">
        <f>GP125+GR125</f>
        <v>-400</v>
      </c>
      <c r="GT125" s="510">
        <f>GU125-GR125</f>
        <v>0</v>
      </c>
      <c r="GU125" s="510">
        <f>GV125-GP125</f>
        <v>-200</v>
      </c>
      <c r="GV125" s="699">
        <v>-400</v>
      </c>
      <c r="GW125" s="510"/>
      <c r="GX125" s="713"/>
      <c r="GY125" s="713"/>
      <c r="GZ125" s="713"/>
      <c r="HA125" s="715"/>
      <c r="HB125" s="713"/>
      <c r="HC125" s="713"/>
      <c r="HD125" s="713">
        <v>300</v>
      </c>
      <c r="HE125" s="713">
        <v>300</v>
      </c>
      <c r="HF125" s="713">
        <f>HI125-HD125</f>
        <v>0</v>
      </c>
      <c r="HG125" s="713">
        <f>HL125-HE125</f>
        <v>0</v>
      </c>
      <c r="HH125" s="713">
        <f t="shared" si="333"/>
        <v>0</v>
      </c>
      <c r="HI125" s="713">
        <v>300</v>
      </c>
      <c r="HJ125" s="713"/>
      <c r="HK125" s="713"/>
      <c r="HL125" s="713">
        <v>300</v>
      </c>
      <c r="HM125" s="713">
        <v>300</v>
      </c>
      <c r="HN125" s="510">
        <f>HP125-HI125</f>
        <v>-100</v>
      </c>
      <c r="HO125" s="510">
        <f>HQ125-HM125</f>
        <v>-100</v>
      </c>
      <c r="HP125" s="510">
        <v>200</v>
      </c>
      <c r="HQ125" s="510">
        <v>200</v>
      </c>
      <c r="HR125" s="510">
        <f>HT125-HN125</f>
        <v>-300</v>
      </c>
      <c r="HS125" s="510"/>
      <c r="HT125" s="510">
        <f>HV125-HI125</f>
        <v>-400</v>
      </c>
      <c r="HU125" s="510"/>
      <c r="HV125" s="510">
        <v>-100</v>
      </c>
      <c r="HW125" s="713"/>
      <c r="HX125" s="713"/>
      <c r="HY125" s="713"/>
      <c r="HZ125" s="510"/>
      <c r="IA125" s="713"/>
      <c r="IB125" s="713"/>
      <c r="IC125" s="715"/>
      <c r="ID125" s="713"/>
      <c r="IE125" s="784">
        <v>-50</v>
      </c>
      <c r="IF125" s="713">
        <f>IG125-IE125</f>
        <v>0</v>
      </c>
      <c r="IG125" s="1134">
        <v>-50</v>
      </c>
      <c r="IH125" s="1137"/>
      <c r="II125" s="713"/>
      <c r="IJ125" s="1135">
        <f>IG125+IH125</f>
        <v>-50</v>
      </c>
      <c r="IK125" s="713">
        <f>IP125-IL125</f>
        <v>0</v>
      </c>
      <c r="IL125" s="713"/>
      <c r="IM125" s="713">
        <f>IO125-IH125</f>
        <v>150</v>
      </c>
      <c r="IN125" s="713"/>
      <c r="IO125" s="713">
        <f>IR125-IG125</f>
        <v>150</v>
      </c>
      <c r="IP125" s="517"/>
      <c r="IQ125" s="713"/>
      <c r="IR125" s="517">
        <v>100</v>
      </c>
      <c r="IS125" s="1285"/>
      <c r="IT125" s="713"/>
      <c r="IU125" s="603">
        <v>-650</v>
      </c>
      <c r="IV125" s="713">
        <f t="shared" si="310"/>
        <v>-250</v>
      </c>
      <c r="IW125" s="713"/>
      <c r="IX125" s="713">
        <v>-900</v>
      </c>
      <c r="IY125" s="713"/>
      <c r="IZ125" s="713">
        <v>0</v>
      </c>
      <c r="JA125" s="1624">
        <f t="shared" ref="JA125:JA126" si="339">+IX125+IZ125</f>
        <v>-900</v>
      </c>
      <c r="JB125" s="713">
        <f t="shared" ref="JB125:JB126" si="340">+JC125-IZ125</f>
        <v>-500</v>
      </c>
      <c r="JC125" s="713">
        <f t="shared" ref="JC125:JC126" si="341">+JD125-IX125</f>
        <v>-500</v>
      </c>
      <c r="JD125" s="1624">
        <v>-1400</v>
      </c>
      <c r="JE125" s="713"/>
      <c r="JF125" s="713"/>
      <c r="JG125" s="713"/>
      <c r="JH125" s="517"/>
      <c r="JI125" s="1285"/>
      <c r="JJ125" s="740">
        <v>200</v>
      </c>
      <c r="JK125" s="733">
        <v>100</v>
      </c>
      <c r="JL125" s="683">
        <v>400</v>
      </c>
      <c r="JM125" s="606">
        <f t="shared" ref="JM125:JM127" si="342">+JP125-JL125</f>
        <v>100</v>
      </c>
      <c r="JN125" s="790">
        <f t="shared" ref="JN125:JN127" si="343">JS125-JP125</f>
        <v>-500</v>
      </c>
      <c r="JO125" s="606"/>
      <c r="JP125" s="606">
        <v>500</v>
      </c>
      <c r="JQ125" s="606"/>
      <c r="JR125" s="606"/>
      <c r="JS125" s="606"/>
      <c r="JT125" s="733">
        <v>100</v>
      </c>
      <c r="JU125" s="733">
        <v>100</v>
      </c>
      <c r="JV125" s="733">
        <f>+JL125+JK125</f>
        <v>500</v>
      </c>
      <c r="JW125" s="733">
        <f>+JN125+JU125</f>
        <v>-400</v>
      </c>
      <c r="JX125" s="733">
        <f>+JP125+JW125</f>
        <v>100</v>
      </c>
      <c r="JY125" s="733">
        <f t="shared" ref="JY125:JY127" si="344">+JP125+JT125</f>
        <v>600</v>
      </c>
      <c r="JZ125" s="1125"/>
      <c r="KA125" s="1126"/>
      <c r="KB125" s="1125">
        <f>+KC125-JL125</f>
        <v>0</v>
      </c>
      <c r="KC125" s="1125">
        <v>400</v>
      </c>
      <c r="KD125" s="1125">
        <f t="shared" si="329"/>
        <v>100</v>
      </c>
      <c r="KE125" s="1125">
        <f>+KG125-JP125</f>
        <v>-500</v>
      </c>
      <c r="KF125" s="1125"/>
      <c r="KG125" s="1125"/>
      <c r="KH125" s="1649">
        <v>500</v>
      </c>
      <c r="KI125" s="1126"/>
      <c r="KJ125" s="1125"/>
      <c r="KK125" s="713"/>
      <c r="KL125" s="733">
        <f t="shared" si="315"/>
        <v>-700</v>
      </c>
      <c r="KM125" s="1125">
        <v>-1600</v>
      </c>
      <c r="KN125" s="1125"/>
      <c r="KO125" s="1125">
        <v>-1200</v>
      </c>
      <c r="KP125" s="733">
        <v>-400</v>
      </c>
      <c r="KQ125" s="732">
        <v>-1600</v>
      </c>
      <c r="KR125" s="733">
        <v>0</v>
      </c>
      <c r="KS125" s="732">
        <v>-50</v>
      </c>
      <c r="KT125" s="733">
        <f>KU125-IE126</f>
        <v>-50</v>
      </c>
      <c r="KU125" s="733">
        <v>0</v>
      </c>
      <c r="KV125" s="733">
        <f t="shared" si="316"/>
        <v>0</v>
      </c>
      <c r="KW125" s="732">
        <v>0</v>
      </c>
      <c r="KX125" s="733">
        <f t="shared" si="317"/>
        <v>-500</v>
      </c>
      <c r="KY125" s="733">
        <f t="shared" si="318"/>
        <v>-600</v>
      </c>
      <c r="KZ125" s="732">
        <v>-300</v>
      </c>
      <c r="LA125" s="733">
        <v>0</v>
      </c>
      <c r="LB125" s="733">
        <f t="shared" si="319"/>
        <v>-300</v>
      </c>
      <c r="LC125" s="732">
        <v>-300</v>
      </c>
      <c r="LD125" s="732">
        <f t="shared" si="338"/>
        <v>-600</v>
      </c>
      <c r="LE125" s="733">
        <v>-400</v>
      </c>
      <c r="LF125" s="733">
        <v>-400</v>
      </c>
      <c r="LG125" s="732">
        <v>-600</v>
      </c>
    </row>
    <row r="126" spans="1:319" s="705" customFormat="1">
      <c r="A126" s="510"/>
      <c r="B126" s="1064" t="s">
        <v>196</v>
      </c>
      <c r="C126" s="1065" t="s">
        <v>1221</v>
      </c>
      <c r="D126" s="497"/>
      <c r="E126" s="510"/>
      <c r="F126" s="510"/>
      <c r="G126" s="699"/>
      <c r="H126" s="510"/>
      <c r="I126" s="510"/>
      <c r="J126" s="699"/>
      <c r="K126" s="584"/>
      <c r="L126" s="584"/>
      <c r="M126" s="584"/>
      <c r="N126" s="584"/>
      <c r="O126" s="584"/>
      <c r="P126" s="584"/>
      <c r="Q126" s="584"/>
      <c r="R126" s="584"/>
      <c r="S126" s="700"/>
      <c r="T126" s="584"/>
      <c r="U126" s="584"/>
      <c r="V126" s="584"/>
      <c r="W126" s="584"/>
      <c r="X126" s="584"/>
      <c r="Y126" s="584"/>
      <c r="Z126" s="584"/>
      <c r="AA126" s="584"/>
      <c r="AB126" s="700"/>
      <c r="AC126" s="584"/>
      <c r="AD126" s="584"/>
      <c r="AE126" s="584"/>
      <c r="AF126" s="584"/>
      <c r="AG126" s="584"/>
      <c r="AH126" s="584">
        <v>-200</v>
      </c>
      <c r="AI126" s="584"/>
      <c r="AJ126" s="584"/>
      <c r="AK126" s="497"/>
      <c r="AL126" s="584">
        <v>0</v>
      </c>
      <c r="AM126" s="584">
        <f>+AQ126-AL126</f>
        <v>-100</v>
      </c>
      <c r="AN126" s="584">
        <f>+AP126-AQ126</f>
        <v>100</v>
      </c>
      <c r="AO126" s="584">
        <f>+AR126-AN126</f>
        <v>-100</v>
      </c>
      <c r="AP126" s="584">
        <v>0</v>
      </c>
      <c r="AQ126" s="584">
        <v>-100</v>
      </c>
      <c r="AR126" s="584">
        <f t="shared" si="292"/>
        <v>0</v>
      </c>
      <c r="AS126" s="584">
        <v>-100</v>
      </c>
      <c r="AT126" s="497"/>
      <c r="AU126" s="584"/>
      <c r="AV126" s="584"/>
      <c r="AW126" s="584">
        <v>0</v>
      </c>
      <c r="AX126" s="584">
        <v>-300</v>
      </c>
      <c r="AY126" s="584">
        <f t="shared" si="293"/>
        <v>0</v>
      </c>
      <c r="AZ126" s="584"/>
      <c r="BA126" s="584">
        <f>+AW126+BB126</f>
        <v>300</v>
      </c>
      <c r="BB126" s="625">
        <v>300</v>
      </c>
      <c r="BC126" s="625">
        <f t="shared" si="281"/>
        <v>0</v>
      </c>
      <c r="BD126" s="584"/>
      <c r="BE126" s="584">
        <v>300</v>
      </c>
      <c r="BF126" s="497"/>
      <c r="BG126" s="584">
        <f>BH126-AW126</f>
        <v>0</v>
      </c>
      <c r="BH126" s="584">
        <f t="shared" si="294"/>
        <v>0</v>
      </c>
      <c r="BI126" s="584">
        <v>300</v>
      </c>
      <c r="BJ126" s="497"/>
      <c r="BK126" s="510"/>
      <c r="BL126" s="510"/>
      <c r="BM126" s="510"/>
      <c r="BN126" s="510"/>
      <c r="BO126" s="497"/>
      <c r="BP126" s="584"/>
      <c r="BQ126" s="584"/>
      <c r="BR126" s="584"/>
      <c r="BS126" s="584"/>
      <c r="BT126" s="584">
        <v>0</v>
      </c>
      <c r="BU126" s="584"/>
      <c r="BV126" s="584"/>
      <c r="BW126" s="584"/>
      <c r="BX126" s="584">
        <f>BY126+BT126</f>
        <v>-200</v>
      </c>
      <c r="BY126" s="584">
        <v>-200</v>
      </c>
      <c r="BZ126" s="584"/>
      <c r="CA126" s="584"/>
      <c r="CB126" s="584"/>
      <c r="CC126" s="584"/>
      <c r="CD126" s="584"/>
      <c r="CE126" s="584">
        <f>CE123-CE124-CE125</f>
        <v>-200</v>
      </c>
      <c r="CF126" s="497"/>
      <c r="CG126" s="714"/>
      <c r="CH126" s="510"/>
      <c r="CI126" s="510"/>
      <c r="CJ126" s="510">
        <f>CJ123-CJ125</f>
        <v>100</v>
      </c>
      <c r="CK126" s="510"/>
      <c r="CL126" s="510">
        <v>-300</v>
      </c>
      <c r="CM126" s="510"/>
      <c r="CN126" s="510"/>
      <c r="CO126" s="510">
        <v>-200</v>
      </c>
      <c r="CP126" s="510">
        <f>CL126+CR126</f>
        <v>-200</v>
      </c>
      <c r="CQ126" s="510"/>
      <c r="CR126" s="510">
        <v>100</v>
      </c>
      <c r="CS126" s="510"/>
      <c r="CT126" s="510"/>
      <c r="CU126" s="510">
        <f>CW126-CR126</f>
        <v>-500</v>
      </c>
      <c r="CV126" s="510"/>
      <c r="CW126" s="699">
        <f>CG126+CJ126+CL126+CO126</f>
        <v>-400</v>
      </c>
      <c r="CX126" s="510"/>
      <c r="CY126" s="510">
        <v>-400</v>
      </c>
      <c r="CZ126" s="510">
        <f t="shared" si="287"/>
        <v>-300</v>
      </c>
      <c r="DA126" s="510"/>
      <c r="DB126" s="510">
        <v>-700</v>
      </c>
      <c r="DC126" s="510">
        <v>-600</v>
      </c>
      <c r="DD126" s="510">
        <v>-400</v>
      </c>
      <c r="DE126" s="510">
        <f t="shared" si="299"/>
        <v>-100</v>
      </c>
      <c r="DF126" s="510"/>
      <c r="DG126" s="510">
        <f>+DC126+DB126</f>
        <v>-1300</v>
      </c>
      <c r="DH126" s="510"/>
      <c r="DI126" s="510">
        <f t="shared" si="224"/>
        <v>-700</v>
      </c>
      <c r="DJ126" s="510"/>
      <c r="DK126" s="510">
        <v>-1400</v>
      </c>
      <c r="DL126" s="512"/>
      <c r="DM126" s="512"/>
      <c r="DN126" s="584"/>
      <c r="DO126" s="584"/>
      <c r="DP126" s="713">
        <v>-100</v>
      </c>
      <c r="DQ126" s="713">
        <f>DR126-DC126</f>
        <v>700</v>
      </c>
      <c r="DR126" s="713">
        <v>100</v>
      </c>
      <c r="DS126" s="517">
        <f>+DR126+DB126</f>
        <v>-600</v>
      </c>
      <c r="DT126" s="512"/>
      <c r="DU126" s="584">
        <v>-200</v>
      </c>
      <c r="DV126" s="759">
        <f>DW126-CY126</f>
        <v>-100</v>
      </c>
      <c r="DW126" s="713">
        <v>-500</v>
      </c>
      <c r="DX126" s="713">
        <v>-100</v>
      </c>
      <c r="DY126" s="713">
        <v>-200</v>
      </c>
      <c r="DZ126" s="497"/>
      <c r="EC126" s="713"/>
      <c r="ED126" s="512"/>
      <c r="EE126" s="497"/>
      <c r="EF126" s="510"/>
      <c r="EG126" s="714">
        <v>0</v>
      </c>
      <c r="EH126" s="510"/>
      <c r="EI126" s="510">
        <f t="shared" si="306"/>
        <v>100</v>
      </c>
      <c r="EJ126" s="510"/>
      <c r="EK126" s="510">
        <v>100</v>
      </c>
      <c r="EL126" s="510"/>
      <c r="EM126" s="510">
        <v>300</v>
      </c>
      <c r="EN126" s="510"/>
      <c r="EO126" s="510">
        <f>+EM126+EK126</f>
        <v>400</v>
      </c>
      <c r="EQ126" s="510">
        <f>ES126-EM126</f>
        <v>0</v>
      </c>
      <c r="ER126" s="705">
        <v>100</v>
      </c>
      <c r="ES126" s="510">
        <f>+EU126-EK126</f>
        <v>300</v>
      </c>
      <c r="EU126" s="699">
        <v>400</v>
      </c>
      <c r="EV126" s="517"/>
      <c r="EW126" s="510"/>
      <c r="EX126" s="510">
        <v>-100</v>
      </c>
      <c r="EY126" s="510"/>
      <c r="EZ126" s="510">
        <f>FB126-EX126</f>
        <v>0</v>
      </c>
      <c r="FA126" s="510">
        <v>-100</v>
      </c>
      <c r="FB126" s="510">
        <v>-100</v>
      </c>
      <c r="FC126" s="510"/>
      <c r="FD126" s="510"/>
      <c r="FE126" s="510">
        <f>FC126+FB126</f>
        <v>-100</v>
      </c>
      <c r="FF126" s="510"/>
      <c r="FG126" s="510">
        <f>FK126-FE126</f>
        <v>0</v>
      </c>
      <c r="FH126" s="510"/>
      <c r="FI126" s="510">
        <f t="shared" si="308"/>
        <v>0</v>
      </c>
      <c r="FJ126" s="510"/>
      <c r="FK126" s="699">
        <v>-100</v>
      </c>
      <c r="FL126" s="512"/>
      <c r="FM126" s="584">
        <f t="shared" si="278"/>
        <v>100</v>
      </c>
      <c r="FN126" s="713">
        <v>0</v>
      </c>
      <c r="FO126" s="713"/>
      <c r="FP126" s="713">
        <f t="shared" si="302"/>
        <v>100</v>
      </c>
      <c r="FQ126" s="517">
        <v>0</v>
      </c>
      <c r="FR126" s="517"/>
      <c r="FS126" s="510">
        <v>0</v>
      </c>
      <c r="FT126" s="713"/>
      <c r="FU126" s="713"/>
      <c r="FV126" s="510">
        <f>FY126-FS126</f>
        <v>-100</v>
      </c>
      <c r="FW126" s="713"/>
      <c r="FX126" s="713"/>
      <c r="FY126" s="510">
        <v>-100</v>
      </c>
      <c r="FZ126" s="510">
        <v>-300</v>
      </c>
      <c r="GA126" s="510">
        <f>FZ126+FY126</f>
        <v>-400</v>
      </c>
      <c r="GB126" s="510">
        <f>GD126-GA126</f>
        <v>-100</v>
      </c>
      <c r="GC126" s="510">
        <f>GD126-FY126</f>
        <v>-400</v>
      </c>
      <c r="GD126" s="699">
        <v>-500</v>
      </c>
      <c r="GE126" s="510"/>
      <c r="GF126" s="510"/>
      <c r="GG126" s="510"/>
      <c r="GH126" s="713"/>
      <c r="GI126" s="713"/>
      <c r="GJ126" s="715"/>
      <c r="GK126" s="713"/>
      <c r="GL126" s="713">
        <v>-200</v>
      </c>
      <c r="GM126" s="713"/>
      <c r="GN126" s="713"/>
      <c r="GO126" s="713">
        <f>GP126-GL126</f>
        <v>0</v>
      </c>
      <c r="GP126" s="713">
        <v>-200</v>
      </c>
      <c r="GQ126" s="713"/>
      <c r="GR126" s="510">
        <v>0</v>
      </c>
      <c r="GS126" s="510">
        <f>GP126+GR126</f>
        <v>-200</v>
      </c>
      <c r="GT126" s="510">
        <f>GU126-GR126</f>
        <v>100</v>
      </c>
      <c r="GU126" s="510">
        <f>GV126-GP126</f>
        <v>100</v>
      </c>
      <c r="GV126" s="699">
        <v>-100</v>
      </c>
      <c r="GW126" s="510"/>
      <c r="GX126" s="713"/>
      <c r="GY126" s="713"/>
      <c r="GZ126" s="713"/>
      <c r="HA126" s="715"/>
      <c r="HB126" s="713"/>
      <c r="HC126" s="713"/>
      <c r="HD126" s="713">
        <v>-100</v>
      </c>
      <c r="HE126" s="713">
        <v>-100</v>
      </c>
      <c r="HF126" s="713">
        <f>HI126-HD126</f>
        <v>0</v>
      </c>
      <c r="HG126" s="713">
        <f>HL126-HE126</f>
        <v>0</v>
      </c>
      <c r="HH126" s="713">
        <f t="shared" si="333"/>
        <v>0</v>
      </c>
      <c r="HI126" s="713">
        <v>-100</v>
      </c>
      <c r="HJ126" s="713"/>
      <c r="HK126" s="713"/>
      <c r="HL126" s="713">
        <v>-100</v>
      </c>
      <c r="HM126" s="713">
        <v>-100</v>
      </c>
      <c r="HN126" s="510">
        <f>HP126-HI126</f>
        <v>-100</v>
      </c>
      <c r="HO126" s="510">
        <f>HQ126-HM126</f>
        <v>-100</v>
      </c>
      <c r="HP126" s="510">
        <v>-200</v>
      </c>
      <c r="HQ126" s="510">
        <v>-200</v>
      </c>
      <c r="HR126" s="510">
        <f>HT126-HN126</f>
        <v>-100</v>
      </c>
      <c r="HS126" s="510"/>
      <c r="HT126" s="510">
        <f>HV126-HI126</f>
        <v>-200</v>
      </c>
      <c r="HU126" s="510"/>
      <c r="HV126" s="510">
        <v>-300</v>
      </c>
      <c r="HW126" s="713"/>
      <c r="HX126" s="713"/>
      <c r="HY126" s="713"/>
      <c r="HZ126" s="510"/>
      <c r="IA126" s="713"/>
      <c r="IB126" s="713"/>
      <c r="IC126" s="715"/>
      <c r="ID126" s="713"/>
      <c r="IE126" s="784">
        <v>50</v>
      </c>
      <c r="IF126" s="713">
        <f>IG126-IE126</f>
        <v>0</v>
      </c>
      <c r="IG126" s="1134">
        <v>50</v>
      </c>
      <c r="IH126" s="1137"/>
      <c r="II126" s="713"/>
      <c r="IJ126" s="1135">
        <f>IG126+IH126</f>
        <v>50</v>
      </c>
      <c r="IK126" s="713">
        <f>IP126-IL126</f>
        <v>0</v>
      </c>
      <c r="IL126" s="713"/>
      <c r="IM126" s="713">
        <f>IO126-IH126</f>
        <v>-50</v>
      </c>
      <c r="IN126" s="713"/>
      <c r="IO126" s="713">
        <f>IR126-IG126</f>
        <v>-50</v>
      </c>
      <c r="IP126" s="517"/>
      <c r="IQ126" s="713"/>
      <c r="IR126" s="517">
        <v>0</v>
      </c>
      <c r="IS126" s="1285"/>
      <c r="IT126" s="713"/>
      <c r="IU126" s="603">
        <v>-150</v>
      </c>
      <c r="IV126" s="713">
        <f t="shared" si="310"/>
        <v>-150</v>
      </c>
      <c r="IW126" s="713"/>
      <c r="IX126" s="713">
        <v>-300</v>
      </c>
      <c r="IY126" s="713"/>
      <c r="IZ126" s="713">
        <v>-200</v>
      </c>
      <c r="JA126" s="1624">
        <f t="shared" si="339"/>
        <v>-500</v>
      </c>
      <c r="JB126" s="713">
        <f t="shared" si="340"/>
        <v>-300</v>
      </c>
      <c r="JC126" s="713">
        <f t="shared" si="341"/>
        <v>-500</v>
      </c>
      <c r="JD126" s="1624">
        <v>-800</v>
      </c>
      <c r="JE126" s="713"/>
      <c r="JF126" s="713"/>
      <c r="JG126" s="713"/>
      <c r="JH126" s="517"/>
      <c r="JI126" s="1285"/>
      <c r="JJ126" s="740">
        <v>-200</v>
      </c>
      <c r="JK126" s="733">
        <v>-100</v>
      </c>
      <c r="JL126" s="683">
        <v>-100</v>
      </c>
      <c r="JM126" s="606">
        <f t="shared" si="342"/>
        <v>-200</v>
      </c>
      <c r="JN126" s="790">
        <f t="shared" si="343"/>
        <v>300</v>
      </c>
      <c r="JO126" s="606"/>
      <c r="JP126" s="606">
        <v>-300</v>
      </c>
      <c r="JQ126" s="606"/>
      <c r="JR126" s="606"/>
      <c r="JS126" s="606"/>
      <c r="JT126" s="733">
        <v>-400</v>
      </c>
      <c r="JU126" s="733">
        <f>+JX126-SUM(JL126:JN126)</f>
        <v>-300</v>
      </c>
      <c r="JV126" s="733">
        <f>+JL126+JK126</f>
        <v>-200</v>
      </c>
      <c r="JW126" s="733">
        <f>+JN126+JU126</f>
        <v>0</v>
      </c>
      <c r="JX126" s="733">
        <f>+JX123-JX125</f>
        <v>-300</v>
      </c>
      <c r="JY126" s="733">
        <f t="shared" si="344"/>
        <v>-700</v>
      </c>
      <c r="JZ126" s="1125"/>
      <c r="KA126" s="1126"/>
      <c r="KB126" s="1125">
        <f>+KC126-JL126</f>
        <v>-200</v>
      </c>
      <c r="KC126" s="1125">
        <v>-300</v>
      </c>
      <c r="KD126" s="1125">
        <f t="shared" si="329"/>
        <v>-600</v>
      </c>
      <c r="KE126" s="1125">
        <f>+KG126-JP126</f>
        <v>300</v>
      </c>
      <c r="KF126" s="1125"/>
      <c r="KG126" s="1125"/>
      <c r="KH126" s="1649">
        <v>-900</v>
      </c>
      <c r="KI126" s="1126"/>
      <c r="KJ126" s="1125"/>
      <c r="KK126" s="713"/>
      <c r="KL126" s="733">
        <f t="shared" si="315"/>
        <v>-400</v>
      </c>
      <c r="KM126" s="1125">
        <v>-700</v>
      </c>
      <c r="KN126" s="1125"/>
      <c r="KO126" s="1125">
        <v>-200</v>
      </c>
      <c r="KP126" s="733">
        <v>-300</v>
      </c>
      <c r="KQ126" s="732">
        <v>-500</v>
      </c>
      <c r="KR126" s="733">
        <v>0</v>
      </c>
      <c r="KS126" s="732">
        <v>50</v>
      </c>
      <c r="KT126" s="733">
        <f>KU126-IE126</f>
        <v>-150</v>
      </c>
      <c r="KU126" s="733">
        <v>-100</v>
      </c>
      <c r="KV126" s="733">
        <f t="shared" si="316"/>
        <v>-100</v>
      </c>
      <c r="KW126" s="732">
        <v>-200</v>
      </c>
      <c r="KX126" s="733">
        <f t="shared" si="317"/>
        <v>100</v>
      </c>
      <c r="KY126" s="733">
        <f t="shared" si="318"/>
        <v>0</v>
      </c>
      <c r="KZ126" s="732">
        <v>-100</v>
      </c>
      <c r="LA126" s="733">
        <v>-200</v>
      </c>
      <c r="LB126" s="733">
        <f t="shared" si="319"/>
        <v>-200</v>
      </c>
      <c r="LC126" s="732">
        <v>-400</v>
      </c>
      <c r="LD126" s="732">
        <f t="shared" si="338"/>
        <v>-600</v>
      </c>
      <c r="LE126" s="733">
        <v>-200</v>
      </c>
      <c r="LF126" s="733">
        <v>-200</v>
      </c>
      <c r="LG126" s="732">
        <v>-400</v>
      </c>
    </row>
    <row r="127" spans="1:319" s="532" customFormat="1">
      <c r="A127" s="520"/>
      <c r="B127" s="521" t="s">
        <v>1032</v>
      </c>
      <c r="C127" s="522" t="s">
        <v>430</v>
      </c>
      <c r="D127" s="523"/>
      <c r="E127" s="520"/>
      <c r="F127" s="520"/>
      <c r="G127" s="522"/>
      <c r="H127" s="520"/>
      <c r="I127" s="520"/>
      <c r="J127" s="522"/>
      <c r="K127" s="524"/>
      <c r="L127" s="524"/>
      <c r="M127" s="524"/>
      <c r="N127" s="524"/>
      <c r="O127" s="524"/>
      <c r="P127" s="524"/>
      <c r="Q127" s="524"/>
      <c r="R127" s="524"/>
      <c r="S127" s="525"/>
      <c r="T127" s="524">
        <v>1400</v>
      </c>
      <c r="U127" s="524">
        <f>+Y127-T127</f>
        <v>1199</v>
      </c>
      <c r="V127" s="524">
        <f>+X127-Y127</f>
        <v>870</v>
      </c>
      <c r="W127" s="524">
        <f>+Z127-V127</f>
        <v>700</v>
      </c>
      <c r="X127" s="524">
        <v>3469</v>
      </c>
      <c r="Y127" s="524">
        <v>2599</v>
      </c>
      <c r="Z127" s="524">
        <f>+AA127-Y127</f>
        <v>1570</v>
      </c>
      <c r="AA127" s="524">
        <v>4169</v>
      </c>
      <c r="AB127" s="525"/>
      <c r="AC127" s="524">
        <v>1301</v>
      </c>
      <c r="AD127" s="524">
        <f>+AH127-AC127</f>
        <v>1230</v>
      </c>
      <c r="AE127" s="524">
        <f>+AG127-AH127</f>
        <v>862</v>
      </c>
      <c r="AF127" s="524">
        <f>+AI127-AE127</f>
        <v>894</v>
      </c>
      <c r="AG127" s="524">
        <v>3393</v>
      </c>
      <c r="AH127" s="524">
        <v>2531</v>
      </c>
      <c r="AI127" s="524">
        <f>+AJ127-AH127</f>
        <v>1756</v>
      </c>
      <c r="AJ127" s="524">
        <v>4287</v>
      </c>
      <c r="AK127" s="523"/>
      <c r="AL127" s="524">
        <v>1088</v>
      </c>
      <c r="AM127" s="524">
        <f>+AQ127-AL127</f>
        <v>1007</v>
      </c>
      <c r="AN127" s="524">
        <f>+AP127-AQ127</f>
        <v>853</v>
      </c>
      <c r="AO127" s="524">
        <f>+AR127-AN127</f>
        <v>659</v>
      </c>
      <c r="AP127" s="524">
        <v>2948</v>
      </c>
      <c r="AQ127" s="524">
        <v>2095</v>
      </c>
      <c r="AR127" s="524">
        <f t="shared" si="292"/>
        <v>1512</v>
      </c>
      <c r="AS127" s="524">
        <v>3607</v>
      </c>
      <c r="AT127" s="523"/>
      <c r="AU127" s="524">
        <v>834</v>
      </c>
      <c r="AV127" s="524">
        <f>+BB127-AU127</f>
        <v>1246</v>
      </c>
      <c r="AW127" s="524">
        <f>+BA127-BB127</f>
        <v>751</v>
      </c>
      <c r="AX127" s="524">
        <v>920</v>
      </c>
      <c r="AY127" s="524">
        <f t="shared" si="293"/>
        <v>736</v>
      </c>
      <c r="AZ127" s="524">
        <v>3000</v>
      </c>
      <c r="BA127" s="524">
        <v>2831</v>
      </c>
      <c r="BB127" s="526">
        <v>2080</v>
      </c>
      <c r="BC127" s="526">
        <f t="shared" si="281"/>
        <v>1487</v>
      </c>
      <c r="BD127" s="524">
        <v>3500</v>
      </c>
      <c r="BE127" s="524">
        <v>3567</v>
      </c>
      <c r="BF127" s="523"/>
      <c r="BG127" s="524">
        <f>+BH127-AW127</f>
        <v>-2831</v>
      </c>
      <c r="BH127" s="524">
        <f t="shared" si="294"/>
        <v>-2080</v>
      </c>
      <c r="BI127" s="524"/>
      <c r="BJ127" s="523"/>
      <c r="BK127" s="520">
        <v>2000</v>
      </c>
      <c r="BL127" s="520">
        <v>1660</v>
      </c>
      <c r="BM127" s="520">
        <v>3660</v>
      </c>
      <c r="BN127" s="520"/>
      <c r="BO127" s="523"/>
      <c r="BP127" s="524">
        <v>927</v>
      </c>
      <c r="BQ127" s="524">
        <v>800</v>
      </c>
      <c r="BR127" s="524">
        <f>+BY127-BP127</f>
        <v>837</v>
      </c>
      <c r="BS127" s="524">
        <v>800</v>
      </c>
      <c r="BT127" s="526">
        <f t="shared" ref="BT127" si="345">+BX127-BY127</f>
        <v>876</v>
      </c>
      <c r="BU127" s="526">
        <v>760</v>
      </c>
      <c r="BV127" s="524">
        <f>CC127-BT127</f>
        <v>704</v>
      </c>
      <c r="BW127" s="524">
        <v>2564</v>
      </c>
      <c r="BX127" s="524">
        <v>2640</v>
      </c>
      <c r="BY127" s="524">
        <v>1764</v>
      </c>
      <c r="BZ127" s="524">
        <v>2027</v>
      </c>
      <c r="CA127" s="524">
        <v>1827</v>
      </c>
      <c r="CB127" s="524">
        <v>1636</v>
      </c>
      <c r="CC127" s="524">
        <f>CE127-BY127</f>
        <v>1580</v>
      </c>
      <c r="CD127" s="524">
        <v>3400</v>
      </c>
      <c r="CE127" s="524">
        <v>3344</v>
      </c>
      <c r="CF127" s="523"/>
      <c r="CG127" s="527">
        <v>870</v>
      </c>
      <c r="CH127" s="520">
        <v>1100</v>
      </c>
      <c r="CI127" s="520">
        <v>1027</v>
      </c>
      <c r="CJ127" s="520">
        <f>CR127-CG127</f>
        <v>1035</v>
      </c>
      <c r="CK127" s="520">
        <v>1000</v>
      </c>
      <c r="CL127" s="528">
        <f>CP127-CR127</f>
        <v>920</v>
      </c>
      <c r="CM127" s="520">
        <v>800</v>
      </c>
      <c r="CN127" s="520">
        <v>875</v>
      </c>
      <c r="CO127" s="520">
        <f>CW127-CP127</f>
        <v>710</v>
      </c>
      <c r="CP127" s="542">
        <v>2825</v>
      </c>
      <c r="CQ127" s="542">
        <v>2705</v>
      </c>
      <c r="CR127" s="520">
        <v>1905</v>
      </c>
      <c r="CS127" s="520">
        <v>1870</v>
      </c>
      <c r="CT127" s="520">
        <v>1795</v>
      </c>
      <c r="CU127" s="520">
        <f t="shared" si="276"/>
        <v>1630</v>
      </c>
      <c r="CV127" s="520">
        <v>3700</v>
      </c>
      <c r="CW127" s="522">
        <v>3535</v>
      </c>
      <c r="CX127" s="520"/>
      <c r="CY127" s="520">
        <v>1107</v>
      </c>
      <c r="CZ127" s="520">
        <f t="shared" si="287"/>
        <v>934</v>
      </c>
      <c r="DA127" s="520" t="e">
        <f>+CY127+#REF!</f>
        <v>#REF!</v>
      </c>
      <c r="DB127" s="520">
        <v>2041</v>
      </c>
      <c r="DC127" s="520">
        <f t="shared" si="298"/>
        <v>878</v>
      </c>
      <c r="DD127" s="520">
        <f>DD129+CL127</f>
        <v>820</v>
      </c>
      <c r="DE127" s="520">
        <f t="shared" si="299"/>
        <v>934</v>
      </c>
      <c r="DF127" s="542">
        <f>DJ127-DC127</f>
        <v>881</v>
      </c>
      <c r="DG127" s="542">
        <v>2919</v>
      </c>
      <c r="DH127" s="542">
        <f>+DD127+DB127</f>
        <v>2861</v>
      </c>
      <c r="DI127" s="520">
        <f t="shared" si="224"/>
        <v>1812</v>
      </c>
      <c r="DJ127" s="520">
        <f>DL127-DB127</f>
        <v>1759</v>
      </c>
      <c r="DK127" s="520">
        <v>3853</v>
      </c>
      <c r="DL127" s="529">
        <v>3800</v>
      </c>
      <c r="DM127" s="529"/>
      <c r="DN127" s="524"/>
      <c r="DO127" s="524"/>
      <c r="DP127" s="530"/>
      <c r="DQ127" s="1138">
        <f>+DR127-DC127</f>
        <v>881</v>
      </c>
      <c r="DR127" s="530">
        <f t="shared" ref="DR127:DR159" si="346">+DS127-DB127</f>
        <v>1759</v>
      </c>
      <c r="DS127" s="531">
        <v>3800</v>
      </c>
      <c r="DT127" s="529"/>
      <c r="DU127" s="524"/>
      <c r="DV127" s="524">
        <f>DW127-CY127</f>
        <v>893</v>
      </c>
      <c r="DW127" s="528">
        <v>2000</v>
      </c>
      <c r="DX127" s="530">
        <f>DY127-DB127</f>
        <v>1659</v>
      </c>
      <c r="DY127" s="530">
        <v>3700</v>
      </c>
      <c r="DZ127" s="523"/>
      <c r="EB127" s="528">
        <f>ED127-CP127</f>
        <v>975</v>
      </c>
      <c r="EC127" s="530">
        <f>ED127-CR127</f>
        <v>1895</v>
      </c>
      <c r="ED127" s="529">
        <v>3800</v>
      </c>
      <c r="EE127" s="523"/>
      <c r="EF127" s="520"/>
      <c r="EG127" s="527">
        <v>1163</v>
      </c>
      <c r="EH127" s="520">
        <v>1100</v>
      </c>
      <c r="EI127" s="520">
        <f t="shared" si="306"/>
        <v>1324</v>
      </c>
      <c r="EJ127" s="520">
        <v>1000</v>
      </c>
      <c r="EK127" s="520">
        <v>2487</v>
      </c>
      <c r="EL127" s="520">
        <f>+EG127+EJ127</f>
        <v>2163</v>
      </c>
      <c r="EM127" s="520">
        <f t="shared" si="307"/>
        <v>1320</v>
      </c>
      <c r="EN127" s="520">
        <v>1000</v>
      </c>
      <c r="EO127" s="520">
        <v>3807</v>
      </c>
      <c r="EP127" s="520">
        <f>+EN127+EK127</f>
        <v>3487</v>
      </c>
      <c r="EQ127" s="520">
        <f>+EU127-EO127</f>
        <v>1136</v>
      </c>
      <c r="ER127" s="520"/>
      <c r="ES127" s="520">
        <f>+EU127-EK127</f>
        <v>2456</v>
      </c>
      <c r="ET127" s="520"/>
      <c r="EU127" s="522">
        <v>4943</v>
      </c>
      <c r="EV127" s="533"/>
      <c r="EW127" s="520">
        <v>1300</v>
      </c>
      <c r="EX127" s="520">
        <v>1482</v>
      </c>
      <c r="EY127" s="520">
        <v>1518</v>
      </c>
      <c r="EZ127" s="520">
        <f>+FB127-EX127</f>
        <v>1399</v>
      </c>
      <c r="FA127" s="520">
        <v>3000</v>
      </c>
      <c r="FB127" s="520">
        <v>2881</v>
      </c>
      <c r="FC127" s="520">
        <f>+FE127-FB127</f>
        <v>1245</v>
      </c>
      <c r="FD127" s="510">
        <v>1119</v>
      </c>
      <c r="FE127" s="520">
        <v>4126</v>
      </c>
      <c r="FF127" s="757">
        <v>4000</v>
      </c>
      <c r="FG127" s="757">
        <f>FK127-FE127</f>
        <v>1145</v>
      </c>
      <c r="FH127" s="520">
        <f>+FL127-FE127</f>
        <v>1145</v>
      </c>
      <c r="FI127" s="520">
        <f t="shared" si="308"/>
        <v>2390</v>
      </c>
      <c r="FJ127" s="520">
        <f>+FL127-FB127</f>
        <v>2390</v>
      </c>
      <c r="FK127" s="522">
        <v>5271</v>
      </c>
      <c r="FL127" s="529">
        <f>Segments!N40</f>
        <v>5271</v>
      </c>
      <c r="FM127" s="524">
        <f t="shared" si="278"/>
        <v>1218</v>
      </c>
      <c r="FN127" s="530">
        <v>2700</v>
      </c>
      <c r="FO127" s="530">
        <f>+FQ127-FE127</f>
        <v>1474</v>
      </c>
      <c r="FP127" s="530">
        <f t="shared" si="302"/>
        <v>2719</v>
      </c>
      <c r="FQ127" s="531">
        <v>5600</v>
      </c>
      <c r="FR127" s="531"/>
      <c r="FS127" s="520">
        <v>1352</v>
      </c>
      <c r="FT127" s="530">
        <v>1500</v>
      </c>
      <c r="FU127" s="530">
        <v>1400</v>
      </c>
      <c r="FV127" s="520">
        <f>+FY127-FS127</f>
        <v>1225</v>
      </c>
      <c r="FW127" s="530">
        <f>FU127+FS127</f>
        <v>2752</v>
      </c>
      <c r="FX127" s="530"/>
      <c r="FY127" s="520">
        <v>2577</v>
      </c>
      <c r="FZ127" s="520">
        <f>+GA127-FY127</f>
        <v>1090</v>
      </c>
      <c r="GA127" s="520">
        <v>3667</v>
      </c>
      <c r="GB127" s="520">
        <f>+GD127-GA127</f>
        <v>876</v>
      </c>
      <c r="GC127" s="520">
        <f>+GD127-FY127</f>
        <v>1966</v>
      </c>
      <c r="GD127" s="522">
        <v>4543</v>
      </c>
      <c r="GE127" s="520">
        <v>4800</v>
      </c>
      <c r="GF127" s="520">
        <v>1200</v>
      </c>
      <c r="GG127" s="520">
        <f>GH127-FZ127</f>
        <v>876</v>
      </c>
      <c r="GH127" s="530">
        <f>GI127-FY127</f>
        <v>1966</v>
      </c>
      <c r="GI127" s="530">
        <f>Segments!O40</f>
        <v>4543</v>
      </c>
      <c r="GJ127" s="534"/>
      <c r="GK127" s="530">
        <v>1300</v>
      </c>
      <c r="GL127" s="530">
        <v>1443</v>
      </c>
      <c r="GM127" s="530">
        <v>1500</v>
      </c>
      <c r="GN127" s="530">
        <f>GL127+GM127</f>
        <v>2943</v>
      </c>
      <c r="GO127" s="530">
        <f>+GP127-GL127</f>
        <v>1434</v>
      </c>
      <c r="GP127" s="530">
        <v>2877</v>
      </c>
      <c r="GQ127" s="530">
        <v>1300</v>
      </c>
      <c r="GR127" s="520">
        <f>+GS127-GP127</f>
        <v>1249</v>
      </c>
      <c r="GS127" s="520">
        <v>4126</v>
      </c>
      <c r="GT127" s="520">
        <f>+GU127-GR127</f>
        <v>1461</v>
      </c>
      <c r="GU127" s="520">
        <f>+GV127-GP127</f>
        <v>2710</v>
      </c>
      <c r="GV127" s="522">
        <v>5587</v>
      </c>
      <c r="GW127" s="520">
        <v>5500</v>
      </c>
      <c r="GX127" s="530">
        <f>GY127-GR127</f>
        <v>1461</v>
      </c>
      <c r="GY127" s="530">
        <f>GZ127-GP127</f>
        <v>2710</v>
      </c>
      <c r="GZ127" s="530">
        <f>Segments!P40</f>
        <v>5587</v>
      </c>
      <c r="HA127" s="534"/>
      <c r="HB127" s="530"/>
      <c r="HC127" s="530"/>
      <c r="HD127" s="530">
        <v>2009</v>
      </c>
      <c r="HE127" s="530">
        <v>2009</v>
      </c>
      <c r="HF127" s="530">
        <f>+HI127-HD127</f>
        <v>1754</v>
      </c>
      <c r="HG127" s="530">
        <f>+HL127-HE127</f>
        <v>1754</v>
      </c>
      <c r="HH127" s="530">
        <f t="shared" si="333"/>
        <v>1754</v>
      </c>
      <c r="HI127" s="530">
        <v>3763</v>
      </c>
      <c r="HJ127" s="530">
        <v>2000</v>
      </c>
      <c r="HK127" s="530">
        <f>HD127+HI127</f>
        <v>5772</v>
      </c>
      <c r="HL127" s="530">
        <v>3763</v>
      </c>
      <c r="HM127" s="530">
        <v>3763</v>
      </c>
      <c r="HN127" s="520">
        <f>+HP127-HI127</f>
        <v>1538</v>
      </c>
      <c r="HO127" s="520">
        <f>+HQ127-HM127</f>
        <v>1538</v>
      </c>
      <c r="HP127" s="520">
        <v>5301</v>
      </c>
      <c r="HQ127" s="535">
        <v>5301</v>
      </c>
      <c r="HR127" s="520">
        <f>+HT127-HN127</f>
        <v>1523</v>
      </c>
      <c r="HS127" s="520">
        <f>HU127-HO127</f>
        <v>1523</v>
      </c>
      <c r="HT127" s="520">
        <f>+HV127-HI127</f>
        <v>3061</v>
      </c>
      <c r="HU127" s="520">
        <f>HZ127-HM127</f>
        <v>3061</v>
      </c>
      <c r="HV127" s="520">
        <v>6824</v>
      </c>
      <c r="HW127" s="530">
        <v>1500</v>
      </c>
      <c r="HX127" s="530">
        <f>HY127-HN127</f>
        <v>1523</v>
      </c>
      <c r="HY127" s="530">
        <f>IB127-HI127</f>
        <v>3061</v>
      </c>
      <c r="HZ127" s="520">
        <v>6824</v>
      </c>
      <c r="IA127" s="530">
        <v>6700</v>
      </c>
      <c r="IB127" s="530">
        <f>Segments!Q40</f>
        <v>6824</v>
      </c>
      <c r="IC127" s="534"/>
      <c r="ID127" s="530">
        <v>1800</v>
      </c>
      <c r="IE127" s="536">
        <v>1843</v>
      </c>
      <c r="IF127" s="530">
        <f>IG127-IE127</f>
        <v>1719</v>
      </c>
      <c r="IG127" s="537">
        <v>3562</v>
      </c>
      <c r="IH127" s="530">
        <f>+IJ127-IG127</f>
        <v>1495</v>
      </c>
      <c r="II127" s="538">
        <v>1600</v>
      </c>
      <c r="IJ127" s="538">
        <v>5057</v>
      </c>
      <c r="IK127" s="530">
        <f>+IP127-IL127</f>
        <v>5057</v>
      </c>
      <c r="IL127" s="981">
        <f>IN127-IH127</f>
        <v>1315</v>
      </c>
      <c r="IM127" s="981">
        <f>+IO127-IH127</f>
        <v>1315</v>
      </c>
      <c r="IN127" s="530">
        <f>IP127-IG127</f>
        <v>2810</v>
      </c>
      <c r="IO127" s="530">
        <f>+IR127-IG127</f>
        <v>2810</v>
      </c>
      <c r="IP127" s="531">
        <f>Segments!S40</f>
        <v>6372</v>
      </c>
      <c r="IQ127" s="530">
        <v>6400</v>
      </c>
      <c r="IR127" s="539">
        <v>6372</v>
      </c>
      <c r="IS127" s="1283"/>
      <c r="IT127" s="540">
        <v>2000</v>
      </c>
      <c r="IU127" s="540">
        <v>1800</v>
      </c>
      <c r="IV127" s="540">
        <f t="shared" si="310"/>
        <v>1393</v>
      </c>
      <c r="IW127" s="540">
        <v>1900</v>
      </c>
      <c r="IX127" s="1139">
        <v>3193</v>
      </c>
      <c r="IY127" s="981">
        <v>3700</v>
      </c>
      <c r="IZ127" s="991">
        <f>JA127-IX127</f>
        <v>1014</v>
      </c>
      <c r="JA127" s="981">
        <v>4207</v>
      </c>
      <c r="JB127" s="981">
        <f>+JC127-IZ127</f>
        <v>853</v>
      </c>
      <c r="JC127" s="981">
        <f>+JD127-IX127</f>
        <v>1867</v>
      </c>
      <c r="JD127" s="981">
        <v>5060</v>
      </c>
      <c r="JE127" s="981">
        <v>4393</v>
      </c>
      <c r="JF127" s="981">
        <f>JG127-IZ127</f>
        <v>853</v>
      </c>
      <c r="JG127" s="981">
        <f>JH127-IX127</f>
        <v>1867</v>
      </c>
      <c r="JH127" s="531">
        <f>Segments!T40</f>
        <v>5060</v>
      </c>
      <c r="JI127" s="1283"/>
      <c r="JJ127" s="1669">
        <f>+ROUND((IU127+JJ130+JJ134+JJ137+JJ139)*2,-2)/2</f>
        <v>1600</v>
      </c>
      <c r="JK127" s="1138">
        <f>+ROUND((IV127+JK130+JK134+JK137+JK139)*2,-2)/2</f>
        <v>1500</v>
      </c>
      <c r="JL127" s="2271">
        <v>1959</v>
      </c>
      <c r="JM127" s="1138">
        <f t="shared" si="342"/>
        <v>1914</v>
      </c>
      <c r="JN127" s="1138">
        <f t="shared" si="343"/>
        <v>1726</v>
      </c>
      <c r="JO127" s="1138"/>
      <c r="JP127" s="1138">
        <v>3873</v>
      </c>
      <c r="JQ127" s="1138"/>
      <c r="JR127" s="1138"/>
      <c r="JS127" s="1138">
        <v>5599</v>
      </c>
      <c r="JT127" s="1138">
        <f>+ROUND((IZ127+JT130+JT134+JT137+JT139)*2,-2)/2</f>
        <v>1450</v>
      </c>
      <c r="JU127" s="981">
        <f>+JW127-JN127</f>
        <v>1501</v>
      </c>
      <c r="JV127" s="1138">
        <f>+JL127+JK127</f>
        <v>3459</v>
      </c>
      <c r="JW127" s="1138">
        <f>+JX127-JP127</f>
        <v>3227</v>
      </c>
      <c r="JX127" s="1138">
        <f>+Driver!AL222</f>
        <v>7100</v>
      </c>
      <c r="JY127" s="1138">
        <f t="shared" si="344"/>
        <v>5323</v>
      </c>
      <c r="JZ127" s="899">
        <f>+JX127-KG127</f>
        <v>600</v>
      </c>
      <c r="KA127" s="1271"/>
      <c r="KB127" s="540">
        <f>+KC127-JL127</f>
        <v>1541</v>
      </c>
      <c r="KC127" s="540">
        <v>3500</v>
      </c>
      <c r="KD127" s="540">
        <f t="shared" ref="KD127" si="347">+KH127-KC127</f>
        <v>3000</v>
      </c>
      <c r="KE127" s="540">
        <f>+KG127-JP127</f>
        <v>2627</v>
      </c>
      <c r="KF127" s="540"/>
      <c r="KG127" s="540">
        <v>6500</v>
      </c>
      <c r="KH127" s="540">
        <v>6500</v>
      </c>
      <c r="KI127" s="1271"/>
      <c r="KJ127" s="899">
        <f>+KH130+KH134+KH137+KH139</f>
        <v>1400</v>
      </c>
      <c r="KK127" s="530"/>
      <c r="KL127" s="530">
        <f t="shared" si="315"/>
        <v>2607</v>
      </c>
      <c r="KM127" s="540">
        <v>5800</v>
      </c>
      <c r="KN127" s="899"/>
      <c r="KO127" s="540">
        <v>4000</v>
      </c>
      <c r="KP127" s="530">
        <v>2600</v>
      </c>
      <c r="KQ127" s="531">
        <v>6600</v>
      </c>
      <c r="KR127" s="530">
        <v>2838</v>
      </c>
      <c r="KS127" s="531">
        <v>6400</v>
      </c>
      <c r="KT127" s="530">
        <f>KU127-IE127</f>
        <v>1757</v>
      </c>
      <c r="KU127" s="530">
        <v>3600</v>
      </c>
      <c r="KV127" s="530">
        <f t="shared" si="316"/>
        <v>2500</v>
      </c>
      <c r="KW127" s="531">
        <v>6100</v>
      </c>
      <c r="KX127" s="530">
        <f t="shared" si="317"/>
        <v>1099</v>
      </c>
      <c r="KY127" s="530">
        <f t="shared" si="318"/>
        <v>2637</v>
      </c>
      <c r="KZ127" s="531">
        <v>6400</v>
      </c>
      <c r="LA127" s="530">
        <v>3000</v>
      </c>
      <c r="LB127" s="530">
        <f t="shared" si="319"/>
        <v>2700</v>
      </c>
      <c r="LC127" s="531">
        <v>5700</v>
      </c>
      <c r="LD127" s="531"/>
      <c r="LE127" s="530">
        <f>LF127-GR127</f>
        <v>1474</v>
      </c>
      <c r="LF127" s="530">
        <f>LG127-GP127</f>
        <v>2723</v>
      </c>
      <c r="LG127" s="531">
        <v>5600</v>
      </c>
    </row>
    <row r="128" spans="1:319" s="1019" customFormat="1" ht="12">
      <c r="A128" s="1007"/>
      <c r="B128" s="863" t="s">
        <v>990</v>
      </c>
      <c r="C128" s="1008" t="s">
        <v>944</v>
      </c>
      <c r="D128" s="1009"/>
      <c r="E128" s="1007"/>
      <c r="F128" s="1007"/>
      <c r="G128" s="1008"/>
      <c r="H128" s="1007"/>
      <c r="I128" s="1007"/>
      <c r="J128" s="1008"/>
      <c r="K128" s="1010"/>
      <c r="L128" s="1010"/>
      <c r="M128" s="1010"/>
      <c r="N128" s="1010"/>
      <c r="O128" s="1010"/>
      <c r="P128" s="1010"/>
      <c r="Q128" s="1010"/>
      <c r="R128" s="1010"/>
      <c r="S128" s="1011"/>
      <c r="T128" s="1678">
        <f t="shared" ref="T128:AA128" si="348">+T127/T41</f>
        <v>8.1871345029239762E-2</v>
      </c>
      <c r="U128" s="1678">
        <f t="shared" si="348"/>
        <v>7.0186735350933671E-2</v>
      </c>
      <c r="V128" s="1678">
        <f t="shared" si="348"/>
        <v>5.5091185410334344E-2</v>
      </c>
      <c r="W128" s="1678">
        <f t="shared" si="348"/>
        <v>4.585052728106373E-2</v>
      </c>
      <c r="X128" s="1678">
        <f t="shared" si="348"/>
        <v>6.9414707353676844E-2</v>
      </c>
      <c r="Y128" s="1678">
        <f t="shared" si="348"/>
        <v>7.6031945704004913E-2</v>
      </c>
      <c r="Z128" s="1678">
        <f t="shared" si="348"/>
        <v>5.0548955214269616E-2</v>
      </c>
      <c r="AA128" s="1678">
        <f t="shared" si="348"/>
        <v>6.3900554857300507E-2</v>
      </c>
      <c r="AB128" s="1011"/>
      <c r="AC128" s="1678">
        <f t="shared" ref="AC128:AJ128" si="349">+AC127/AC41</f>
        <v>7.8767330629048865E-2</v>
      </c>
      <c r="AD128" s="1678">
        <f t="shared" si="349"/>
        <v>7.1980337078651688E-2</v>
      </c>
      <c r="AE128" s="1678">
        <f t="shared" si="349"/>
        <v>5.6788984781606169E-2</v>
      </c>
      <c r="AF128" s="1678">
        <f t="shared" si="349"/>
        <v>6.1258051253939974E-2</v>
      </c>
      <c r="AG128" s="1678">
        <f t="shared" si="349"/>
        <v>6.9551492292554931E-2</v>
      </c>
      <c r="AH128" s="1678">
        <f t="shared" si="349"/>
        <v>7.5316173188513608E-2</v>
      </c>
      <c r="AI128" s="1678">
        <f t="shared" si="349"/>
        <v>5.8979612400497095E-2</v>
      </c>
      <c r="AJ128" s="1678">
        <f t="shared" si="349"/>
        <v>6.7641768436997068E-2</v>
      </c>
      <c r="AK128" s="1009"/>
      <c r="AL128" s="1678">
        <f t="shared" ref="AL128:AS128" si="350">+AL127/AL41</f>
        <v>6.7127344521224083E-2</v>
      </c>
      <c r="AM128" s="1678">
        <f t="shared" si="350"/>
        <v>5.905465634529674E-2</v>
      </c>
      <c r="AN128" s="1678">
        <f t="shared" si="350"/>
        <v>5.6059411146161933E-2</v>
      </c>
      <c r="AO128" s="1678">
        <f t="shared" si="350"/>
        <v>4.4240064446831366E-2</v>
      </c>
      <c r="AP128" s="1678">
        <f t="shared" si="350"/>
        <v>6.0813598481722915E-2</v>
      </c>
      <c r="AQ128" s="1678">
        <f t="shared" si="350"/>
        <v>6.2988574864702343E-2</v>
      </c>
      <c r="AR128" s="1678">
        <f t="shared" si="350"/>
        <v>5.0212539851222107E-2</v>
      </c>
      <c r="AS128" s="1678">
        <f t="shared" si="350"/>
        <v>5.6917881714321786E-2</v>
      </c>
      <c r="AT128" s="1009"/>
      <c r="AU128" s="1695">
        <f>+AU127/AU41</f>
        <v>5.3002859866539562E-2</v>
      </c>
      <c r="AV128" s="1678">
        <f>+AV127/AV41</f>
        <v>7.4374738852742789E-2</v>
      </c>
      <c r="AW128" s="1678">
        <f>+AW127/AW41</f>
        <v>5.016029922522041E-2</v>
      </c>
      <c r="AX128" s="1678">
        <v>6.2533985861881455E-2</v>
      </c>
      <c r="AY128" s="1678">
        <f>+AY127/AY41</f>
        <v>5.0379902799644057E-2</v>
      </c>
      <c r="AZ128" s="1678">
        <f>+AZ127/AZ41</f>
        <v>6.3559322033898302E-2</v>
      </c>
      <c r="BA128" s="1695">
        <f>+BA127/BA41</f>
        <v>5.9650231774125581E-2</v>
      </c>
      <c r="BB128" s="1679">
        <f>+BB127/BB41</f>
        <v>6.402363949766067E-2</v>
      </c>
      <c r="BC128" s="1679">
        <f>+BC127/BC41</f>
        <v>5.0268753591832596E-2</v>
      </c>
      <c r="BD128" s="1680">
        <v>5.6000000000000001E-2</v>
      </c>
      <c r="BE128" s="1678">
        <f>+BE127/BE41</f>
        <v>5.7468301406499216E-2</v>
      </c>
      <c r="BF128" s="1009"/>
      <c r="BG128" s="1678" t="e">
        <f>+BG127/BG41</f>
        <v>#DIV/0!</v>
      </c>
      <c r="BH128" s="1678" t="e">
        <f>+BH127/BH41</f>
        <v>#DIV/0!</v>
      </c>
      <c r="BI128" s="1678"/>
      <c r="BJ128" s="1009"/>
      <c r="BK128" s="1736">
        <v>5.8823529411764705E-2</v>
      </c>
      <c r="BL128" s="1736">
        <v>5.442622950819672E-2</v>
      </c>
      <c r="BM128" s="1736">
        <v>5.674418604651163E-2</v>
      </c>
      <c r="BN128" s="1007"/>
      <c r="BO128" s="1009"/>
      <c r="BP128" s="1678">
        <f>+BP127/BP41</f>
        <v>5.7292954264524104E-2</v>
      </c>
      <c r="BQ128" s="1014"/>
      <c r="BR128" s="1678">
        <f>+BR127/BR41</f>
        <v>4.9661801352794591E-2</v>
      </c>
      <c r="BS128" s="1014"/>
      <c r="BT128" s="1678">
        <f>+BT127/BT41</f>
        <v>5.6801971209959799E-2</v>
      </c>
      <c r="BU128" s="1695">
        <f>+BU127/AX127-1</f>
        <v>-0.17391304347826086</v>
      </c>
      <c r="BV128" s="1679">
        <f>+BV127/BV41</f>
        <v>4.543694333290306E-2</v>
      </c>
      <c r="BW128" s="1014"/>
      <c r="BX128" s="1679">
        <f>+BX127/BX41</f>
        <v>5.4482417038137693E-2</v>
      </c>
      <c r="BY128" s="1679">
        <f>+BY127/BY41</f>
        <v>5.3399527759278316E-2</v>
      </c>
      <c r="BZ128" s="1014"/>
      <c r="CA128" s="1014"/>
      <c r="CB128" s="1679">
        <f>+CB127/CB41</f>
        <v>5.8709538505705879E-2</v>
      </c>
      <c r="CC128" s="1679">
        <f>+CC127/CC41</f>
        <v>5.1106223314788458E-2</v>
      </c>
      <c r="CD128" s="1679">
        <f>+CD127/CD41</f>
        <v>5.5829228243021348E-2</v>
      </c>
      <c r="CE128" s="1682">
        <f>+CE127/CE41</f>
        <v>5.2290852228303361E-2</v>
      </c>
      <c r="CF128" s="1009"/>
      <c r="CG128" s="1681">
        <f>+CG127/CG41</f>
        <v>5.0868268724785122E-2</v>
      </c>
      <c r="CH128" s="1007"/>
      <c r="CI128" s="1007"/>
      <c r="CJ128" s="1682">
        <f>+CJ127/CJ41</f>
        <v>5.921052631578947E-2</v>
      </c>
      <c r="CK128" s="1007">
        <v>5.5974618868820117E-2</v>
      </c>
      <c r="CL128" s="1682">
        <f>+CL127/CL41</f>
        <v>5.6727093353064494E-2</v>
      </c>
      <c r="CM128" s="1007"/>
      <c r="CN128" s="1682">
        <v>5.0002857306131777E-2</v>
      </c>
      <c r="CO128" s="1682">
        <f>+CO127/CO41</f>
        <v>4.4170710464103521E-2</v>
      </c>
      <c r="CP128" s="1682">
        <f>+CP127/CP41</f>
        <v>5.5609141552331647E-2</v>
      </c>
      <c r="CQ128" s="1007"/>
      <c r="CR128" s="1682">
        <f>+CR127/CR41</f>
        <v>5.5084868287887112E-2</v>
      </c>
      <c r="CS128" s="1682">
        <v>5.3477098075282017E-2</v>
      </c>
      <c r="CT128" s="1682">
        <v>5.3237239374796096E-2</v>
      </c>
      <c r="CU128" s="1682">
        <f>+CU127/CU41</f>
        <v>5.0476898302985261E-2</v>
      </c>
      <c r="CV128" s="1682">
        <v>5.4172767203513911E-2</v>
      </c>
      <c r="CW128" s="1683">
        <f>+CW127/CW41</f>
        <v>5.2859813084112146E-2</v>
      </c>
      <c r="CX128" s="704"/>
      <c r="CY128" s="704">
        <f t="shared" ref="CY128:DK128" si="351">+CY127/CY41</f>
        <v>6.2447114570993403E-2</v>
      </c>
      <c r="CZ128" s="1682">
        <f t="shared" si="351"/>
        <v>5.2047924212872666E-2</v>
      </c>
      <c r="DA128" s="1682" t="e">
        <f t="shared" si="351"/>
        <v>#REF!</v>
      </c>
      <c r="DB128" s="1682">
        <f t="shared" si="351"/>
        <v>5.7215743440233238E-2</v>
      </c>
      <c r="DC128" s="1682">
        <f t="shared" si="351"/>
        <v>5.4823602872307212E-2</v>
      </c>
      <c r="DD128" s="1682">
        <f t="shared" si="351"/>
        <v>5.0561104945122705E-2</v>
      </c>
      <c r="DE128" s="1682">
        <f t="shared" si="351"/>
        <v>5.7356914762957505E-2</v>
      </c>
      <c r="DF128" s="1682">
        <f t="shared" si="351"/>
        <v>5.0594383506575545E-2</v>
      </c>
      <c r="DG128" s="1682">
        <f t="shared" si="351"/>
        <v>5.6474548725985257E-2</v>
      </c>
      <c r="DH128" s="1682">
        <f t="shared" si="351"/>
        <v>5.513586432838697E-2</v>
      </c>
      <c r="DI128" s="1682">
        <f t="shared" si="351"/>
        <v>5.6100808074553393E-2</v>
      </c>
      <c r="DJ128" s="1682">
        <f t="shared" si="351"/>
        <v>5.2620557616369509E-2</v>
      </c>
      <c r="DK128" s="1682">
        <f t="shared" si="351"/>
        <v>5.6685939591884775E-2</v>
      </c>
      <c r="DL128" s="1686">
        <v>5.4992764109985527E-2</v>
      </c>
      <c r="DM128" s="1274"/>
      <c r="DN128" s="1670"/>
      <c r="DO128" s="1670"/>
      <c r="DP128" s="1670"/>
      <c r="DQ128" s="1670">
        <f>+DQ127/DQ41</f>
        <v>4.7332509536345567E-2</v>
      </c>
      <c r="DR128" s="1670">
        <f>+DR127/DR41</f>
        <v>5.0797042855492663E-2</v>
      </c>
      <c r="DS128" s="1686">
        <f>+DS127/DS41</f>
        <v>5.4054054054054057E-2</v>
      </c>
      <c r="DT128" s="1274"/>
      <c r="DU128" s="1670"/>
      <c r="DV128" s="1670"/>
      <c r="DW128" s="1670">
        <f>+DW127/DW41</f>
        <v>5.4644808743169397E-2</v>
      </c>
      <c r="DX128" s="1670">
        <f>+DX127/DX41</f>
        <v>4.7909206422548228E-2</v>
      </c>
      <c r="DY128" s="1670">
        <f>+DY127/DY41</f>
        <v>5.2631578947368418E-2</v>
      </c>
      <c r="DZ128" s="1020"/>
      <c r="EB128" s="1670">
        <f>+EB127/EB41</f>
        <v>5.6037703316282543E-2</v>
      </c>
      <c r="EC128" s="1670">
        <f>+EC127/EC41</f>
        <v>5.6370288841954962E-2</v>
      </c>
      <c r="ED128" s="1686">
        <f>+ED127/ED41</f>
        <v>5.5718475073313782E-2</v>
      </c>
      <c r="EE128" s="1009"/>
      <c r="EF128" s="1007"/>
      <c r="EG128" s="1681">
        <f t="shared" ref="EG128:EQ128" si="352">+EG127/EG41</f>
        <v>6.6256480373725293E-2</v>
      </c>
      <c r="EH128" s="1682">
        <f t="shared" si="352"/>
        <v>6.1377088725101336E-2</v>
      </c>
      <c r="EI128" s="1682">
        <f t="shared" si="352"/>
        <v>7.5086485566834907E-2</v>
      </c>
      <c r="EJ128" s="1682">
        <f t="shared" si="352"/>
        <v>5.5228105052471388E-2</v>
      </c>
      <c r="EK128" s="1682">
        <f t="shared" si="352"/>
        <v>7.0681521059512309E-2</v>
      </c>
      <c r="EL128" s="1682">
        <f t="shared" si="352"/>
        <v>6.0656668589377433E-2</v>
      </c>
      <c r="EM128" s="1682">
        <f t="shared" si="352"/>
        <v>8.1411126187245594E-2</v>
      </c>
      <c r="EN128" s="1682">
        <f t="shared" si="352"/>
        <v>6.003986647133696E-2</v>
      </c>
      <c r="EO128" s="1682">
        <f t="shared" si="352"/>
        <v>7.4066147859922174E-2</v>
      </c>
      <c r="EP128" s="1682">
        <f t="shared" si="352"/>
        <v>6.7262584488133076E-2</v>
      </c>
      <c r="EQ128" s="1682">
        <f t="shared" si="352"/>
        <v>7.044961240310077E-2</v>
      </c>
      <c r="ER128" s="1682"/>
      <c r="ES128" s="1682">
        <f>+ES127/ES41</f>
        <v>7.5945452858777324E-2</v>
      </c>
      <c r="ET128" s="1682"/>
      <c r="EU128" s="1683">
        <f>+EU127/EU41</f>
        <v>7.3202517586079235E-2</v>
      </c>
      <c r="EV128" s="1274"/>
      <c r="EW128" s="1682">
        <v>7.1904285440101245E-2</v>
      </c>
      <c r="EX128" s="1682">
        <f>+EX127/EX41</f>
        <v>8.3230371784791646E-2</v>
      </c>
      <c r="EY128" s="1682">
        <v>8.3455758936665889E-2</v>
      </c>
      <c r="EZ128" s="1682">
        <f>+EZ127/EZ41</f>
        <v>7.7601508764144664E-2</v>
      </c>
      <c r="FA128" s="1682">
        <v>8.3344265322801508E-2</v>
      </c>
      <c r="FB128" s="1682">
        <f>+FB127/FB41</f>
        <v>8.0398504213875094E-2</v>
      </c>
      <c r="FC128" s="1682">
        <f>+FC127/FC41</f>
        <v>7.5090470446320862E-2</v>
      </c>
      <c r="FD128" s="712">
        <v>6.6405554566494593E-2</v>
      </c>
      <c r="FE128" s="1682">
        <f>+FE127/FE41</f>
        <v>7.8719426107528523E-2</v>
      </c>
      <c r="FF128" s="712">
        <v>7.5922938217709041E-2</v>
      </c>
      <c r="FG128" s="1682">
        <f t="shared" ref="FG128:FQ128" si="353">+FG127/FG41</f>
        <v>7.0626696274364673E-2</v>
      </c>
      <c r="FH128" s="1682">
        <f t="shared" si="353"/>
        <v>7.1179907994529404E-2</v>
      </c>
      <c r="FI128" s="1682">
        <f t="shared" si="353"/>
        <v>7.2883630153696019E-2</v>
      </c>
      <c r="FJ128" s="1682">
        <f t="shared" si="353"/>
        <v>7.3164758464458454E-2</v>
      </c>
      <c r="FK128" s="1683">
        <f t="shared" si="353"/>
        <v>7.6807623932620292E-2</v>
      </c>
      <c r="FL128" s="1682">
        <f t="shared" si="353"/>
        <v>7.6948905109489055E-2</v>
      </c>
      <c r="FM128" s="1682">
        <f t="shared" si="353"/>
        <v>6.5154595057237613E-2</v>
      </c>
      <c r="FN128" s="1682">
        <f t="shared" si="353"/>
        <v>7.3972602739726029E-2</v>
      </c>
      <c r="FO128" s="1682">
        <f t="shared" si="353"/>
        <v>8.3816672353008076E-2</v>
      </c>
      <c r="FP128" s="1670">
        <f t="shared" si="353"/>
        <v>7.9582040625182926E-2</v>
      </c>
      <c r="FQ128" s="1686">
        <f t="shared" si="353"/>
        <v>0.08</v>
      </c>
      <c r="FR128" s="1686"/>
      <c r="FS128" s="1682">
        <f>+FS127/FS41</f>
        <v>7.533712247854675E-2</v>
      </c>
      <c r="FT128" s="1670"/>
      <c r="FU128" s="1670"/>
      <c r="FV128" s="1682">
        <f>+FV127/FV41</f>
        <v>6.6223375500054055E-2</v>
      </c>
      <c r="FW128" s="1670"/>
      <c r="FX128" s="1670"/>
      <c r="FY128" s="1682">
        <f t="shared" ref="FY128:GD128" si="354">+FY127/FY41</f>
        <v>7.0711228185709588E-2</v>
      </c>
      <c r="FZ128" s="1682">
        <f t="shared" si="354"/>
        <v>6.6731970123668424E-2</v>
      </c>
      <c r="GA128" s="1682">
        <f t="shared" si="354"/>
        <v>6.9479707453863351E-2</v>
      </c>
      <c r="GB128" s="1682">
        <f t="shared" si="354"/>
        <v>5.3378831271707998E-2</v>
      </c>
      <c r="GC128" s="1682">
        <f t="shared" si="354"/>
        <v>6.0039700717666816E-2</v>
      </c>
      <c r="GD128" s="1683">
        <f t="shared" si="354"/>
        <v>6.5660726416048795E-2</v>
      </c>
      <c r="GE128" s="1682">
        <v>6.9364161849710976E-2</v>
      </c>
      <c r="GF128" s="1682"/>
      <c r="GG128" s="1682"/>
      <c r="GH128" s="1682">
        <f>+GH127/GH41</f>
        <v>6.0039700717666816E-2</v>
      </c>
      <c r="GI128" s="1682">
        <f>+GI127/GI41</f>
        <v>6.5660726416048795E-2</v>
      </c>
      <c r="GJ128" s="1737"/>
      <c r="GK128" s="1670">
        <f t="shared" ref="GK128:GV128" si="355">+GK127/GK41</f>
        <v>7.0270270270270274E-2</v>
      </c>
      <c r="GL128" s="1670">
        <f t="shared" si="355"/>
        <v>7.7844311377245512E-2</v>
      </c>
      <c r="GM128" s="1670">
        <f t="shared" si="355"/>
        <v>7.8947368421052627E-2</v>
      </c>
      <c r="GN128" s="1670">
        <f t="shared" si="355"/>
        <v>7.8402642725843838E-2</v>
      </c>
      <c r="GO128" s="1670">
        <f t="shared" si="355"/>
        <v>7.6484079150888049E-2</v>
      </c>
      <c r="GP128" s="1670">
        <f t="shared" si="355"/>
        <v>7.7160328273346568E-2</v>
      </c>
      <c r="GQ128" s="1670">
        <f t="shared" si="355"/>
        <v>7.7380952380952384E-2</v>
      </c>
      <c r="GR128" s="1682">
        <f t="shared" si="355"/>
        <v>7.3656896856755319E-2</v>
      </c>
      <c r="GS128" s="1682">
        <f t="shared" si="355"/>
        <v>7.606511439264052E-2</v>
      </c>
      <c r="GT128" s="1682">
        <f t="shared" si="355"/>
        <v>8.094182825484765E-2</v>
      </c>
      <c r="GU128" s="1682">
        <f t="shared" si="355"/>
        <v>7.7413088810809272E-2</v>
      </c>
      <c r="GV128" s="1683">
        <f t="shared" si="355"/>
        <v>7.728272446848243E-2</v>
      </c>
      <c r="GW128" s="1682">
        <v>7.5653370013755161E-2</v>
      </c>
      <c r="GX128" s="1670">
        <f>+GX127/GX41</f>
        <v>8.094182825484765E-2</v>
      </c>
      <c r="GY128" s="1670">
        <f>+GY127/GY41</f>
        <v>7.7413088810809272E-2</v>
      </c>
      <c r="GZ128" s="1670">
        <f>+GZ127/GZ41</f>
        <v>7.728272446848243E-2</v>
      </c>
      <c r="HA128" s="1690"/>
      <c r="HB128" s="1670">
        <f>+HB127/HB41</f>
        <v>0</v>
      </c>
      <c r="HC128" s="1670"/>
      <c r="HD128" s="1670">
        <f t="shared" ref="HD128:HI128" si="356">+HD127/HD41</f>
        <v>9.6786626198390902E-2</v>
      </c>
      <c r="HE128" s="1670">
        <f t="shared" si="356"/>
        <v>0.14001951491497072</v>
      </c>
      <c r="HF128" s="1670">
        <f t="shared" si="356"/>
        <v>8.7924206727154244E-2</v>
      </c>
      <c r="HG128" s="1670">
        <f t="shared" si="356"/>
        <v>0.12679073679783401</v>
      </c>
      <c r="HH128" s="1670">
        <f t="shared" si="356"/>
        <v>0.12706461895102869</v>
      </c>
      <c r="HI128" s="1670">
        <f t="shared" si="356"/>
        <v>9.2443374441114334E-2</v>
      </c>
      <c r="HJ128" s="1670">
        <f>+HI127/HI41</f>
        <v>9.2443374441114334E-2</v>
      </c>
      <c r="HK128" s="1670">
        <f t="shared" ref="HK128:HR128" si="357">+HK127/HK41</f>
        <v>9.391015733042643E-2</v>
      </c>
      <c r="HL128" s="1670">
        <f t="shared" si="357"/>
        <v>0.13352580645161288</v>
      </c>
      <c r="HM128" s="1670">
        <f t="shared" si="357"/>
        <v>0.13366723500994601</v>
      </c>
      <c r="HN128" s="1682">
        <f t="shared" si="357"/>
        <v>8.654549547014799E-2</v>
      </c>
      <c r="HO128" s="1682">
        <f t="shared" si="357"/>
        <v>0.12489848952411889</v>
      </c>
      <c r="HP128" s="1682">
        <f t="shared" si="357"/>
        <v>9.0651025189390694E-2</v>
      </c>
      <c r="HQ128" s="1682">
        <f t="shared" si="357"/>
        <v>0.13099886324321652</v>
      </c>
      <c r="HR128" s="1682">
        <f t="shared" si="357"/>
        <v>8.5793150067598023E-2</v>
      </c>
      <c r="HS128" s="1682"/>
      <c r="HT128" s="1682">
        <f t="shared" ref="HT128:HZ128" si="358">+HT127/HT41</f>
        <v>8.6169523970385381E-2</v>
      </c>
      <c r="HU128" s="1670">
        <f t="shared" si="358"/>
        <v>0.1252045157068063</v>
      </c>
      <c r="HV128" s="1682">
        <f t="shared" si="358"/>
        <v>8.9519736583190124E-2</v>
      </c>
      <c r="HW128" s="1670">
        <f t="shared" si="358"/>
        <v>8.1906521724885814E-2</v>
      </c>
      <c r="HX128" s="1670">
        <f t="shared" si="358"/>
        <v>8.5793150067598023E-2</v>
      </c>
      <c r="HY128" s="1670">
        <f t="shared" si="358"/>
        <v>8.6169523970385381E-2</v>
      </c>
      <c r="HZ128" s="1682">
        <f t="shared" si="358"/>
        <v>0.1297338403041825</v>
      </c>
      <c r="IA128" s="1670">
        <v>8.5787451984635082E-2</v>
      </c>
      <c r="IB128" s="1670">
        <f>+IB127/IB41</f>
        <v>8.9519736583190124E-2</v>
      </c>
      <c r="IC128" s="1690"/>
      <c r="ID128" s="1670">
        <f>+ID127/ID41</f>
        <v>0.13333333333333333</v>
      </c>
      <c r="IE128" s="1671">
        <f>+IE127/IE41</f>
        <v>0.13898944193061841</v>
      </c>
      <c r="IF128" s="1670">
        <f>+IF127/IF41</f>
        <v>0.12711676403164979</v>
      </c>
      <c r="IG128" s="1670">
        <f>+IG127/IG41</f>
        <v>0.13299481014076092</v>
      </c>
      <c r="IH128" s="1670">
        <f>+IH127/IH41</f>
        <v>0.1238505509071328</v>
      </c>
      <c r="II128" s="1670"/>
      <c r="IJ128" s="1670">
        <f>+IJ127/IJ41</f>
        <v>0.13015390950738662</v>
      </c>
      <c r="IK128" s="1670">
        <f>+IK127/IK41</f>
        <v>0.13015390950738662</v>
      </c>
      <c r="IL128" s="1670"/>
      <c r="IM128" s="1670">
        <f>+IM127/IM41</f>
        <v>0.10565643580266752</v>
      </c>
      <c r="IN128" s="1670">
        <f>+IN127/IN41</f>
        <v>0.11461434922706694</v>
      </c>
      <c r="IO128" s="1670">
        <f>+IO127/IO41</f>
        <v>0.11461434922706694</v>
      </c>
      <c r="IP128" s="1686">
        <f>+IP127/IP41</f>
        <v>0.12421052631578948</v>
      </c>
      <c r="IQ128" s="1670">
        <v>0.12075471698113208</v>
      </c>
      <c r="IR128" s="1686">
        <f>+IR127/IR41</f>
        <v>0.12421052631578948</v>
      </c>
      <c r="IS128" s="1288"/>
      <c r="IT128" s="1670"/>
      <c r="IU128" s="1670">
        <f>+IU127/IU41</f>
        <v>0.13333333333333333</v>
      </c>
      <c r="IV128" s="1670">
        <f>+IV127/IV41</f>
        <v>0.10175310445580715</v>
      </c>
      <c r="IW128" s="1670">
        <v>0.13381082670441538</v>
      </c>
      <c r="IX128" s="1670">
        <f>+IX127/IX41</f>
        <v>0.11743287973519677</v>
      </c>
      <c r="IY128" s="1670">
        <v>0.13357810618737398</v>
      </c>
      <c r="IZ128" s="1670">
        <f>+IZ127/IZ41</f>
        <v>7.9616834170854273E-2</v>
      </c>
      <c r="JA128" s="1670">
        <f>+JA127/JA41</f>
        <v>0.10536993437860041</v>
      </c>
      <c r="JB128" s="1670">
        <f>+JB127/JB41</f>
        <v>6.6067694214235917E-2</v>
      </c>
      <c r="JC128" s="1670">
        <f>+JC127/JC41</f>
        <v>7.2796038523024131E-2</v>
      </c>
      <c r="JD128" s="1670">
        <f>+JD127/JD41</f>
        <v>9.5766224426065069E-2</v>
      </c>
      <c r="JE128" s="1670"/>
      <c r="JF128" s="1670"/>
      <c r="JG128" s="1670">
        <f>+JG127/JG41</f>
        <v>7.2796038523024131E-2</v>
      </c>
      <c r="JH128" s="1686">
        <f>+JH127/JH41</f>
        <v>9.5766224426065069E-2</v>
      </c>
      <c r="JI128" s="1288"/>
      <c r="JJ128" s="1671">
        <f t="shared" ref="JJ128:JY128" si="359">+JJ127/JJ41</f>
        <v>0.11347517730496454</v>
      </c>
      <c r="JK128" s="1670">
        <f t="shared" si="359"/>
        <v>0.1048951048951049</v>
      </c>
      <c r="JL128" s="1678">
        <f t="shared" si="359"/>
        <v>0.13674438084601423</v>
      </c>
      <c r="JM128" s="1670">
        <f t="shared" si="359"/>
        <v>0.1281210255037151</v>
      </c>
      <c r="JN128" s="1670">
        <f t="shared" si="359"/>
        <v>0.12443226876216566</v>
      </c>
      <c r="JO128" s="1670" t="e">
        <f t="shared" si="359"/>
        <v>#DIV/0!</v>
      </c>
      <c r="JP128" s="1670">
        <f t="shared" si="359"/>
        <v>0.13234238851870836</v>
      </c>
      <c r="JQ128" s="1670" t="e">
        <f t="shared" si="359"/>
        <v>#DIV/0!</v>
      </c>
      <c r="JR128" s="1670" t="e">
        <f t="shared" si="359"/>
        <v>#DIV/0!</v>
      </c>
      <c r="JS128" s="1670">
        <f t="shared" si="359"/>
        <v>0.12979877596439168</v>
      </c>
      <c r="JT128" s="1670">
        <f t="shared" si="359"/>
        <v>0.11068702290076336</v>
      </c>
      <c r="JU128" s="1670">
        <f t="shared" si="359"/>
        <v>0.1140230932847159</v>
      </c>
      <c r="JV128" s="1670">
        <f t="shared" si="359"/>
        <v>0.12083420666526934</v>
      </c>
      <c r="JW128" s="1670">
        <f t="shared" si="359"/>
        <v>0.11936378768263363</v>
      </c>
      <c r="JX128" s="1670">
        <f t="shared" si="359"/>
        <v>0.12611012433392541</v>
      </c>
      <c r="JY128" s="1670">
        <f t="shared" si="359"/>
        <v>0.12564617018765489</v>
      </c>
      <c r="JZ128" s="662"/>
      <c r="KA128" s="1274"/>
      <c r="KB128" s="1670"/>
      <c r="KC128" s="1670">
        <f>+KC127/KC41</f>
        <v>0.12367491166077739</v>
      </c>
      <c r="KD128" s="1670">
        <f>+KD127/KD41</f>
        <v>0.11363636363636363</v>
      </c>
      <c r="KE128" s="1670">
        <f>+KE127/KE41</f>
        <v>0.1032828779241203</v>
      </c>
      <c r="KF128" s="1670"/>
      <c r="KG128" s="1670">
        <f>+KG127/KG41</f>
        <v>0.11882998171846434</v>
      </c>
      <c r="KH128" s="1670">
        <f>+KH127/KH41</f>
        <v>0.11882998171846434</v>
      </c>
      <c r="KI128" s="1274"/>
      <c r="KJ128" s="662"/>
      <c r="KK128" s="1670"/>
      <c r="KL128" s="1670">
        <f>+KL127/KL41</f>
        <v>0.10023068050749712</v>
      </c>
      <c r="KM128" s="1670">
        <f>+KM127/KM41</f>
        <v>0.10902255639097744</v>
      </c>
      <c r="KN128" s="662"/>
      <c r="KO128" s="1670">
        <v>0.14336917562724014</v>
      </c>
      <c r="KP128" s="1670">
        <v>0.10276679841897234</v>
      </c>
      <c r="KQ128" s="1686">
        <v>0.12406015037593984</v>
      </c>
      <c r="KR128" s="1670">
        <v>0.11254312566919142</v>
      </c>
      <c r="KS128" s="1686">
        <v>0.12307692307692308</v>
      </c>
      <c r="KT128" s="1670">
        <f t="shared" ref="KT128:LG128" si="360">+KT127/KT41</f>
        <v>0.12001366120218579</v>
      </c>
      <c r="KU128" s="1670">
        <f t="shared" si="360"/>
        <v>0.12903225806451613</v>
      </c>
      <c r="KV128" s="1670">
        <f t="shared" si="360"/>
        <v>0.1037344398340249</v>
      </c>
      <c r="KW128" s="1686">
        <f t="shared" si="360"/>
        <v>0.11730769230769231</v>
      </c>
      <c r="KX128" s="1670">
        <f t="shared" si="360"/>
        <v>6.2717571192147464E-2</v>
      </c>
      <c r="KY128" s="1670">
        <f t="shared" si="360"/>
        <v>7.4715249050830171E-2</v>
      </c>
      <c r="KZ128" s="1686">
        <f t="shared" si="360"/>
        <v>8.4210526315789472E-2</v>
      </c>
      <c r="LA128" s="1670">
        <f t="shared" si="360"/>
        <v>7.7720207253886009E-2</v>
      </c>
      <c r="LB128" s="1670">
        <f t="shared" si="360"/>
        <v>7.8260869565217397E-2</v>
      </c>
      <c r="LC128" s="1686">
        <f t="shared" si="360"/>
        <v>7.7975376196990423E-2</v>
      </c>
      <c r="LD128" s="1686" t="e">
        <f t="shared" si="360"/>
        <v>#DIV/0!</v>
      </c>
      <c r="LE128" s="1670">
        <f t="shared" si="360"/>
        <v>8.2084980787436659E-2</v>
      </c>
      <c r="LF128" s="1670">
        <f t="shared" si="360"/>
        <v>7.7991636592770808E-2</v>
      </c>
      <c r="LG128" s="1686">
        <f t="shared" si="360"/>
        <v>7.7562326869806089E-2</v>
      </c>
    </row>
    <row r="129" spans="1:319" s="1019" customFormat="1" ht="12">
      <c r="A129" s="1007"/>
      <c r="B129" s="863" t="s">
        <v>1047</v>
      </c>
      <c r="C129" s="1008" t="s">
        <v>943</v>
      </c>
      <c r="D129" s="1009"/>
      <c r="E129" s="1007"/>
      <c r="F129" s="1007"/>
      <c r="G129" s="1008"/>
      <c r="H129" s="1007"/>
      <c r="I129" s="1007"/>
      <c r="J129" s="1008"/>
      <c r="K129" s="1010"/>
      <c r="L129" s="1010"/>
      <c r="M129" s="1010"/>
      <c r="N129" s="1010"/>
      <c r="O129" s="1010"/>
      <c r="P129" s="1010"/>
      <c r="Q129" s="1010"/>
      <c r="R129" s="1010"/>
      <c r="S129" s="1011"/>
      <c r="T129" s="1678"/>
      <c r="U129" s="1678"/>
      <c r="V129" s="1678"/>
      <c r="W129" s="1678"/>
      <c r="X129" s="1678"/>
      <c r="Y129" s="1678"/>
      <c r="Z129" s="1678"/>
      <c r="AA129" s="1678"/>
      <c r="AB129" s="1011"/>
      <c r="AC129" s="1678"/>
      <c r="AD129" s="1678"/>
      <c r="AE129" s="1678"/>
      <c r="AF129" s="1678"/>
      <c r="AG129" s="1678"/>
      <c r="AH129" s="1678"/>
      <c r="AI129" s="1678"/>
      <c r="AJ129" s="1678"/>
      <c r="AK129" s="1009"/>
      <c r="AL129" s="1678"/>
      <c r="AM129" s="1678"/>
      <c r="AN129" s="1678"/>
      <c r="AO129" s="1678"/>
      <c r="AP129" s="1678"/>
      <c r="AQ129" s="1738">
        <f>AQ127-AH127</f>
        <v>-436</v>
      </c>
      <c r="AR129" s="1738">
        <f>AR127-AI127</f>
        <v>-244</v>
      </c>
      <c r="AS129" s="1738">
        <f>AS127-AJ127</f>
        <v>-680</v>
      </c>
      <c r="AT129" s="1009"/>
      <c r="AU129" s="1695"/>
      <c r="AV129" s="1678"/>
      <c r="AW129" s="709">
        <f t="shared" ref="AW129:AW162" si="361">+BA129-BB129</f>
        <v>-85</v>
      </c>
      <c r="AX129" s="1678"/>
      <c r="AY129" s="709">
        <f>+AY127-AO127</f>
        <v>77</v>
      </c>
      <c r="AZ129" s="1678"/>
      <c r="BA129" s="1010">
        <v>-100</v>
      </c>
      <c r="BB129" s="1013">
        <f>+BB127-AQ127</f>
        <v>-15</v>
      </c>
      <c r="BC129" s="1013">
        <f>+BC127-AR127</f>
        <v>-25</v>
      </c>
      <c r="BD129" s="1680"/>
      <c r="BE129" s="1738">
        <f>+BE127-AS127</f>
        <v>-40</v>
      </c>
      <c r="BF129" s="1009"/>
      <c r="BG129" s="1738">
        <f>BG127-AO127</f>
        <v>-3490</v>
      </c>
      <c r="BH129" s="1678"/>
      <c r="BI129" s="1738"/>
      <c r="BJ129" s="1009"/>
      <c r="BK129" s="1007"/>
      <c r="BL129" s="1007"/>
      <c r="BM129" s="1007"/>
      <c r="BN129" s="1007"/>
      <c r="BO129" s="1009"/>
      <c r="BP129" s="709">
        <f>+BP127-AU127</f>
        <v>93</v>
      </c>
      <c r="BQ129" s="1014"/>
      <c r="BR129" s="1010">
        <f t="shared" ref="BR129:BR139" si="362">+BY129-BP129</f>
        <v>-409</v>
      </c>
      <c r="BS129" s="1014"/>
      <c r="BT129" s="1010">
        <f>BX129-BY129</f>
        <v>125</v>
      </c>
      <c r="BU129" s="1010">
        <f>BU127-AY127</f>
        <v>24</v>
      </c>
      <c r="BV129" s="1010">
        <f>BV127-AY127</f>
        <v>-32</v>
      </c>
      <c r="BW129" s="1014"/>
      <c r="BX129" s="1010">
        <f>BX127-BA127</f>
        <v>-191</v>
      </c>
      <c r="BY129" s="1010">
        <f>+BY127-BB127</f>
        <v>-316</v>
      </c>
      <c r="BZ129" s="1014"/>
      <c r="CA129" s="1014"/>
      <c r="CB129" s="1010">
        <f>CB127-BC127</f>
        <v>149</v>
      </c>
      <c r="CC129" s="1010">
        <f>CC127-BC127</f>
        <v>93</v>
      </c>
      <c r="CD129" s="1010">
        <f>CD127-BE127</f>
        <v>-167</v>
      </c>
      <c r="CE129" s="1010">
        <f>CE127-BE127</f>
        <v>-223</v>
      </c>
      <c r="CF129" s="1009"/>
      <c r="CG129" s="1015">
        <f>CG127-BP127</f>
        <v>-57</v>
      </c>
      <c r="CH129" s="1007"/>
      <c r="CI129" s="1007"/>
      <c r="CJ129" s="1007">
        <f>CJ127-BR127</f>
        <v>198</v>
      </c>
      <c r="CK129" s="1007"/>
      <c r="CL129" s="1007">
        <f>CP129-CR129</f>
        <v>44</v>
      </c>
      <c r="CM129" s="1007"/>
      <c r="CN129" s="1007"/>
      <c r="CO129" s="1007">
        <f>CO127-BV127</f>
        <v>6</v>
      </c>
      <c r="CP129" s="1007">
        <f>CP127-BX127</f>
        <v>185</v>
      </c>
      <c r="CQ129" s="1007"/>
      <c r="CR129" s="1007">
        <f>CR127-BY127</f>
        <v>141</v>
      </c>
      <c r="CS129" s="1007"/>
      <c r="CT129" s="1007"/>
      <c r="CU129" s="1007">
        <f t="shared" ref="CU129:CU164" si="363">CW129-CR129</f>
        <v>50</v>
      </c>
      <c r="CV129" s="1007"/>
      <c r="CW129" s="1008">
        <f>CW127-CE127</f>
        <v>191</v>
      </c>
      <c r="CX129" s="712"/>
      <c r="CY129" s="712">
        <f>CY127-CG127</f>
        <v>237</v>
      </c>
      <c r="CZ129" s="712">
        <f t="shared" ref="CZ129:CZ164" si="364">+DB129-CY129</f>
        <v>-101</v>
      </c>
      <c r="DA129" s="712" t="e">
        <f>DA130+DA134+DA139</f>
        <v>#REF!</v>
      </c>
      <c r="DB129" s="712">
        <f>+DB127-CR127</f>
        <v>136</v>
      </c>
      <c r="DC129" s="712">
        <f t="shared" ref="DC129:DC162" si="365">+DG129-DB129</f>
        <v>-42</v>
      </c>
      <c r="DD129" s="712">
        <v>-100</v>
      </c>
      <c r="DE129" s="712">
        <f t="shared" si="299"/>
        <v>224</v>
      </c>
      <c r="DF129" s="712"/>
      <c r="DG129" s="712">
        <f>+DG127-CP127</f>
        <v>94</v>
      </c>
      <c r="DH129" s="712"/>
      <c r="DI129" s="712">
        <f t="shared" si="224"/>
        <v>182</v>
      </c>
      <c r="DJ129" s="712"/>
      <c r="DK129" s="712">
        <f>+DK127-CW127</f>
        <v>318</v>
      </c>
      <c r="DL129" s="1739"/>
      <c r="DM129" s="1739"/>
      <c r="DN129" s="1740"/>
      <c r="DO129" s="1740"/>
      <c r="DP129" s="1017"/>
      <c r="DQ129" s="1017">
        <f t="shared" ref="DQ129:DQ130" si="366">+DR129-DC129</f>
        <v>171</v>
      </c>
      <c r="DR129" s="1017">
        <f t="shared" si="346"/>
        <v>129</v>
      </c>
      <c r="DS129" s="1018">
        <f>DS127-CW127</f>
        <v>265</v>
      </c>
      <c r="DT129" s="1739"/>
      <c r="DU129" s="1740"/>
      <c r="DV129" s="1741">
        <f>DW129-CY129</f>
        <v>-142</v>
      </c>
      <c r="DW129" s="1742">
        <f>DW127-CR127</f>
        <v>95</v>
      </c>
      <c r="DX129" s="1017">
        <f>DX127-CU127</f>
        <v>29</v>
      </c>
      <c r="DY129" s="1017">
        <f>DY127-CW127</f>
        <v>165</v>
      </c>
      <c r="DZ129" s="1020"/>
      <c r="EB129" s="1742">
        <f>EB127-BV127</f>
        <v>271</v>
      </c>
      <c r="EC129" s="1017">
        <f>EC127-CC127</f>
        <v>315</v>
      </c>
      <c r="ED129" s="1739">
        <f>ED127-CE127</f>
        <v>456</v>
      </c>
      <c r="EE129" s="1009"/>
      <c r="EF129" s="1007"/>
      <c r="EG129" s="1015">
        <f>+EG127-CY127</f>
        <v>56</v>
      </c>
      <c r="EH129" s="1007"/>
      <c r="EI129" s="1007">
        <f t="shared" ref="EI129" si="367">+EK129-EG129</f>
        <v>390</v>
      </c>
      <c r="EJ129" s="1007"/>
      <c r="EK129" s="1007">
        <f>+EK127-DB127</f>
        <v>446</v>
      </c>
      <c r="EL129" s="1007"/>
      <c r="EM129" s="1007">
        <f>+EO129-EK129</f>
        <v>442</v>
      </c>
      <c r="EN129" s="1007">
        <f>EN127-DC127</f>
        <v>122</v>
      </c>
      <c r="EO129" s="1007">
        <f>+EO127-DG127</f>
        <v>888</v>
      </c>
      <c r="EP129" s="1007">
        <f>EP127-DG127</f>
        <v>568</v>
      </c>
      <c r="EQ129" s="1007">
        <f>+EU129-EO129</f>
        <v>202</v>
      </c>
      <c r="ER129" s="1743"/>
      <c r="ES129" s="1007">
        <f>+EU129-EK129</f>
        <v>644</v>
      </c>
      <c r="ET129" s="1007"/>
      <c r="EU129" s="1008">
        <f>+EU127-DK127</f>
        <v>1090</v>
      </c>
      <c r="EV129" s="1018"/>
      <c r="EW129" s="1007">
        <v>137</v>
      </c>
      <c r="EX129" s="1007">
        <f>+EX127-EG127</f>
        <v>319</v>
      </c>
      <c r="EY129" s="1007">
        <v>194</v>
      </c>
      <c r="EZ129" s="1007">
        <f>+FB129-EX129</f>
        <v>75</v>
      </c>
      <c r="FA129" s="1007">
        <v>513</v>
      </c>
      <c r="FB129" s="1007">
        <f>+FB127-EK127</f>
        <v>394</v>
      </c>
      <c r="FC129" s="1007">
        <f>+FE129-FB129</f>
        <v>-75</v>
      </c>
      <c r="FD129" s="696">
        <v>-201</v>
      </c>
      <c r="FE129" s="712">
        <f>+FE127-EO127</f>
        <v>319</v>
      </c>
      <c r="FF129" s="1732">
        <v>193</v>
      </c>
      <c r="FG129" s="1744">
        <f>+FG127-EQ127</f>
        <v>9</v>
      </c>
      <c r="FH129" s="712">
        <f>+FL129-FE129</f>
        <v>9</v>
      </c>
      <c r="FI129" s="1744">
        <f>+FI127-ES127</f>
        <v>-66</v>
      </c>
      <c r="FJ129" s="712">
        <f>+FL129-FB129</f>
        <v>-66</v>
      </c>
      <c r="FK129" s="1693">
        <f>+FK127-EU127</f>
        <v>328</v>
      </c>
      <c r="FL129" s="1739">
        <f>+FL127-EU127</f>
        <v>328</v>
      </c>
      <c r="FM129" s="1740">
        <f t="shared" ref="FM129:FM149" si="368">+FN129-EX129</f>
        <v>-106</v>
      </c>
      <c r="FN129" s="1017">
        <f>+FN127-EK127</f>
        <v>213</v>
      </c>
      <c r="FO129" s="1017"/>
      <c r="FP129" s="1017">
        <f t="shared" ref="FP129:FP149" si="369">+FQ129-FB129</f>
        <v>263</v>
      </c>
      <c r="FQ129" s="1018">
        <f>+FQ127-EU127</f>
        <v>657</v>
      </c>
      <c r="FR129" s="1018"/>
      <c r="FS129" s="1007">
        <f>+FS127-EX127</f>
        <v>-130</v>
      </c>
      <c r="FT129" s="1017"/>
      <c r="FU129" s="1017"/>
      <c r="FV129" s="1007">
        <f t="shared" ref="FV129:FV142" si="370">+FY129-FS129</f>
        <v>-174</v>
      </c>
      <c r="FW129" s="1017"/>
      <c r="FX129" s="1017"/>
      <c r="FY129" s="1007">
        <f>+FY127-FB127</f>
        <v>-304</v>
      </c>
      <c r="FZ129" s="1007">
        <f>+GA129-FY129</f>
        <v>-155</v>
      </c>
      <c r="GA129" s="712">
        <f>+GA127-FE127</f>
        <v>-459</v>
      </c>
      <c r="GB129" s="1007">
        <f t="shared" ref="GB129:GB142" si="371">+GD129-GA129</f>
        <v>-269</v>
      </c>
      <c r="GC129" s="1007">
        <f>+GD129-FY129</f>
        <v>-424</v>
      </c>
      <c r="GD129" s="1008">
        <f>+GD127-FK127</f>
        <v>-728</v>
      </c>
      <c r="GE129" s="712">
        <v>-471</v>
      </c>
      <c r="GF129" s="1007"/>
      <c r="GG129" s="1007"/>
      <c r="GH129" s="1017">
        <f>GI129-FY129</f>
        <v>-424</v>
      </c>
      <c r="GI129" s="1017">
        <f>GI127-FK127</f>
        <v>-728</v>
      </c>
      <c r="GJ129" s="1021"/>
      <c r="GK129" s="1017"/>
      <c r="GL129" s="1017">
        <f>+GL127-FS127</f>
        <v>91</v>
      </c>
      <c r="GM129" s="1017"/>
      <c r="GN129" s="1017"/>
      <c r="GO129" s="1017">
        <f t="shared" ref="GO129:GO139" si="372">+GP129-GL129</f>
        <v>209</v>
      </c>
      <c r="GP129" s="1017">
        <f>+GP127-FY127</f>
        <v>300</v>
      </c>
      <c r="GQ129" s="1017"/>
      <c r="GR129" s="1007">
        <f>+GS129-GP129</f>
        <v>159</v>
      </c>
      <c r="GS129" s="712">
        <f>+GS127-GA127</f>
        <v>459</v>
      </c>
      <c r="GT129" s="1745">
        <f t="shared" ref="GT129:GT139" si="373">+GU129-GR129</f>
        <v>585</v>
      </c>
      <c r="GU129" s="1007">
        <f>+GV129-GP129</f>
        <v>744</v>
      </c>
      <c r="GV129" s="1008">
        <f>+GV127-GD127</f>
        <v>1044</v>
      </c>
      <c r="GW129" s="712">
        <v>957</v>
      </c>
      <c r="GX129" s="1017"/>
      <c r="GY129" s="1017">
        <f>GZ129-GP129</f>
        <v>744</v>
      </c>
      <c r="GZ129" s="1017">
        <f>GZ127-GD127</f>
        <v>1044</v>
      </c>
      <c r="HA129" s="1021"/>
      <c r="HB129" s="1017"/>
      <c r="HC129" s="1017"/>
      <c r="HD129" s="1017">
        <f>+HD127-GL127</f>
        <v>566</v>
      </c>
      <c r="HE129" s="1017"/>
      <c r="HF129" s="1017">
        <f t="shared" ref="HF129:HF139" si="374">+HI129-HD129</f>
        <v>320</v>
      </c>
      <c r="HG129" s="1017"/>
      <c r="HH129" s="1017"/>
      <c r="HI129" s="1017">
        <f>+HI127-GP127</f>
        <v>886</v>
      </c>
      <c r="HJ129" s="1017"/>
      <c r="HK129" s="1017"/>
      <c r="HL129" s="1017"/>
      <c r="HM129" s="1017"/>
      <c r="HN129" s="1007">
        <f>+HP129-HI129</f>
        <v>289</v>
      </c>
      <c r="HO129" s="1007">
        <f>+HQ129-HM129</f>
        <v>1175</v>
      </c>
      <c r="HP129" s="712">
        <f>+HP127-GS127</f>
        <v>1175</v>
      </c>
      <c r="HQ129" s="712">
        <f>+HQ127-GS127</f>
        <v>1175</v>
      </c>
      <c r="HR129" s="712">
        <f t="shared" ref="HR129:HR139" si="375">+HT129-HN129</f>
        <v>62</v>
      </c>
      <c r="HS129" s="712"/>
      <c r="HT129" s="1007">
        <f>+HV129-HI129</f>
        <v>351</v>
      </c>
      <c r="HU129" s="1007"/>
      <c r="HV129" s="1007">
        <f>+HV127-GV127</f>
        <v>1237</v>
      </c>
      <c r="HW129" s="1017">
        <f>HW127-GR127</f>
        <v>251</v>
      </c>
      <c r="HX129" s="1017"/>
      <c r="HY129" s="1017">
        <f>IB129-HI129</f>
        <v>351</v>
      </c>
      <c r="HZ129" s="1007"/>
      <c r="IA129" s="1017">
        <v>1113</v>
      </c>
      <c r="IB129" s="1017">
        <f>IB127-GV127</f>
        <v>1237</v>
      </c>
      <c r="IC129" s="1021"/>
      <c r="ID129" s="1017"/>
      <c r="IE129" s="1022">
        <f>+IE127-HE127</f>
        <v>-166</v>
      </c>
      <c r="IF129" s="1017">
        <f>IF127-HH127</f>
        <v>-35</v>
      </c>
      <c r="IG129" s="1017">
        <f>IG127-HM127</f>
        <v>-201</v>
      </c>
      <c r="IH129" s="1017">
        <f>+IJ129-IG129</f>
        <v>-43</v>
      </c>
      <c r="II129" s="1017"/>
      <c r="IJ129" s="1017">
        <f>+IJ127-HQ127</f>
        <v>-244</v>
      </c>
      <c r="IK129" s="1017"/>
      <c r="IL129" s="1017"/>
      <c r="IM129" s="1017">
        <f>+IO129-IH129</f>
        <v>-208</v>
      </c>
      <c r="IN129" s="1017">
        <f>IP129-IG129</f>
        <v>-251</v>
      </c>
      <c r="IO129" s="1017">
        <f>+IR129-IG129</f>
        <v>-251</v>
      </c>
      <c r="IP129" s="1018">
        <f>IP127-HZ127</f>
        <v>-452</v>
      </c>
      <c r="IQ129" s="1017">
        <v>-424</v>
      </c>
      <c r="IR129" s="1018">
        <f>+IR127-HZ127</f>
        <v>-452</v>
      </c>
      <c r="IS129" s="1746"/>
      <c r="IT129" s="1017"/>
      <c r="IU129" s="1017">
        <f>+IU127-IE127</f>
        <v>-43</v>
      </c>
      <c r="IV129" s="1017">
        <f t="shared" ref="IV129:IV134" si="376">IX129-IU129</f>
        <v>-326</v>
      </c>
      <c r="IW129" s="1017">
        <v>200</v>
      </c>
      <c r="IX129" s="1017">
        <f>IX127-IG127</f>
        <v>-369</v>
      </c>
      <c r="IY129" s="1017"/>
      <c r="IZ129" s="1017">
        <f>IZ127-IH127</f>
        <v>-481</v>
      </c>
      <c r="JA129" s="1017">
        <f>JA127-IJ127</f>
        <v>-850</v>
      </c>
      <c r="JB129" s="1017"/>
      <c r="JC129" s="1017"/>
      <c r="JD129" s="1017"/>
      <c r="JE129" s="1017"/>
      <c r="JF129" s="1017"/>
      <c r="JG129" s="1017"/>
      <c r="JH129" s="1018">
        <f>JH127-IR127</f>
        <v>-1312</v>
      </c>
      <c r="JI129" s="1746"/>
      <c r="JJ129" s="1671">
        <f>+JJ127/IU127-1</f>
        <v>-0.11111111111111116</v>
      </c>
      <c r="JK129" s="1670">
        <f>+JK127/IV127-1</f>
        <v>7.6812634601579388E-2</v>
      </c>
      <c r="JL129" s="1678">
        <f>+JL127/IU127-1</f>
        <v>8.8333333333333375E-2</v>
      </c>
      <c r="JM129" s="1670">
        <f t="shared" ref="JM129" si="377">+JM127/IV127-1</f>
        <v>0.37401292175161527</v>
      </c>
      <c r="JN129" s="1670">
        <f>+JN127/IZ127-1</f>
        <v>0.70216962524654836</v>
      </c>
      <c r="JO129" s="1670">
        <f>+JO127/JB127-1</f>
        <v>-1</v>
      </c>
      <c r="JP129" s="1670">
        <f>+JP127/IX127-1</f>
        <v>0.21296586282492957</v>
      </c>
      <c r="JQ129" s="1670">
        <f>+JQ127/JC127-1</f>
        <v>-1</v>
      </c>
      <c r="JR129" s="1670">
        <f>+JR127/JD127-1</f>
        <v>-1</v>
      </c>
      <c r="JS129" s="1670">
        <f>+JS128/JA128-1</f>
        <v>0.2318388231885673</v>
      </c>
      <c r="JT129" s="1670">
        <f>+JT127/IZ127-1</f>
        <v>0.42998027613412226</v>
      </c>
      <c r="JU129" s="1670">
        <f>+JU127/JB127-1</f>
        <v>0.75967174677608451</v>
      </c>
      <c r="JV129" s="1670">
        <f>+JV127/IX127-1</f>
        <v>8.330723457563427E-2</v>
      </c>
      <c r="JW129" s="1670">
        <f>+JW127/JC127-1</f>
        <v>0.72844134975897168</v>
      </c>
      <c r="JX129" s="1670">
        <f>+JX127/JD127-1</f>
        <v>0.40316205533596827</v>
      </c>
      <c r="JY129" s="1670">
        <f>+JY127/JA127-1</f>
        <v>0.26527216543855481</v>
      </c>
      <c r="JZ129" s="662"/>
      <c r="KA129" s="1274"/>
      <c r="KB129" s="1670"/>
      <c r="KC129" s="1670">
        <f>+KC127/IX127-1</f>
        <v>9.6147823363607943E-2</v>
      </c>
      <c r="KD129" s="1670">
        <f>+KD127/JC127-1</f>
        <v>0.60685591858596677</v>
      </c>
      <c r="KE129" s="1670">
        <f>+KE127/JC127-1</f>
        <v>0.40707016604177815</v>
      </c>
      <c r="KF129" s="1670"/>
      <c r="KG129" s="1670">
        <f>+KG127/JD127-1</f>
        <v>0.28458498023715406</v>
      </c>
      <c r="KH129" s="1670">
        <f>+KH127/JD127-1</f>
        <v>0.28458498023715406</v>
      </c>
      <c r="KI129" s="1748"/>
      <c r="KJ129" s="1747"/>
      <c r="KK129" s="1017"/>
      <c r="KL129" s="1747">
        <f>KL127-HX127</f>
        <v>1084</v>
      </c>
      <c r="KM129" s="1747">
        <f>KM127-IR127</f>
        <v>-572</v>
      </c>
      <c r="KN129" s="1747"/>
      <c r="KO129" s="1747">
        <v>438</v>
      </c>
      <c r="KP129" s="1744">
        <v>1077</v>
      </c>
      <c r="KQ129" s="1749">
        <v>200</v>
      </c>
      <c r="KR129" s="1744">
        <v>-223</v>
      </c>
      <c r="KS129" s="1749">
        <v>-424</v>
      </c>
      <c r="KT129" s="1744">
        <f>+KT127-HG127</f>
        <v>3</v>
      </c>
      <c r="KU129" s="1744">
        <f>+KU127-HL127</f>
        <v>-163</v>
      </c>
      <c r="KV129" s="1744" t="e">
        <f>+KV127-#REF!</f>
        <v>#REF!</v>
      </c>
      <c r="KW129" s="1749">
        <f>+KW127-HZ127</f>
        <v>-724</v>
      </c>
      <c r="KX129" s="1744">
        <f>+KX127-GT127</f>
        <v>-362</v>
      </c>
      <c r="KY129" s="1744">
        <f>+KY127-GU127</f>
        <v>-73</v>
      </c>
      <c r="KZ129" s="1749">
        <f>+KZ127-GV127</f>
        <v>813</v>
      </c>
      <c r="LA129" s="1744">
        <f>+LA127-GP127</f>
        <v>123</v>
      </c>
      <c r="LB129" s="1744">
        <f>+LB127-GU127</f>
        <v>-10</v>
      </c>
      <c r="LC129" s="1749">
        <f>+LC127-GV127</f>
        <v>113</v>
      </c>
      <c r="LD129" s="1749">
        <f>+LD127-LC127</f>
        <v>-5700</v>
      </c>
      <c r="LE129" s="1744">
        <f>+LE127-GB127</f>
        <v>598</v>
      </c>
      <c r="LF129" s="1744">
        <f>+LF127-GC127</f>
        <v>757</v>
      </c>
      <c r="LG129" s="1749">
        <f>+LG127-GD127</f>
        <v>1057</v>
      </c>
    </row>
    <row r="130" spans="1:319" s="1044" customFormat="1" ht="12">
      <c r="A130" s="1036"/>
      <c r="B130" s="1037" t="s">
        <v>1048</v>
      </c>
      <c r="C130" s="1038" t="s">
        <v>1425</v>
      </c>
      <c r="D130" s="1039"/>
      <c r="E130" s="1036"/>
      <c r="F130" s="1036"/>
      <c r="G130" s="1040"/>
      <c r="H130" s="1036"/>
      <c r="I130" s="1036"/>
      <c r="J130" s="1040"/>
      <c r="K130" s="1041"/>
      <c r="L130" s="1041"/>
      <c r="M130" s="1041"/>
      <c r="N130" s="1041"/>
      <c r="O130" s="1041"/>
      <c r="P130" s="1041"/>
      <c r="Q130" s="1041"/>
      <c r="R130" s="1041"/>
      <c r="S130" s="1042"/>
      <c r="T130" s="1041"/>
      <c r="U130" s="1041"/>
      <c r="V130" s="1041"/>
      <c r="W130" s="1041"/>
      <c r="X130" s="1041"/>
      <c r="Y130" s="1041"/>
      <c r="Z130" s="1041"/>
      <c r="AA130" s="1041"/>
      <c r="AB130" s="1042"/>
      <c r="AC130" s="1041"/>
      <c r="AD130" s="1041"/>
      <c r="AE130" s="1041"/>
      <c r="AF130" s="1041"/>
      <c r="AG130" s="1041"/>
      <c r="AH130" s="1041">
        <v>-200</v>
      </c>
      <c r="AI130" s="1041">
        <f t="shared" ref="AI130:AI162" si="378">+AJ130-AH130</f>
        <v>-300</v>
      </c>
      <c r="AJ130" s="1041">
        <v>-500</v>
      </c>
      <c r="AK130" s="1039"/>
      <c r="AL130" s="1041"/>
      <c r="AM130" s="1041"/>
      <c r="AN130" s="1041"/>
      <c r="AO130" s="1041"/>
      <c r="AP130" s="1041">
        <v>-100</v>
      </c>
      <c r="AQ130" s="1041">
        <v>-100</v>
      </c>
      <c r="AR130" s="1041">
        <f t="shared" ref="AR130:AR162" si="379">+AS130-AQ130</f>
        <v>100</v>
      </c>
      <c r="AS130" s="1041">
        <v>0</v>
      </c>
      <c r="AT130" s="1039"/>
      <c r="AU130" s="1041">
        <v>-100</v>
      </c>
      <c r="AV130" s="1041">
        <f t="shared" ref="AV130:AV162" si="380">+BB130-AU130</f>
        <v>-100</v>
      </c>
      <c r="AW130" s="1041">
        <f t="shared" si="361"/>
        <v>-100</v>
      </c>
      <c r="AX130" s="1041"/>
      <c r="AY130" s="1041">
        <f t="shared" ref="AY130:AY162" si="381">+BC130-AW130</f>
        <v>0</v>
      </c>
      <c r="AZ130" s="1041"/>
      <c r="BA130" s="1041">
        <v>-300</v>
      </c>
      <c r="BB130" s="1043">
        <v>-200</v>
      </c>
      <c r="BC130" s="1043">
        <f t="shared" ref="BC130:BC162" si="382">+BE130-BB130</f>
        <v>-100</v>
      </c>
      <c r="BD130" s="1041"/>
      <c r="BE130" s="1041">
        <v>-300</v>
      </c>
      <c r="BF130" s="1039"/>
      <c r="BG130" s="1041">
        <f>BH130-AW130</f>
        <v>400</v>
      </c>
      <c r="BH130" s="1041">
        <f t="shared" ref="BH130:BH158" si="383">+BI130-BB130</f>
        <v>300</v>
      </c>
      <c r="BI130" s="1041">
        <v>100</v>
      </c>
      <c r="BJ130" s="1039"/>
      <c r="BK130" s="1036">
        <v>200</v>
      </c>
      <c r="BL130" s="1036">
        <v>100</v>
      </c>
      <c r="BM130" s="1036">
        <v>300</v>
      </c>
      <c r="BN130" s="1036"/>
      <c r="BO130" s="1039"/>
      <c r="BP130" s="1041">
        <v>100</v>
      </c>
      <c r="BQ130" s="1041"/>
      <c r="BR130" s="1041">
        <f t="shared" si="362"/>
        <v>0</v>
      </c>
      <c r="BS130" s="1041"/>
      <c r="BT130" s="1041">
        <f>BX130-BY130</f>
        <v>200</v>
      </c>
      <c r="BU130" s="1041"/>
      <c r="BV130" s="1041">
        <f t="shared" ref="BV130:BV137" si="384">CC130-BT130</f>
        <v>200</v>
      </c>
      <c r="BW130" s="1041"/>
      <c r="BX130" s="1041">
        <v>300</v>
      </c>
      <c r="BY130" s="1041">
        <v>100</v>
      </c>
      <c r="BZ130" s="1041"/>
      <c r="CA130" s="1041"/>
      <c r="CB130" s="1041"/>
      <c r="CC130" s="1041">
        <f>CE130-BY130</f>
        <v>400</v>
      </c>
      <c r="CD130" s="1041"/>
      <c r="CE130" s="1041">
        <v>500</v>
      </c>
      <c r="CF130" s="1039"/>
      <c r="CG130" s="1087">
        <v>200</v>
      </c>
      <c r="CH130" s="1036"/>
      <c r="CI130" s="1036"/>
      <c r="CJ130" s="1036">
        <f>CR130-CG130</f>
        <v>200</v>
      </c>
      <c r="CK130" s="1036"/>
      <c r="CL130" s="1036">
        <f t="shared" ref="CL130:CL139" si="385">CP130-CR130</f>
        <v>200</v>
      </c>
      <c r="CM130" s="1036"/>
      <c r="CN130" s="1036"/>
      <c r="CO130" s="1036">
        <f>CW130-CP130</f>
        <v>200</v>
      </c>
      <c r="CP130" s="1036">
        <v>600</v>
      </c>
      <c r="CQ130" s="1036"/>
      <c r="CR130" s="1036">
        <v>400</v>
      </c>
      <c r="CS130" s="1036"/>
      <c r="CT130" s="1036"/>
      <c r="CU130" s="1036">
        <f t="shared" si="363"/>
        <v>400</v>
      </c>
      <c r="CV130" s="1036"/>
      <c r="CW130" s="1040">
        <v>800</v>
      </c>
      <c r="CX130" s="1036"/>
      <c r="CY130" s="1036">
        <v>200</v>
      </c>
      <c r="CZ130" s="1036">
        <f t="shared" si="364"/>
        <v>100</v>
      </c>
      <c r="DA130" s="1036" t="e">
        <f>+CY130+#REF!</f>
        <v>#REF!</v>
      </c>
      <c r="DB130" s="1036">
        <v>300</v>
      </c>
      <c r="DC130" s="1036">
        <f t="shared" si="365"/>
        <v>-100</v>
      </c>
      <c r="DD130" s="1036">
        <v>0</v>
      </c>
      <c r="DE130" s="1036">
        <f t="shared" si="299"/>
        <v>100</v>
      </c>
      <c r="DF130" s="1036"/>
      <c r="DG130" s="1036">
        <v>200</v>
      </c>
      <c r="DH130" s="1036"/>
      <c r="DI130" s="1036">
        <f t="shared" si="224"/>
        <v>0</v>
      </c>
      <c r="DJ130" s="1036"/>
      <c r="DK130" s="1036">
        <v>300</v>
      </c>
      <c r="DL130" s="1098"/>
      <c r="DM130" s="1098"/>
      <c r="DN130" s="1041"/>
      <c r="DO130" s="1041"/>
      <c r="DP130" s="1099"/>
      <c r="DQ130" s="1099">
        <f t="shared" si="366"/>
        <v>600</v>
      </c>
      <c r="DR130" s="1099">
        <f t="shared" si="346"/>
        <v>500</v>
      </c>
      <c r="DS130" s="1100">
        <v>800</v>
      </c>
      <c r="DT130" s="1098"/>
      <c r="DU130" s="1041"/>
      <c r="DV130" s="1053">
        <f>DW130-CY130</f>
        <v>300</v>
      </c>
      <c r="DW130" s="1097">
        <v>500</v>
      </c>
      <c r="DX130" s="1099">
        <f>DY130-DB130</f>
        <v>500</v>
      </c>
      <c r="DY130" s="1099">
        <v>800</v>
      </c>
      <c r="DZ130" s="1039"/>
      <c r="EB130" s="1097">
        <f>ED130-CP130</f>
        <v>500</v>
      </c>
      <c r="EC130" s="1099">
        <f>ED130-CR130</f>
        <v>700</v>
      </c>
      <c r="ED130" s="1098">
        <v>1100</v>
      </c>
      <c r="EE130" s="1039"/>
      <c r="EF130" s="1036"/>
      <c r="EG130" s="1087">
        <v>0</v>
      </c>
      <c r="EH130" s="1036"/>
      <c r="EI130" s="1036">
        <f t="shared" ref="EI130:EI164" si="386">+EK130-EG130</f>
        <v>-100</v>
      </c>
      <c r="EJ130" s="1036"/>
      <c r="EK130" s="1036">
        <v>-100</v>
      </c>
      <c r="EL130" s="1036"/>
      <c r="EM130" s="1036">
        <f>+EO130-EK130</f>
        <v>0</v>
      </c>
      <c r="EN130" s="1036"/>
      <c r="EO130" s="1036">
        <v>-100</v>
      </c>
      <c r="EQ130" s="1036">
        <f t="shared" ref="EQ130:EQ137" si="387">+EU130-EO130</f>
        <v>0</v>
      </c>
      <c r="ES130" s="1036"/>
      <c r="EU130" s="1040">
        <v>-100</v>
      </c>
      <c r="EV130" s="517"/>
      <c r="EW130" s="1036"/>
      <c r="EX130" s="1036">
        <v>100</v>
      </c>
      <c r="EY130" s="1036">
        <v>-100</v>
      </c>
      <c r="EZ130" s="1036">
        <f t="shared" ref="EZ130:EZ162" si="388">+FB130-EX130</f>
        <v>100</v>
      </c>
      <c r="FA130" s="1036"/>
      <c r="FB130" s="1036">
        <v>200</v>
      </c>
      <c r="FC130" s="1036">
        <f>+FE130-FB130</f>
        <v>100</v>
      </c>
      <c r="FD130" s="490">
        <v>0</v>
      </c>
      <c r="FE130" s="1036">
        <v>300</v>
      </c>
      <c r="FF130" s="1103"/>
      <c r="FG130" s="1140">
        <f>FI130-FC130</f>
        <v>0</v>
      </c>
      <c r="FH130" s="1036">
        <f>+FL130-FE130</f>
        <v>-300</v>
      </c>
      <c r="FI130" s="1036">
        <f>FK130-FB130</f>
        <v>100</v>
      </c>
      <c r="FJ130" s="1036">
        <f>+FL130-FB130</f>
        <v>-200</v>
      </c>
      <c r="FK130" s="1040">
        <v>300</v>
      </c>
      <c r="FL130" s="1098"/>
      <c r="FM130" s="1041">
        <f t="shared" si="368"/>
        <v>200</v>
      </c>
      <c r="FN130" s="1099">
        <v>300</v>
      </c>
      <c r="FO130" s="1099">
        <f>+FQ130-FE130</f>
        <v>300</v>
      </c>
      <c r="FP130" s="1099">
        <f t="shared" si="369"/>
        <v>400</v>
      </c>
      <c r="FQ130" s="1100">
        <v>600</v>
      </c>
      <c r="FR130" s="1100"/>
      <c r="FS130" s="1036">
        <v>0</v>
      </c>
      <c r="FT130" s="1099"/>
      <c r="FU130" s="1099"/>
      <c r="FV130" s="1036">
        <f t="shared" si="370"/>
        <v>200</v>
      </c>
      <c r="FW130" s="1036"/>
      <c r="FX130" s="1036"/>
      <c r="FY130" s="1036">
        <v>200</v>
      </c>
      <c r="FZ130" s="1036">
        <f>+GA130-FY130</f>
        <v>-100</v>
      </c>
      <c r="GA130" s="1036">
        <v>100</v>
      </c>
      <c r="GB130" s="1036">
        <f t="shared" si="371"/>
        <v>0</v>
      </c>
      <c r="GC130" s="1036">
        <f>+GD130-FY130</f>
        <v>-100</v>
      </c>
      <c r="GD130" s="1040">
        <v>100</v>
      </c>
      <c r="GE130" s="1036"/>
      <c r="GF130" s="1036"/>
      <c r="GG130" s="1036"/>
      <c r="GH130" s="1036"/>
      <c r="GI130" s="1099"/>
      <c r="GJ130" s="1105"/>
      <c r="GK130" s="1099"/>
      <c r="GL130" s="1099">
        <v>600</v>
      </c>
      <c r="GM130" s="1099"/>
      <c r="GN130" s="1099"/>
      <c r="GO130" s="1099">
        <f t="shared" si="372"/>
        <v>600</v>
      </c>
      <c r="GP130" s="1099">
        <v>1200</v>
      </c>
      <c r="GQ130" s="1099"/>
      <c r="GR130" s="1036">
        <f>+GS130-GP130</f>
        <v>700</v>
      </c>
      <c r="GS130" s="1036">
        <v>1900</v>
      </c>
      <c r="GT130" s="1036">
        <f t="shared" si="373"/>
        <v>1100</v>
      </c>
      <c r="GU130" s="1036">
        <f>+GV130-GP130</f>
        <v>1800</v>
      </c>
      <c r="GV130" s="1040">
        <v>3000</v>
      </c>
      <c r="GW130" s="1036"/>
      <c r="GX130" s="1099"/>
      <c r="GY130" s="1099"/>
      <c r="GZ130" s="1099"/>
      <c r="HA130" s="1105"/>
      <c r="HB130" s="1099"/>
      <c r="HC130" s="1099"/>
      <c r="HD130" s="1099">
        <v>600</v>
      </c>
      <c r="HE130" s="1099">
        <v>600</v>
      </c>
      <c r="HF130" s="1099">
        <f t="shared" si="374"/>
        <v>200</v>
      </c>
      <c r="HG130" s="1099">
        <f>+HL130-HE130</f>
        <v>200</v>
      </c>
      <c r="HH130" s="1099">
        <f t="shared" ref="HH130" si="389">HM130-HE130</f>
        <v>200</v>
      </c>
      <c r="HI130" s="1099">
        <v>800</v>
      </c>
      <c r="HJ130" s="1099"/>
      <c r="HK130" s="1099"/>
      <c r="HL130" s="1099">
        <v>800</v>
      </c>
      <c r="HM130" s="1099">
        <v>800</v>
      </c>
      <c r="HN130" s="1036">
        <f>+HP130-HI130</f>
        <v>200</v>
      </c>
      <c r="HO130" s="1036">
        <f>+HQ130-HM130</f>
        <v>200</v>
      </c>
      <c r="HP130" s="1036">
        <v>1000</v>
      </c>
      <c r="HQ130" s="1036">
        <v>1000</v>
      </c>
      <c r="HR130" s="1036">
        <f t="shared" si="375"/>
        <v>0</v>
      </c>
      <c r="HS130" s="1036"/>
      <c r="HT130" s="1036">
        <f>+HV130-HI130</f>
        <v>200</v>
      </c>
      <c r="HU130" s="1036">
        <f>HZ130-HM130</f>
        <v>200</v>
      </c>
      <c r="HV130" s="1036">
        <v>1000</v>
      </c>
      <c r="HW130" s="1099"/>
      <c r="HX130" s="1099"/>
      <c r="HY130" s="1099"/>
      <c r="HZ130" s="1036">
        <v>1000</v>
      </c>
      <c r="IA130" s="1099"/>
      <c r="IB130" s="1099"/>
      <c r="IC130" s="1105"/>
      <c r="ID130" s="1099"/>
      <c r="IE130" s="1106">
        <v>-400</v>
      </c>
      <c r="IF130" s="1099">
        <f>IG130-IE130</f>
        <v>-100</v>
      </c>
      <c r="IG130" s="1107">
        <v>-500</v>
      </c>
      <c r="IH130" s="1099">
        <f>+IJ130-IG130</f>
        <v>-100</v>
      </c>
      <c r="II130" s="1099"/>
      <c r="IJ130" s="1108">
        <v>-600</v>
      </c>
      <c r="IK130" s="1099">
        <f>+IP130-IL130</f>
        <v>0</v>
      </c>
      <c r="IL130" s="1099"/>
      <c r="IM130" s="1099">
        <f>+IO130-IH130</f>
        <v>0</v>
      </c>
      <c r="IN130" s="1099"/>
      <c r="IO130" s="1099">
        <f>+IR130-IG130</f>
        <v>-100</v>
      </c>
      <c r="IP130" s="1100"/>
      <c r="IQ130" s="1099"/>
      <c r="IR130" s="1109">
        <v>-600</v>
      </c>
      <c r="IS130" s="1289"/>
      <c r="IT130" s="1099"/>
      <c r="IU130" s="1110">
        <v>600</v>
      </c>
      <c r="IV130" s="1110">
        <f t="shared" si="376"/>
        <v>600</v>
      </c>
      <c r="IW130" s="1099">
        <v>800</v>
      </c>
      <c r="IX130" s="1099">
        <v>1200</v>
      </c>
      <c r="IY130" s="1099"/>
      <c r="IZ130" s="1099">
        <f>JA130-IX130</f>
        <v>800</v>
      </c>
      <c r="JA130" s="1099">
        <v>2000</v>
      </c>
      <c r="JB130" s="1099">
        <f>+JC130-IZ130</f>
        <v>800</v>
      </c>
      <c r="JC130" s="1099">
        <f>+JD130-IX130</f>
        <v>1600</v>
      </c>
      <c r="JD130" s="1099">
        <f>+JD131+JD132+JD133</f>
        <v>2800</v>
      </c>
      <c r="JE130" s="1099"/>
      <c r="JF130" s="1099"/>
      <c r="JG130" s="1099"/>
      <c r="JH130" s="1100"/>
      <c r="JI130" s="1289"/>
      <c r="JJ130" s="1796">
        <f>ROUND(+IU41*JJ42*1.5*2,-2)/2</f>
        <v>850</v>
      </c>
      <c r="JK130" s="1797">
        <f>ROUND(+IV41*JK42*1.5*2,-2)/2</f>
        <v>850</v>
      </c>
      <c r="JL130" s="1127">
        <v>1200</v>
      </c>
      <c r="JM130" s="1099">
        <f t="shared" ref="JM130:JM134" si="390">+JP130-JL130</f>
        <v>1400</v>
      </c>
      <c r="JN130" s="1099">
        <f t="shared" ref="JN130:JN134" si="391">JS130-JP130</f>
        <v>1100</v>
      </c>
      <c r="JO130" s="1797"/>
      <c r="JP130" s="1797">
        <v>2600</v>
      </c>
      <c r="JQ130" s="1797"/>
      <c r="JR130" s="1797"/>
      <c r="JS130" s="1797">
        <v>3700</v>
      </c>
      <c r="JT130" s="1797">
        <f>ROUND(+IZ41*JT42*2*2,-2)/2</f>
        <v>850</v>
      </c>
      <c r="JU130" s="1127">
        <f>+JX130-JP130-JN130</f>
        <v>1000</v>
      </c>
      <c r="JV130" s="1110">
        <f>+JL130+JK130</f>
        <v>2050</v>
      </c>
      <c r="JW130" s="1110">
        <f>+JN130+JU130</f>
        <v>2100</v>
      </c>
      <c r="JX130" s="1110">
        <f>+Driver!AL225</f>
        <v>4700</v>
      </c>
      <c r="JY130" s="1110">
        <f>+JP130+JT130</f>
        <v>3450</v>
      </c>
      <c r="JZ130" s="603"/>
      <c r="KA130" s="746"/>
      <c r="KB130" s="1110">
        <f t="shared" ref="KB130:KB140" si="392">+KC130-JL130</f>
        <v>700</v>
      </c>
      <c r="KC130" s="1110">
        <v>1900</v>
      </c>
      <c r="KD130" s="1110">
        <f t="shared" ref="KD130:KD133" si="393">+KH130-KC130</f>
        <v>2100</v>
      </c>
      <c r="KE130" s="1110">
        <f>+KG130-JP130</f>
        <v>1400</v>
      </c>
      <c r="KF130" s="1110"/>
      <c r="KG130" s="1110">
        <v>4000</v>
      </c>
      <c r="KH130" s="1099">
        <f>+KH131+KH132+KH133</f>
        <v>4000</v>
      </c>
      <c r="KI130" s="746"/>
      <c r="KJ130" s="603"/>
      <c r="KK130" s="1099"/>
      <c r="KL130" s="1099">
        <f t="shared" ref="KL130:KL137" si="394">KM130-IX130</f>
        <v>1800</v>
      </c>
      <c r="KM130" s="1110">
        <v>3000</v>
      </c>
      <c r="KN130" s="603"/>
      <c r="KO130" s="1110">
        <v>1400</v>
      </c>
      <c r="KP130" s="1099">
        <v>1300</v>
      </c>
      <c r="KQ130" s="1100">
        <v>2700</v>
      </c>
      <c r="KR130" s="1099">
        <v>100</v>
      </c>
      <c r="KS130" s="1100">
        <v>-400</v>
      </c>
      <c r="KT130" s="1099">
        <f>KU130-IE130</f>
        <v>100</v>
      </c>
      <c r="KU130" s="1099">
        <v>-300</v>
      </c>
      <c r="KV130" s="1099">
        <f>KW130-KU130</f>
        <v>-400</v>
      </c>
      <c r="KW130" s="1100">
        <v>-700</v>
      </c>
      <c r="KX130" s="1099">
        <f>KY130-HN130</f>
        <v>-200</v>
      </c>
      <c r="KY130" s="1099">
        <f>KZ130-HI130</f>
        <v>0</v>
      </c>
      <c r="KZ130" s="1100">
        <v>800</v>
      </c>
      <c r="LA130" s="1099">
        <v>300</v>
      </c>
      <c r="LB130" s="1099">
        <f>LC130-LA130</f>
        <v>-100</v>
      </c>
      <c r="LC130" s="1100">
        <v>200</v>
      </c>
      <c r="LD130" s="1100"/>
      <c r="LE130" s="1099">
        <f>LF130-GR130</f>
        <v>1100</v>
      </c>
      <c r="LF130" s="1099">
        <f>LG130-GP130</f>
        <v>1800</v>
      </c>
      <c r="LG130" s="1100">
        <v>3000</v>
      </c>
    </row>
    <row r="131" spans="1:319" s="705" customFormat="1">
      <c r="A131" s="510"/>
      <c r="B131" s="1064" t="s">
        <v>1560</v>
      </c>
      <c r="C131" s="1065" t="s">
        <v>1389</v>
      </c>
      <c r="D131" s="497"/>
      <c r="E131" s="510"/>
      <c r="F131" s="510"/>
      <c r="G131" s="699"/>
      <c r="H131" s="510"/>
      <c r="I131" s="510"/>
      <c r="J131" s="699"/>
      <c r="K131" s="584"/>
      <c r="L131" s="584"/>
      <c r="M131" s="584"/>
      <c r="N131" s="584"/>
      <c r="O131" s="584"/>
      <c r="P131" s="584"/>
      <c r="Q131" s="584"/>
      <c r="R131" s="584"/>
      <c r="S131" s="700"/>
      <c r="T131" s="584"/>
      <c r="U131" s="584"/>
      <c r="V131" s="584"/>
      <c r="W131" s="584"/>
      <c r="X131" s="584"/>
      <c r="Y131" s="584"/>
      <c r="Z131" s="584"/>
      <c r="AA131" s="584"/>
      <c r="AB131" s="700"/>
      <c r="AC131" s="584"/>
      <c r="AD131" s="584"/>
      <c r="AE131" s="584"/>
      <c r="AF131" s="584"/>
      <c r="AG131" s="584"/>
      <c r="AH131" s="584"/>
      <c r="AI131" s="584"/>
      <c r="AJ131" s="584"/>
      <c r="AK131" s="497"/>
      <c r="AL131" s="584"/>
      <c r="AM131" s="584"/>
      <c r="AN131" s="584"/>
      <c r="AO131" s="584"/>
      <c r="AP131" s="584"/>
      <c r="AQ131" s="584"/>
      <c r="AR131" s="584"/>
      <c r="AS131" s="584"/>
      <c r="AT131" s="497"/>
      <c r="AU131" s="584"/>
      <c r="AV131" s="584"/>
      <c r="AW131" s="584"/>
      <c r="AX131" s="584"/>
      <c r="AY131" s="584"/>
      <c r="AZ131" s="584"/>
      <c r="BA131" s="584"/>
      <c r="BB131" s="625"/>
      <c r="BC131" s="625"/>
      <c r="BD131" s="584"/>
      <c r="BE131" s="584"/>
      <c r="BF131" s="497"/>
      <c r="BG131" s="584"/>
      <c r="BH131" s="584"/>
      <c r="BI131" s="584"/>
      <c r="BJ131" s="497"/>
      <c r="BK131" s="510"/>
      <c r="BL131" s="510"/>
      <c r="BM131" s="510"/>
      <c r="BN131" s="510"/>
      <c r="BO131" s="497"/>
      <c r="BP131" s="584"/>
      <c r="BQ131" s="584"/>
      <c r="BR131" s="584"/>
      <c r="BS131" s="584"/>
      <c r="BT131" s="584"/>
      <c r="BU131" s="584"/>
      <c r="BV131" s="584"/>
      <c r="BW131" s="584"/>
      <c r="BX131" s="584"/>
      <c r="BY131" s="584"/>
      <c r="BZ131" s="584"/>
      <c r="CA131" s="584"/>
      <c r="CB131" s="584"/>
      <c r="CC131" s="584"/>
      <c r="CD131" s="584"/>
      <c r="CE131" s="584"/>
      <c r="CF131" s="497"/>
      <c r="CG131" s="714"/>
      <c r="CH131" s="510"/>
      <c r="CI131" s="510"/>
      <c r="CJ131" s="510"/>
      <c r="CK131" s="510"/>
      <c r="CL131" s="510"/>
      <c r="CM131" s="510"/>
      <c r="CN131" s="510"/>
      <c r="CO131" s="510"/>
      <c r="CP131" s="510"/>
      <c r="CQ131" s="510"/>
      <c r="CR131" s="510"/>
      <c r="CS131" s="510"/>
      <c r="CT131" s="510"/>
      <c r="CU131" s="510"/>
      <c r="CV131" s="510"/>
      <c r="CW131" s="699"/>
      <c r="CX131" s="510"/>
      <c r="CY131" s="510"/>
      <c r="CZ131" s="510"/>
      <c r="DA131" s="510"/>
      <c r="DB131" s="510"/>
      <c r="DC131" s="510"/>
      <c r="DD131" s="510"/>
      <c r="DE131" s="510"/>
      <c r="DF131" s="510"/>
      <c r="DG131" s="510"/>
      <c r="DH131" s="510"/>
      <c r="DI131" s="510"/>
      <c r="DJ131" s="510"/>
      <c r="DK131" s="510"/>
      <c r="DL131" s="512"/>
      <c r="DM131" s="512"/>
      <c r="DN131" s="584"/>
      <c r="DO131" s="584"/>
      <c r="DP131" s="713"/>
      <c r="DQ131" s="713"/>
      <c r="DR131" s="713"/>
      <c r="DS131" s="517"/>
      <c r="DT131" s="512"/>
      <c r="DU131" s="584"/>
      <c r="DV131" s="759"/>
      <c r="DW131" s="710"/>
      <c r="DX131" s="713"/>
      <c r="DY131" s="713"/>
      <c r="DZ131" s="497"/>
      <c r="EB131" s="710"/>
      <c r="EC131" s="713"/>
      <c r="ED131" s="512"/>
      <c r="EE131" s="497"/>
      <c r="EF131" s="510"/>
      <c r="EG131" s="714"/>
      <c r="EH131" s="510"/>
      <c r="EI131" s="510"/>
      <c r="EJ131" s="510"/>
      <c r="EK131" s="510"/>
      <c r="EL131" s="510"/>
      <c r="EM131" s="510"/>
      <c r="EN131" s="510"/>
      <c r="EO131" s="510"/>
      <c r="EQ131" s="510"/>
      <c r="ES131" s="510"/>
      <c r="EU131" s="699"/>
      <c r="EV131" s="517"/>
      <c r="EW131" s="510"/>
      <c r="EX131" s="510"/>
      <c r="EY131" s="510"/>
      <c r="EZ131" s="510"/>
      <c r="FA131" s="510"/>
      <c r="FB131" s="510"/>
      <c r="FC131" s="510"/>
      <c r="FD131" s="492"/>
      <c r="FE131" s="510"/>
      <c r="FF131" s="492"/>
      <c r="FG131" s="1141"/>
      <c r="FH131" s="510"/>
      <c r="FI131" s="510"/>
      <c r="FJ131" s="510"/>
      <c r="FK131" s="699"/>
      <c r="FL131" s="512"/>
      <c r="FM131" s="584"/>
      <c r="FN131" s="713"/>
      <c r="FO131" s="713"/>
      <c r="FP131" s="713"/>
      <c r="FQ131" s="517"/>
      <c r="FR131" s="517"/>
      <c r="FS131" s="510"/>
      <c r="FT131" s="713"/>
      <c r="FU131" s="713"/>
      <c r="FV131" s="510"/>
      <c r="FW131" s="510"/>
      <c r="FX131" s="510"/>
      <c r="FY131" s="510"/>
      <c r="FZ131" s="510"/>
      <c r="GA131" s="510"/>
      <c r="GB131" s="510"/>
      <c r="GC131" s="510"/>
      <c r="GD131" s="699"/>
      <c r="GE131" s="510"/>
      <c r="GF131" s="510"/>
      <c r="GG131" s="510"/>
      <c r="GH131" s="510"/>
      <c r="GI131" s="713"/>
      <c r="GJ131" s="715"/>
      <c r="GK131" s="713"/>
      <c r="GL131" s="713"/>
      <c r="GM131" s="713"/>
      <c r="GN131" s="713"/>
      <c r="GO131" s="713"/>
      <c r="GP131" s="713"/>
      <c r="GQ131" s="713"/>
      <c r="GR131" s="510"/>
      <c r="GS131" s="510"/>
      <c r="GT131" s="510"/>
      <c r="GU131" s="510"/>
      <c r="GV131" s="699"/>
      <c r="GW131" s="510"/>
      <c r="GX131" s="713"/>
      <c r="GY131" s="713"/>
      <c r="GZ131" s="713"/>
      <c r="HA131" s="715"/>
      <c r="HB131" s="713"/>
      <c r="HC131" s="713"/>
      <c r="HD131" s="713"/>
      <c r="HE131" s="713"/>
      <c r="HF131" s="713"/>
      <c r="HG131" s="713"/>
      <c r="HH131" s="713"/>
      <c r="HI131" s="713"/>
      <c r="HJ131" s="713"/>
      <c r="HK131" s="713"/>
      <c r="HL131" s="713"/>
      <c r="HM131" s="713"/>
      <c r="HN131" s="510"/>
      <c r="HO131" s="510"/>
      <c r="HP131" s="510"/>
      <c r="HQ131" s="510"/>
      <c r="HR131" s="510"/>
      <c r="HS131" s="510"/>
      <c r="HT131" s="510"/>
      <c r="HU131" s="510"/>
      <c r="HV131" s="510"/>
      <c r="HW131" s="713"/>
      <c r="HX131" s="713"/>
      <c r="HY131" s="713"/>
      <c r="HZ131" s="510"/>
      <c r="IA131" s="713"/>
      <c r="IB131" s="713"/>
      <c r="IC131" s="715"/>
      <c r="ID131" s="713"/>
      <c r="IE131" s="784"/>
      <c r="IF131" s="713"/>
      <c r="IG131" s="1134"/>
      <c r="IH131" s="713"/>
      <c r="II131" s="713"/>
      <c r="IJ131" s="1135"/>
      <c r="IK131" s="713"/>
      <c r="IL131" s="713"/>
      <c r="IM131" s="713"/>
      <c r="IN131" s="713"/>
      <c r="IO131" s="713"/>
      <c r="IP131" s="517"/>
      <c r="IQ131" s="713"/>
      <c r="IR131" s="517"/>
      <c r="IS131" s="1289"/>
      <c r="IT131" s="713"/>
      <c r="IU131" s="603">
        <v>1400</v>
      </c>
      <c r="IV131" s="713">
        <f t="shared" si="376"/>
        <v>1600</v>
      </c>
      <c r="IW131" s="713"/>
      <c r="IX131" s="713">
        <v>3000</v>
      </c>
      <c r="IY131" s="713"/>
      <c r="IZ131" s="713">
        <v>1500</v>
      </c>
      <c r="JA131" s="1624">
        <f t="shared" ref="JA131:JA133" si="395">+IX131+IZ131</f>
        <v>4500</v>
      </c>
      <c r="JB131" s="713">
        <f t="shared" ref="JB131:JB134" si="396">+JC131-IZ131</f>
        <v>1500</v>
      </c>
      <c r="JC131" s="713">
        <f t="shared" ref="JC131:JC134" si="397">+JD131-IX131</f>
        <v>3000</v>
      </c>
      <c r="JD131" s="713">
        <v>6000</v>
      </c>
      <c r="JE131" s="713"/>
      <c r="JF131" s="713"/>
      <c r="JG131" s="713"/>
      <c r="JH131" s="517"/>
      <c r="JI131" s="1289"/>
      <c r="JJ131" s="1289"/>
      <c r="JK131" s="603"/>
      <c r="JL131" s="584">
        <v>2500</v>
      </c>
      <c r="JM131" s="603">
        <f t="shared" si="390"/>
        <v>400</v>
      </c>
      <c r="JN131" s="713">
        <f t="shared" si="391"/>
        <v>1200</v>
      </c>
      <c r="JO131" s="603"/>
      <c r="JP131" s="603">
        <v>2900</v>
      </c>
      <c r="JQ131" s="603"/>
      <c r="JR131" s="603"/>
      <c r="JS131" s="603">
        <v>4100</v>
      </c>
      <c r="JT131" s="603"/>
      <c r="JU131" s="603"/>
      <c r="JV131" s="603"/>
      <c r="JW131" s="603"/>
      <c r="JX131" s="603"/>
      <c r="JY131" s="603"/>
      <c r="JZ131" s="603"/>
      <c r="KA131" s="746"/>
      <c r="KB131" s="603">
        <f t="shared" si="392"/>
        <v>1100</v>
      </c>
      <c r="KC131" s="603">
        <v>3600</v>
      </c>
      <c r="KD131" s="603">
        <f t="shared" si="393"/>
        <v>3600</v>
      </c>
      <c r="KE131" s="603">
        <f>+KG131-JP131</f>
        <v>2200</v>
      </c>
      <c r="KF131" s="603"/>
      <c r="KG131" s="603">
        <v>5100</v>
      </c>
      <c r="KH131" s="603">
        <v>7200</v>
      </c>
      <c r="KI131" s="746"/>
      <c r="KJ131" s="603"/>
      <c r="KK131" s="713"/>
      <c r="KL131" s="713">
        <f t="shared" si="394"/>
        <v>2500</v>
      </c>
      <c r="KM131" s="723">
        <v>5500</v>
      </c>
      <c r="KN131" s="603"/>
      <c r="KO131" s="723">
        <v>2600</v>
      </c>
      <c r="KP131" s="713">
        <v>2500</v>
      </c>
      <c r="KQ131" s="517">
        <v>5100</v>
      </c>
      <c r="KR131" s="713"/>
      <c r="KS131" s="517"/>
      <c r="KT131" s="713"/>
      <c r="KU131" s="713"/>
      <c r="KV131" s="713"/>
      <c r="KW131" s="517"/>
      <c r="KX131" s="713"/>
      <c r="KY131" s="713"/>
      <c r="KZ131" s="517"/>
      <c r="LA131" s="713"/>
      <c r="LB131" s="713"/>
      <c r="LC131" s="517"/>
      <c r="LD131" s="517"/>
      <c r="LE131" s="713"/>
      <c r="LF131" s="713"/>
      <c r="LG131" s="517"/>
    </row>
    <row r="132" spans="1:319" s="705" customFormat="1">
      <c r="A132" s="510"/>
      <c r="B132" s="1064" t="s">
        <v>1506</v>
      </c>
      <c r="C132" s="1065" t="s">
        <v>1363</v>
      </c>
      <c r="D132" s="497"/>
      <c r="E132" s="510"/>
      <c r="F132" s="510"/>
      <c r="G132" s="699"/>
      <c r="H132" s="510"/>
      <c r="I132" s="510"/>
      <c r="J132" s="699"/>
      <c r="K132" s="584"/>
      <c r="L132" s="584"/>
      <c r="M132" s="584"/>
      <c r="N132" s="584"/>
      <c r="O132" s="584"/>
      <c r="P132" s="584"/>
      <c r="Q132" s="584"/>
      <c r="R132" s="584"/>
      <c r="S132" s="700"/>
      <c r="T132" s="584"/>
      <c r="U132" s="584"/>
      <c r="V132" s="584"/>
      <c r="W132" s="584"/>
      <c r="X132" s="584"/>
      <c r="Y132" s="584"/>
      <c r="Z132" s="584"/>
      <c r="AA132" s="584"/>
      <c r="AB132" s="700"/>
      <c r="AC132" s="584"/>
      <c r="AD132" s="584"/>
      <c r="AE132" s="584"/>
      <c r="AF132" s="584"/>
      <c r="AG132" s="584"/>
      <c r="AH132" s="584"/>
      <c r="AI132" s="584"/>
      <c r="AJ132" s="584"/>
      <c r="AK132" s="497"/>
      <c r="AL132" s="584"/>
      <c r="AM132" s="584"/>
      <c r="AN132" s="584"/>
      <c r="AO132" s="584"/>
      <c r="AP132" s="584"/>
      <c r="AQ132" s="584"/>
      <c r="AR132" s="584"/>
      <c r="AS132" s="584"/>
      <c r="AT132" s="497"/>
      <c r="AU132" s="584"/>
      <c r="AV132" s="584"/>
      <c r="AW132" s="584"/>
      <c r="AX132" s="584"/>
      <c r="AY132" s="584"/>
      <c r="AZ132" s="584"/>
      <c r="BA132" s="584"/>
      <c r="BB132" s="625"/>
      <c r="BC132" s="625"/>
      <c r="BD132" s="584"/>
      <c r="BE132" s="584"/>
      <c r="BF132" s="497"/>
      <c r="BG132" s="584"/>
      <c r="BH132" s="584"/>
      <c r="BI132" s="584"/>
      <c r="BJ132" s="497"/>
      <c r="BK132" s="510"/>
      <c r="BL132" s="510"/>
      <c r="BM132" s="510"/>
      <c r="BN132" s="510"/>
      <c r="BO132" s="497"/>
      <c r="BP132" s="584"/>
      <c r="BQ132" s="584"/>
      <c r="BR132" s="584"/>
      <c r="BS132" s="584"/>
      <c r="BT132" s="584"/>
      <c r="BU132" s="584"/>
      <c r="BV132" s="584"/>
      <c r="BW132" s="584"/>
      <c r="BX132" s="584"/>
      <c r="BY132" s="584"/>
      <c r="BZ132" s="584"/>
      <c r="CA132" s="584"/>
      <c r="CB132" s="584"/>
      <c r="CC132" s="584"/>
      <c r="CD132" s="584"/>
      <c r="CE132" s="584"/>
      <c r="CF132" s="497"/>
      <c r="CG132" s="714"/>
      <c r="CH132" s="510"/>
      <c r="CI132" s="510"/>
      <c r="CJ132" s="510"/>
      <c r="CK132" s="510"/>
      <c r="CL132" s="510"/>
      <c r="CM132" s="510"/>
      <c r="CN132" s="510"/>
      <c r="CO132" s="510"/>
      <c r="CP132" s="510"/>
      <c r="CQ132" s="510"/>
      <c r="CR132" s="510"/>
      <c r="CS132" s="510"/>
      <c r="CT132" s="510"/>
      <c r="CU132" s="510"/>
      <c r="CV132" s="510"/>
      <c r="CW132" s="699"/>
      <c r="CX132" s="510"/>
      <c r="CY132" s="510"/>
      <c r="CZ132" s="510"/>
      <c r="DA132" s="510"/>
      <c r="DB132" s="510"/>
      <c r="DC132" s="510"/>
      <c r="DD132" s="510"/>
      <c r="DE132" s="510"/>
      <c r="DF132" s="510"/>
      <c r="DG132" s="510"/>
      <c r="DH132" s="510"/>
      <c r="DI132" s="510"/>
      <c r="DJ132" s="510"/>
      <c r="DK132" s="510"/>
      <c r="DL132" s="512"/>
      <c r="DM132" s="512"/>
      <c r="DN132" s="584"/>
      <c r="DO132" s="584"/>
      <c r="DP132" s="713"/>
      <c r="DQ132" s="713"/>
      <c r="DR132" s="713"/>
      <c r="DS132" s="517"/>
      <c r="DT132" s="512"/>
      <c r="DU132" s="584"/>
      <c r="DV132" s="759"/>
      <c r="DW132" s="710"/>
      <c r="DX132" s="713"/>
      <c r="DY132" s="713"/>
      <c r="DZ132" s="497"/>
      <c r="EB132" s="710"/>
      <c r="EC132" s="713"/>
      <c r="ED132" s="512"/>
      <c r="EE132" s="497"/>
      <c r="EF132" s="510"/>
      <c r="EG132" s="714"/>
      <c r="EH132" s="510"/>
      <c r="EI132" s="510"/>
      <c r="EJ132" s="510"/>
      <c r="EK132" s="510"/>
      <c r="EL132" s="510"/>
      <c r="EM132" s="510"/>
      <c r="EN132" s="510"/>
      <c r="EO132" s="510"/>
      <c r="EQ132" s="510"/>
      <c r="ES132" s="510"/>
      <c r="EU132" s="699"/>
      <c r="EV132" s="517"/>
      <c r="EW132" s="510"/>
      <c r="EX132" s="510"/>
      <c r="EY132" s="510"/>
      <c r="EZ132" s="510"/>
      <c r="FA132" s="510"/>
      <c r="FB132" s="510"/>
      <c r="FC132" s="510"/>
      <c r="FD132" s="492"/>
      <c r="FE132" s="510"/>
      <c r="FF132" s="492"/>
      <c r="FG132" s="1141"/>
      <c r="FH132" s="510"/>
      <c r="FI132" s="510"/>
      <c r="FJ132" s="510"/>
      <c r="FK132" s="699"/>
      <c r="FL132" s="512"/>
      <c r="FM132" s="584"/>
      <c r="FN132" s="713"/>
      <c r="FO132" s="713"/>
      <c r="FP132" s="713"/>
      <c r="FQ132" s="517"/>
      <c r="FR132" s="517"/>
      <c r="FS132" s="510"/>
      <c r="FT132" s="713"/>
      <c r="FU132" s="713"/>
      <c r="FV132" s="510"/>
      <c r="FW132" s="510"/>
      <c r="FX132" s="510"/>
      <c r="FY132" s="510"/>
      <c r="FZ132" s="510"/>
      <c r="GA132" s="510"/>
      <c r="GB132" s="510"/>
      <c r="GC132" s="510"/>
      <c r="GD132" s="699"/>
      <c r="GE132" s="510"/>
      <c r="GF132" s="510"/>
      <c r="GG132" s="510"/>
      <c r="GH132" s="510"/>
      <c r="GI132" s="713"/>
      <c r="GJ132" s="715"/>
      <c r="GK132" s="713"/>
      <c r="GL132" s="713"/>
      <c r="GM132" s="713"/>
      <c r="GN132" s="713"/>
      <c r="GO132" s="713"/>
      <c r="GP132" s="713"/>
      <c r="GQ132" s="713"/>
      <c r="GR132" s="510"/>
      <c r="GS132" s="510"/>
      <c r="GT132" s="510"/>
      <c r="GU132" s="510"/>
      <c r="GV132" s="699"/>
      <c r="GW132" s="510"/>
      <c r="GX132" s="713"/>
      <c r="GY132" s="713"/>
      <c r="GZ132" s="713"/>
      <c r="HA132" s="715"/>
      <c r="HB132" s="713"/>
      <c r="HC132" s="713"/>
      <c r="HD132" s="713"/>
      <c r="HE132" s="713"/>
      <c r="HF132" s="713"/>
      <c r="HG132" s="713"/>
      <c r="HH132" s="713"/>
      <c r="HI132" s="713"/>
      <c r="HJ132" s="713"/>
      <c r="HK132" s="713"/>
      <c r="HL132" s="713"/>
      <c r="HM132" s="713"/>
      <c r="HN132" s="510"/>
      <c r="HO132" s="510"/>
      <c r="HP132" s="510"/>
      <c r="HQ132" s="510"/>
      <c r="HR132" s="510"/>
      <c r="HS132" s="510"/>
      <c r="HT132" s="510"/>
      <c r="HU132" s="510"/>
      <c r="HV132" s="510"/>
      <c r="HW132" s="713"/>
      <c r="HX132" s="713"/>
      <c r="HY132" s="713"/>
      <c r="HZ132" s="510"/>
      <c r="IA132" s="713"/>
      <c r="IB132" s="713"/>
      <c r="IC132" s="715"/>
      <c r="ID132" s="713"/>
      <c r="IE132" s="784"/>
      <c r="IF132" s="713"/>
      <c r="IG132" s="1134">
        <v>-500</v>
      </c>
      <c r="IH132" s="713"/>
      <c r="II132" s="713"/>
      <c r="IJ132" s="713"/>
      <c r="IK132" s="713"/>
      <c r="IL132" s="713"/>
      <c r="IM132" s="713"/>
      <c r="IN132" s="713"/>
      <c r="IO132" s="713"/>
      <c r="IP132" s="517"/>
      <c r="IQ132" s="713"/>
      <c r="IR132" s="517">
        <v>-500</v>
      </c>
      <c r="IS132" s="1289"/>
      <c r="IT132" s="713"/>
      <c r="IU132" s="603">
        <v>-200</v>
      </c>
      <c r="IV132" s="713">
        <f t="shared" si="376"/>
        <v>-200</v>
      </c>
      <c r="IW132" s="713"/>
      <c r="IX132" s="713">
        <v>-400</v>
      </c>
      <c r="IY132" s="713"/>
      <c r="IZ132" s="713">
        <v>-100</v>
      </c>
      <c r="JA132" s="1624">
        <f t="shared" si="395"/>
        <v>-500</v>
      </c>
      <c r="JB132" s="713">
        <f t="shared" si="396"/>
        <v>-100</v>
      </c>
      <c r="JC132" s="713">
        <f t="shared" si="397"/>
        <v>-200</v>
      </c>
      <c r="JD132" s="713">
        <v>-600</v>
      </c>
      <c r="JE132" s="713"/>
      <c r="JF132" s="713"/>
      <c r="JG132" s="713"/>
      <c r="JH132" s="517"/>
      <c r="JI132" s="1289"/>
      <c r="JJ132" s="1289"/>
      <c r="JK132" s="603"/>
      <c r="JL132" s="584">
        <v>-200</v>
      </c>
      <c r="JM132" s="603">
        <f t="shared" si="390"/>
        <v>-100</v>
      </c>
      <c r="JN132" s="713">
        <f t="shared" si="391"/>
        <v>-100</v>
      </c>
      <c r="JO132" s="603"/>
      <c r="JP132" s="603">
        <v>-300</v>
      </c>
      <c r="JQ132" s="603"/>
      <c r="JR132" s="603"/>
      <c r="JS132" s="603">
        <v>-400</v>
      </c>
      <c r="JT132" s="603"/>
      <c r="JU132" s="603"/>
      <c r="JV132" s="603"/>
      <c r="JW132" s="603"/>
      <c r="JX132" s="603"/>
      <c r="JY132" s="603"/>
      <c r="JZ132" s="603"/>
      <c r="KA132" s="746"/>
      <c r="KB132" s="603">
        <f t="shared" si="392"/>
        <v>-300</v>
      </c>
      <c r="KC132" s="603">
        <v>-500</v>
      </c>
      <c r="KD132" s="603">
        <f t="shared" si="393"/>
        <v>-600</v>
      </c>
      <c r="KE132" s="603">
        <f>+KG132-JP132</f>
        <v>-800</v>
      </c>
      <c r="KF132" s="603"/>
      <c r="KG132" s="603">
        <v>-1100</v>
      </c>
      <c r="KH132" s="603">
        <v>-1100</v>
      </c>
      <c r="KI132" s="746"/>
      <c r="KJ132" s="603"/>
      <c r="KK132" s="713"/>
      <c r="KL132" s="713">
        <f t="shared" si="394"/>
        <v>-200</v>
      </c>
      <c r="KM132" s="603">
        <v>-600</v>
      </c>
      <c r="KN132" s="603"/>
      <c r="KO132" s="603">
        <v>-200</v>
      </c>
      <c r="KP132" s="713">
        <v>-300</v>
      </c>
      <c r="KQ132" s="517">
        <v>-500</v>
      </c>
      <c r="KR132" s="713">
        <v>300</v>
      </c>
      <c r="KS132" s="517">
        <v>-200</v>
      </c>
      <c r="KT132" s="713"/>
      <c r="KU132" s="713"/>
      <c r="KV132" s="713"/>
      <c r="KW132" s="517">
        <v>0</v>
      </c>
      <c r="KX132" s="713"/>
      <c r="KY132" s="713"/>
      <c r="KZ132" s="517"/>
      <c r="LA132" s="713"/>
      <c r="LB132" s="713"/>
      <c r="LC132" s="517"/>
      <c r="LD132" s="517"/>
      <c r="LE132" s="713"/>
      <c r="LF132" s="713"/>
      <c r="LG132" s="517"/>
    </row>
    <row r="133" spans="1:319" s="705" customFormat="1">
      <c r="A133" s="510"/>
      <c r="B133" s="1064" t="s">
        <v>1561</v>
      </c>
      <c r="C133" s="1065" t="s">
        <v>1366</v>
      </c>
      <c r="D133" s="497"/>
      <c r="E133" s="510"/>
      <c r="F133" s="510"/>
      <c r="G133" s="699"/>
      <c r="H133" s="510"/>
      <c r="I133" s="510"/>
      <c r="J133" s="699"/>
      <c r="K133" s="584"/>
      <c r="L133" s="584"/>
      <c r="M133" s="584"/>
      <c r="N133" s="584"/>
      <c r="O133" s="584"/>
      <c r="P133" s="584"/>
      <c r="Q133" s="584"/>
      <c r="R133" s="584"/>
      <c r="S133" s="700"/>
      <c r="T133" s="584"/>
      <c r="U133" s="584"/>
      <c r="V133" s="584"/>
      <c r="W133" s="584"/>
      <c r="X133" s="584"/>
      <c r="Y133" s="584"/>
      <c r="Z133" s="584"/>
      <c r="AA133" s="584"/>
      <c r="AB133" s="700"/>
      <c r="AC133" s="584"/>
      <c r="AD133" s="584"/>
      <c r="AE133" s="584"/>
      <c r="AF133" s="584"/>
      <c r="AG133" s="584"/>
      <c r="AH133" s="584"/>
      <c r="AI133" s="584"/>
      <c r="AJ133" s="584"/>
      <c r="AK133" s="497"/>
      <c r="AL133" s="584"/>
      <c r="AM133" s="584"/>
      <c r="AN133" s="584"/>
      <c r="AO133" s="584"/>
      <c r="AP133" s="584"/>
      <c r="AQ133" s="584"/>
      <c r="AR133" s="584"/>
      <c r="AS133" s="584"/>
      <c r="AT133" s="497"/>
      <c r="AU133" s="584"/>
      <c r="AV133" s="584"/>
      <c r="AW133" s="584"/>
      <c r="AX133" s="584"/>
      <c r="AY133" s="584"/>
      <c r="AZ133" s="584"/>
      <c r="BA133" s="584"/>
      <c r="BB133" s="625"/>
      <c r="BC133" s="625"/>
      <c r="BD133" s="584"/>
      <c r="BE133" s="584"/>
      <c r="BF133" s="497"/>
      <c r="BG133" s="584"/>
      <c r="BH133" s="584"/>
      <c r="BI133" s="584"/>
      <c r="BJ133" s="497"/>
      <c r="BK133" s="510"/>
      <c r="BL133" s="510"/>
      <c r="BM133" s="510"/>
      <c r="BN133" s="510"/>
      <c r="BO133" s="497"/>
      <c r="BP133" s="584"/>
      <c r="BQ133" s="584"/>
      <c r="BR133" s="584"/>
      <c r="BS133" s="584"/>
      <c r="BT133" s="584"/>
      <c r="BU133" s="584"/>
      <c r="BV133" s="584"/>
      <c r="BW133" s="584"/>
      <c r="BX133" s="584"/>
      <c r="BY133" s="584"/>
      <c r="BZ133" s="584"/>
      <c r="CA133" s="584"/>
      <c r="CB133" s="584"/>
      <c r="CC133" s="584"/>
      <c r="CD133" s="584"/>
      <c r="CE133" s="584"/>
      <c r="CF133" s="497"/>
      <c r="CG133" s="714"/>
      <c r="CH133" s="510"/>
      <c r="CI133" s="510"/>
      <c r="CJ133" s="510"/>
      <c r="CK133" s="510"/>
      <c r="CL133" s="510"/>
      <c r="CM133" s="510"/>
      <c r="CN133" s="510"/>
      <c r="CO133" s="510"/>
      <c r="CP133" s="510"/>
      <c r="CQ133" s="510"/>
      <c r="CR133" s="510"/>
      <c r="CS133" s="510"/>
      <c r="CT133" s="510"/>
      <c r="CU133" s="510"/>
      <c r="CV133" s="510"/>
      <c r="CW133" s="699"/>
      <c r="CX133" s="510"/>
      <c r="CY133" s="510"/>
      <c r="CZ133" s="510"/>
      <c r="DA133" s="510"/>
      <c r="DB133" s="510"/>
      <c r="DC133" s="510"/>
      <c r="DD133" s="510"/>
      <c r="DE133" s="510"/>
      <c r="DF133" s="510"/>
      <c r="DG133" s="510"/>
      <c r="DH133" s="510"/>
      <c r="DI133" s="510"/>
      <c r="DJ133" s="510"/>
      <c r="DK133" s="510"/>
      <c r="DL133" s="512"/>
      <c r="DM133" s="512"/>
      <c r="DN133" s="584"/>
      <c r="DO133" s="584"/>
      <c r="DP133" s="713"/>
      <c r="DQ133" s="713"/>
      <c r="DR133" s="713"/>
      <c r="DS133" s="517"/>
      <c r="DT133" s="512"/>
      <c r="DU133" s="584"/>
      <c r="DV133" s="759"/>
      <c r="DW133" s="710"/>
      <c r="DX133" s="713"/>
      <c r="DY133" s="713"/>
      <c r="DZ133" s="497"/>
      <c r="EB133" s="710"/>
      <c r="EC133" s="713"/>
      <c r="ED133" s="512"/>
      <c r="EE133" s="497"/>
      <c r="EF133" s="510"/>
      <c r="EG133" s="714"/>
      <c r="EH133" s="510"/>
      <c r="EI133" s="510"/>
      <c r="EJ133" s="510"/>
      <c r="EK133" s="510"/>
      <c r="EL133" s="510"/>
      <c r="EM133" s="510"/>
      <c r="EN133" s="510"/>
      <c r="EO133" s="510"/>
      <c r="EQ133" s="510"/>
      <c r="ES133" s="510"/>
      <c r="EU133" s="699"/>
      <c r="EV133" s="517"/>
      <c r="EW133" s="510"/>
      <c r="EX133" s="510"/>
      <c r="EY133" s="510"/>
      <c r="EZ133" s="510"/>
      <c r="FA133" s="510"/>
      <c r="FB133" s="510"/>
      <c r="FC133" s="510"/>
      <c r="FD133" s="492"/>
      <c r="FE133" s="510"/>
      <c r="FF133" s="492"/>
      <c r="FG133" s="1141"/>
      <c r="FH133" s="510"/>
      <c r="FI133" s="510"/>
      <c r="FJ133" s="510"/>
      <c r="FK133" s="699"/>
      <c r="FL133" s="512"/>
      <c r="FM133" s="584"/>
      <c r="FN133" s="713"/>
      <c r="FO133" s="713"/>
      <c r="FP133" s="713"/>
      <c r="FQ133" s="517"/>
      <c r="FR133" s="517"/>
      <c r="FS133" s="510"/>
      <c r="FT133" s="713"/>
      <c r="FU133" s="713"/>
      <c r="FV133" s="510"/>
      <c r="FW133" s="510"/>
      <c r="FX133" s="510"/>
      <c r="FY133" s="510"/>
      <c r="FZ133" s="510"/>
      <c r="GA133" s="510"/>
      <c r="GB133" s="510"/>
      <c r="GC133" s="510"/>
      <c r="GD133" s="699"/>
      <c r="GE133" s="510"/>
      <c r="GF133" s="510"/>
      <c r="GG133" s="510"/>
      <c r="GH133" s="510"/>
      <c r="GI133" s="713"/>
      <c r="GJ133" s="715"/>
      <c r="GK133" s="713"/>
      <c r="GL133" s="713"/>
      <c r="GM133" s="713"/>
      <c r="GN133" s="713"/>
      <c r="GO133" s="713"/>
      <c r="GP133" s="713"/>
      <c r="GQ133" s="713"/>
      <c r="GR133" s="510"/>
      <c r="GS133" s="510"/>
      <c r="GT133" s="510"/>
      <c r="GU133" s="510"/>
      <c r="GV133" s="699"/>
      <c r="GW133" s="510"/>
      <c r="GX133" s="713"/>
      <c r="GY133" s="713"/>
      <c r="GZ133" s="713"/>
      <c r="HA133" s="715"/>
      <c r="HB133" s="713"/>
      <c r="HC133" s="713"/>
      <c r="HD133" s="713"/>
      <c r="HE133" s="713"/>
      <c r="HF133" s="713"/>
      <c r="HG133" s="713"/>
      <c r="HH133" s="713"/>
      <c r="HI133" s="713"/>
      <c r="HJ133" s="713"/>
      <c r="HK133" s="713"/>
      <c r="HL133" s="713"/>
      <c r="HM133" s="713"/>
      <c r="HN133" s="510"/>
      <c r="HO133" s="510"/>
      <c r="HP133" s="510"/>
      <c r="HQ133" s="510"/>
      <c r="HR133" s="510"/>
      <c r="HS133" s="510"/>
      <c r="HT133" s="510"/>
      <c r="HU133" s="510"/>
      <c r="HV133" s="510"/>
      <c r="HW133" s="713"/>
      <c r="HX133" s="713"/>
      <c r="HY133" s="713"/>
      <c r="HZ133" s="510"/>
      <c r="IA133" s="713"/>
      <c r="IB133" s="713"/>
      <c r="IC133" s="715"/>
      <c r="ID133" s="713"/>
      <c r="IE133" s="784"/>
      <c r="IF133" s="713"/>
      <c r="IG133" s="1134">
        <v>0</v>
      </c>
      <c r="IH133" s="713"/>
      <c r="II133" s="713"/>
      <c r="IJ133" s="713"/>
      <c r="IK133" s="713"/>
      <c r="IL133" s="713"/>
      <c r="IM133" s="713"/>
      <c r="IN133" s="713"/>
      <c r="IO133" s="713"/>
      <c r="IP133" s="517"/>
      <c r="IQ133" s="713"/>
      <c r="IR133" s="517">
        <v>-100</v>
      </c>
      <c r="IS133" s="1289"/>
      <c r="IT133" s="713"/>
      <c r="IU133" s="603">
        <v>-600</v>
      </c>
      <c r="IV133" s="713">
        <f t="shared" si="376"/>
        <v>-800</v>
      </c>
      <c r="IW133" s="713"/>
      <c r="IX133" s="713">
        <v>-1400</v>
      </c>
      <c r="IY133" s="713"/>
      <c r="IZ133" s="713">
        <v>-600</v>
      </c>
      <c r="JA133" s="1624">
        <f t="shared" si="395"/>
        <v>-2000</v>
      </c>
      <c r="JB133" s="713">
        <f t="shared" si="396"/>
        <v>-600</v>
      </c>
      <c r="JC133" s="713">
        <f t="shared" si="397"/>
        <v>-1200</v>
      </c>
      <c r="JD133" s="713">
        <v>-2600</v>
      </c>
      <c r="JE133" s="713"/>
      <c r="JF133" s="713"/>
      <c r="JG133" s="713"/>
      <c r="JH133" s="517"/>
      <c r="JI133" s="1289"/>
      <c r="JJ133" s="1289"/>
      <c r="JK133" s="603"/>
      <c r="JL133" s="584">
        <v>-1100</v>
      </c>
      <c r="JM133" s="603">
        <f t="shared" si="390"/>
        <v>1100</v>
      </c>
      <c r="JN133" s="713">
        <f t="shared" si="391"/>
        <v>0</v>
      </c>
      <c r="JO133" s="603"/>
      <c r="JP133" s="603"/>
      <c r="JQ133" s="603"/>
      <c r="JR133" s="603"/>
      <c r="JS133" s="603"/>
      <c r="JT133" s="603"/>
      <c r="JU133" s="603"/>
      <c r="JV133" s="603"/>
      <c r="JW133" s="603"/>
      <c r="JX133" s="603"/>
      <c r="JY133" s="603"/>
      <c r="JZ133" s="603"/>
      <c r="KA133" s="746"/>
      <c r="KB133" s="603">
        <f t="shared" si="392"/>
        <v>-100</v>
      </c>
      <c r="KC133" s="603">
        <v>-1200</v>
      </c>
      <c r="KD133" s="603">
        <f t="shared" si="393"/>
        <v>-900</v>
      </c>
      <c r="KE133" s="603">
        <f>+KG133-JP133</f>
        <v>0</v>
      </c>
      <c r="KF133" s="603"/>
      <c r="KG133" s="603"/>
      <c r="KH133" s="603">
        <v>-2100</v>
      </c>
      <c r="KI133" s="746"/>
      <c r="KJ133" s="603"/>
      <c r="KK133" s="713"/>
      <c r="KL133" s="713">
        <f t="shared" si="394"/>
        <v>-500</v>
      </c>
      <c r="KM133" s="603">
        <v>-1900</v>
      </c>
      <c r="KN133" s="603"/>
      <c r="KO133" s="603">
        <v>-1000</v>
      </c>
      <c r="KP133" s="713">
        <v>-900</v>
      </c>
      <c r="KQ133" s="517">
        <v>-1900</v>
      </c>
      <c r="KR133" s="713">
        <v>-200</v>
      </c>
      <c r="KS133" s="517">
        <v>-200</v>
      </c>
      <c r="KT133" s="713"/>
      <c r="KU133" s="713"/>
      <c r="KV133" s="713"/>
      <c r="KW133" s="517">
        <v>-700</v>
      </c>
      <c r="KX133" s="713"/>
      <c r="KY133" s="713"/>
      <c r="KZ133" s="517"/>
      <c r="LA133" s="713"/>
      <c r="LB133" s="713"/>
      <c r="LC133" s="517"/>
      <c r="LD133" s="517"/>
      <c r="LE133" s="713"/>
      <c r="LF133" s="713"/>
      <c r="LG133" s="517"/>
    </row>
    <row r="134" spans="1:319" s="1044" customFormat="1" ht="12">
      <c r="A134" s="1036"/>
      <c r="B134" s="1037" t="s">
        <v>1077</v>
      </c>
      <c r="C134" s="1038" t="s">
        <v>942</v>
      </c>
      <c r="D134" s="1039"/>
      <c r="E134" s="1036"/>
      <c r="F134" s="1036"/>
      <c r="G134" s="1040"/>
      <c r="H134" s="1036"/>
      <c r="I134" s="1036"/>
      <c r="J134" s="1040"/>
      <c r="K134" s="1041"/>
      <c r="L134" s="1041"/>
      <c r="M134" s="1041"/>
      <c r="N134" s="1041"/>
      <c r="O134" s="1041"/>
      <c r="P134" s="1041"/>
      <c r="Q134" s="1041"/>
      <c r="R134" s="1041"/>
      <c r="S134" s="1042"/>
      <c r="T134" s="1041"/>
      <c r="U134" s="1041"/>
      <c r="V134" s="1041"/>
      <c r="W134" s="1041"/>
      <c r="X134" s="1041"/>
      <c r="Y134" s="1041"/>
      <c r="Z134" s="1041"/>
      <c r="AA134" s="1041"/>
      <c r="AB134" s="1042"/>
      <c r="AC134" s="1041"/>
      <c r="AD134" s="1041"/>
      <c r="AE134" s="1041"/>
      <c r="AF134" s="1041"/>
      <c r="AG134" s="1041"/>
      <c r="AH134" s="1041">
        <v>600</v>
      </c>
      <c r="AI134" s="1041">
        <f t="shared" si="378"/>
        <v>400</v>
      </c>
      <c r="AJ134" s="1041">
        <v>1000</v>
      </c>
      <c r="AK134" s="1039"/>
      <c r="AL134" s="1041"/>
      <c r="AM134" s="1041"/>
      <c r="AN134" s="1041"/>
      <c r="AO134" s="1041"/>
      <c r="AP134" s="1041">
        <v>-400</v>
      </c>
      <c r="AQ134" s="1041">
        <v>-200</v>
      </c>
      <c r="AR134" s="1041">
        <f t="shared" si="379"/>
        <v>-400</v>
      </c>
      <c r="AS134" s="1041">
        <v>-600</v>
      </c>
      <c r="AT134" s="1039"/>
      <c r="AU134" s="1041">
        <v>-200</v>
      </c>
      <c r="AV134" s="1041">
        <f t="shared" si="380"/>
        <v>200</v>
      </c>
      <c r="AW134" s="1041">
        <f t="shared" si="361"/>
        <v>200</v>
      </c>
      <c r="AX134" s="1041"/>
      <c r="AY134" s="1041">
        <f t="shared" si="381"/>
        <v>200</v>
      </c>
      <c r="AZ134" s="1041"/>
      <c r="BA134" s="1041">
        <v>200</v>
      </c>
      <c r="BB134" s="1043">
        <v>0</v>
      </c>
      <c r="BC134" s="1043">
        <f t="shared" si="382"/>
        <v>400</v>
      </c>
      <c r="BD134" s="1041"/>
      <c r="BE134" s="1041">
        <v>400</v>
      </c>
      <c r="BF134" s="1039"/>
      <c r="BG134" s="1041">
        <f>BH134-AW134</f>
        <v>-100</v>
      </c>
      <c r="BH134" s="1041">
        <f t="shared" si="383"/>
        <v>100</v>
      </c>
      <c r="BI134" s="1041">
        <v>100</v>
      </c>
      <c r="BJ134" s="1039"/>
      <c r="BK134" s="1036">
        <v>200</v>
      </c>
      <c r="BL134" s="1036">
        <v>600</v>
      </c>
      <c r="BM134" s="1036">
        <v>800</v>
      </c>
      <c r="BN134" s="1036"/>
      <c r="BO134" s="1039"/>
      <c r="BP134" s="1041">
        <v>200</v>
      </c>
      <c r="BQ134" s="1041"/>
      <c r="BR134" s="1041">
        <f t="shared" si="362"/>
        <v>0</v>
      </c>
      <c r="BS134" s="1041"/>
      <c r="BT134" s="1041">
        <f>BX134-BY134</f>
        <v>-100</v>
      </c>
      <c r="BU134" s="1041"/>
      <c r="BV134" s="1041">
        <f t="shared" si="384"/>
        <v>-100</v>
      </c>
      <c r="BW134" s="1041"/>
      <c r="BX134" s="1041">
        <v>100</v>
      </c>
      <c r="BY134" s="1041">
        <v>200</v>
      </c>
      <c r="BZ134" s="1041"/>
      <c r="CA134" s="1041"/>
      <c r="CB134" s="1041"/>
      <c r="CC134" s="1041">
        <f>CE134-BY134</f>
        <v>-200</v>
      </c>
      <c r="CD134" s="1041"/>
      <c r="CE134" s="1041">
        <v>0</v>
      </c>
      <c r="CF134" s="1039"/>
      <c r="CG134" s="1087">
        <v>-300</v>
      </c>
      <c r="CH134" s="1036"/>
      <c r="CI134" s="1036"/>
      <c r="CJ134" s="1036">
        <f>CR134-CG134</f>
        <v>-100</v>
      </c>
      <c r="CK134" s="1036"/>
      <c r="CL134" s="1036">
        <f t="shared" si="385"/>
        <v>-100</v>
      </c>
      <c r="CM134" s="1036"/>
      <c r="CN134" s="1036"/>
      <c r="CO134" s="1036">
        <f>CW134-CP134</f>
        <v>-100</v>
      </c>
      <c r="CP134" s="1036">
        <v>-500</v>
      </c>
      <c r="CQ134" s="1036"/>
      <c r="CR134" s="1036">
        <v>-400</v>
      </c>
      <c r="CS134" s="1036"/>
      <c r="CT134" s="1036"/>
      <c r="CU134" s="1036">
        <f t="shared" si="363"/>
        <v>-200</v>
      </c>
      <c r="CV134" s="1036"/>
      <c r="CW134" s="1040">
        <v>-600</v>
      </c>
      <c r="CX134" s="1036"/>
      <c r="CY134" s="1036">
        <v>0</v>
      </c>
      <c r="CZ134" s="1036">
        <f t="shared" si="364"/>
        <v>0</v>
      </c>
      <c r="DA134" s="1036" t="e">
        <f>+CY134+#REF!</f>
        <v>#REF!</v>
      </c>
      <c r="DB134" s="1036">
        <v>0</v>
      </c>
      <c r="DC134" s="1036">
        <f t="shared" si="365"/>
        <v>0</v>
      </c>
      <c r="DD134" s="1036">
        <v>-100</v>
      </c>
      <c r="DE134" s="1036">
        <f t="shared" si="299"/>
        <v>100</v>
      </c>
      <c r="DF134" s="1036"/>
      <c r="DG134" s="1036">
        <v>0</v>
      </c>
      <c r="DH134" s="1036"/>
      <c r="DI134" s="1036">
        <f t="shared" si="224"/>
        <v>100</v>
      </c>
      <c r="DJ134" s="1036"/>
      <c r="DK134" s="1036">
        <v>100</v>
      </c>
      <c r="DL134" s="1098"/>
      <c r="DM134" s="1098"/>
      <c r="DN134" s="1041"/>
      <c r="DO134" s="1041"/>
      <c r="DP134" s="1099">
        <v>-100</v>
      </c>
      <c r="DQ134" s="1099">
        <v>100</v>
      </c>
      <c r="DR134" s="1099">
        <f t="shared" si="346"/>
        <v>0</v>
      </c>
      <c r="DS134" s="1100">
        <v>0</v>
      </c>
      <c r="DT134" s="1098"/>
      <c r="DU134" s="1041"/>
      <c r="DV134" s="1053">
        <f>DW134-CY134</f>
        <v>-100</v>
      </c>
      <c r="DW134" s="1097">
        <v>-100</v>
      </c>
      <c r="DX134" s="1099">
        <f>DY134-DB134</f>
        <v>-200</v>
      </c>
      <c r="DY134" s="1099">
        <v>-200</v>
      </c>
      <c r="DZ134" s="1039"/>
      <c r="EB134" s="1097">
        <f>ED134-CP134</f>
        <v>0</v>
      </c>
      <c r="EC134" s="1099">
        <f>ED134-CR134</f>
        <v>-100</v>
      </c>
      <c r="ED134" s="1098">
        <v>-500</v>
      </c>
      <c r="EE134" s="1039"/>
      <c r="EF134" s="1036"/>
      <c r="EG134" s="1087">
        <v>100</v>
      </c>
      <c r="EH134" s="1036"/>
      <c r="EI134" s="1036">
        <f t="shared" si="386"/>
        <v>200</v>
      </c>
      <c r="EJ134" s="1036"/>
      <c r="EK134" s="1036">
        <v>300</v>
      </c>
      <c r="EL134" s="1036"/>
      <c r="EM134" s="1036">
        <f>+EO134-EK134</f>
        <v>200</v>
      </c>
      <c r="EN134" s="1036"/>
      <c r="EO134" s="1036">
        <v>500</v>
      </c>
      <c r="EQ134" s="1036">
        <f t="shared" si="387"/>
        <v>100</v>
      </c>
      <c r="ES134" s="1036"/>
      <c r="EU134" s="1040">
        <v>600</v>
      </c>
      <c r="EV134" s="517"/>
      <c r="EW134" s="1036"/>
      <c r="EX134" s="1036">
        <v>200</v>
      </c>
      <c r="EY134" s="1036">
        <v>-200</v>
      </c>
      <c r="EZ134" s="1036">
        <f t="shared" si="388"/>
        <v>100</v>
      </c>
      <c r="FA134" s="1036"/>
      <c r="FB134" s="1036">
        <v>300</v>
      </c>
      <c r="FC134" s="1036">
        <f>+FE134-FB134</f>
        <v>-100</v>
      </c>
      <c r="FD134" s="477">
        <v>0</v>
      </c>
      <c r="FE134" s="1036">
        <v>200</v>
      </c>
      <c r="FF134" s="1036"/>
      <c r="FG134" s="1140">
        <f>FI134-FC134</f>
        <v>-100</v>
      </c>
      <c r="FH134" s="1036">
        <f>+FL134-FE134</f>
        <v>-200</v>
      </c>
      <c r="FI134" s="1036">
        <f>FK134-FB134</f>
        <v>-200</v>
      </c>
      <c r="FJ134" s="1036">
        <f>+FL134-FB134</f>
        <v>-300</v>
      </c>
      <c r="FK134" s="1040">
        <v>100</v>
      </c>
      <c r="FL134" s="1098"/>
      <c r="FM134" s="1041">
        <f t="shared" si="368"/>
        <v>-200</v>
      </c>
      <c r="FN134" s="1099">
        <v>0</v>
      </c>
      <c r="FO134" s="1099">
        <f>+FQ134-FE134</f>
        <v>-100</v>
      </c>
      <c r="FP134" s="1099">
        <f t="shared" si="369"/>
        <v>-200</v>
      </c>
      <c r="FQ134" s="1100">
        <v>100</v>
      </c>
      <c r="FR134" s="1100"/>
      <c r="FS134" s="1036">
        <v>-100</v>
      </c>
      <c r="FT134" s="1099"/>
      <c r="FU134" s="1099"/>
      <c r="FV134" s="1036">
        <f t="shared" si="370"/>
        <v>-300</v>
      </c>
      <c r="FW134" s="1036"/>
      <c r="FX134" s="1036"/>
      <c r="FY134" s="1036">
        <v>-400</v>
      </c>
      <c r="FZ134" s="1036">
        <f>+GA134-FY134</f>
        <v>-100</v>
      </c>
      <c r="GA134" s="1036">
        <v>-500</v>
      </c>
      <c r="GB134" s="1036">
        <f t="shared" si="371"/>
        <v>-100</v>
      </c>
      <c r="GC134" s="1036">
        <f>+GD134-FY134</f>
        <v>-200</v>
      </c>
      <c r="GD134" s="1040">
        <v>-600</v>
      </c>
      <c r="GE134" s="1036"/>
      <c r="GF134" s="1036"/>
      <c r="GG134" s="1036"/>
      <c r="GH134" s="1036"/>
      <c r="GI134" s="1099"/>
      <c r="GJ134" s="1105"/>
      <c r="GK134" s="1099"/>
      <c r="GL134" s="1099">
        <v>-100</v>
      </c>
      <c r="GM134" s="1099"/>
      <c r="GN134" s="1099"/>
      <c r="GO134" s="1099">
        <f t="shared" si="372"/>
        <v>-100</v>
      </c>
      <c r="GP134" s="1099">
        <v>-200</v>
      </c>
      <c r="GQ134" s="1099"/>
      <c r="GR134" s="1036">
        <f>+GS134-GP134</f>
        <v>0</v>
      </c>
      <c r="GS134" s="1036">
        <v>-200</v>
      </c>
      <c r="GT134" s="1036">
        <f t="shared" si="373"/>
        <v>100</v>
      </c>
      <c r="GU134" s="1036">
        <f>+GV134-GP134</f>
        <v>100</v>
      </c>
      <c r="GV134" s="1040">
        <v>-100</v>
      </c>
      <c r="GW134" s="1036"/>
      <c r="GX134" s="1099"/>
      <c r="GY134" s="1099"/>
      <c r="GZ134" s="1099"/>
      <c r="HA134" s="1105"/>
      <c r="HB134" s="1099"/>
      <c r="HC134" s="1099"/>
      <c r="HD134" s="1099">
        <v>200</v>
      </c>
      <c r="HE134" s="1099">
        <v>200</v>
      </c>
      <c r="HF134" s="1099">
        <f t="shared" si="374"/>
        <v>100</v>
      </c>
      <c r="HG134" s="1099">
        <f>+HL134-HE134</f>
        <v>100</v>
      </c>
      <c r="HH134" s="1099">
        <f t="shared" ref="HH134:HH137" si="398">HM134-HE134</f>
        <v>100</v>
      </c>
      <c r="HI134" s="1099">
        <v>300</v>
      </c>
      <c r="HJ134" s="1099"/>
      <c r="HK134" s="1099"/>
      <c r="HL134" s="1099">
        <v>300</v>
      </c>
      <c r="HM134" s="1099">
        <v>300</v>
      </c>
      <c r="HN134" s="1036">
        <f>+HP134-HI134</f>
        <v>200</v>
      </c>
      <c r="HO134" s="1036">
        <f>+HQ134-HM134</f>
        <v>200</v>
      </c>
      <c r="HP134" s="1036">
        <v>500</v>
      </c>
      <c r="HQ134" s="1036">
        <v>500</v>
      </c>
      <c r="HR134" s="1036">
        <f t="shared" si="375"/>
        <v>200</v>
      </c>
      <c r="HS134" s="1036"/>
      <c r="HT134" s="1036">
        <f>+HV134-HI134</f>
        <v>400</v>
      </c>
      <c r="HU134" s="1036">
        <f>HZ134-HM134</f>
        <v>400</v>
      </c>
      <c r="HV134" s="1036">
        <v>700</v>
      </c>
      <c r="HW134" s="1099"/>
      <c r="HX134" s="1099"/>
      <c r="HY134" s="1099"/>
      <c r="HZ134" s="1036">
        <v>700</v>
      </c>
      <c r="IA134" s="1099"/>
      <c r="IB134" s="1099"/>
      <c r="IC134" s="1105"/>
      <c r="ID134" s="1099"/>
      <c r="IE134" s="1106">
        <v>100</v>
      </c>
      <c r="IF134" s="1099">
        <f>IG134-IE134</f>
        <v>100</v>
      </c>
      <c r="IG134" s="1107">
        <v>200</v>
      </c>
      <c r="IH134" s="1099">
        <f>+IJ134-IG134</f>
        <v>0</v>
      </c>
      <c r="II134" s="1099"/>
      <c r="IJ134" s="1108">
        <v>200</v>
      </c>
      <c r="IK134" s="1099">
        <f>+IP134-IL134</f>
        <v>0</v>
      </c>
      <c r="IL134" s="1099"/>
      <c r="IM134" s="1099">
        <f>+IO134-IH134</f>
        <v>-200</v>
      </c>
      <c r="IN134" s="1099"/>
      <c r="IO134" s="1099">
        <f>+IR134-IG134</f>
        <v>-200</v>
      </c>
      <c r="IP134" s="1100"/>
      <c r="IQ134" s="1099"/>
      <c r="IR134" s="1109">
        <v>0</v>
      </c>
      <c r="IS134" s="1289"/>
      <c r="IT134" s="1099"/>
      <c r="IU134" s="1110">
        <v>-500</v>
      </c>
      <c r="IV134" s="1110">
        <f t="shared" si="376"/>
        <v>-700</v>
      </c>
      <c r="IW134" s="1099">
        <v>-500</v>
      </c>
      <c r="IX134" s="1099">
        <v>-1200</v>
      </c>
      <c r="IY134" s="1099"/>
      <c r="IZ134" s="1099">
        <f>JA134-IX134</f>
        <v>-900</v>
      </c>
      <c r="JA134" s="1099">
        <v>-2100</v>
      </c>
      <c r="JB134" s="1099">
        <f t="shared" si="396"/>
        <v>-900</v>
      </c>
      <c r="JC134" s="1099">
        <f t="shared" si="397"/>
        <v>-1800</v>
      </c>
      <c r="JD134" s="1099">
        <v>-3000</v>
      </c>
      <c r="JE134" s="1099"/>
      <c r="JF134" s="1099"/>
      <c r="JG134" s="1099"/>
      <c r="JH134" s="1100"/>
      <c r="JI134" s="1289"/>
      <c r="JJ134" s="1796">
        <v>-800</v>
      </c>
      <c r="JK134" s="1797">
        <v>-550</v>
      </c>
      <c r="JL134" s="1127">
        <v>-700</v>
      </c>
      <c r="JM134" s="1797">
        <f t="shared" si="390"/>
        <v>-600</v>
      </c>
      <c r="JN134" s="1099">
        <f t="shared" si="391"/>
        <v>-400</v>
      </c>
      <c r="JO134" s="1797"/>
      <c r="JP134" s="1797">
        <v>-1300</v>
      </c>
      <c r="JQ134" s="1797"/>
      <c r="JR134" s="1797"/>
      <c r="JS134" s="1797">
        <v>-1700</v>
      </c>
      <c r="JT134" s="1797">
        <v>-300</v>
      </c>
      <c r="JU134" s="1127">
        <f>+JX134-JP134-JN134</f>
        <v>-300</v>
      </c>
      <c r="JV134" s="1099">
        <f>+JL134+JK134</f>
        <v>-1250</v>
      </c>
      <c r="JW134" s="1099">
        <f>+JN134+JU134</f>
        <v>-700</v>
      </c>
      <c r="JX134" s="1099">
        <f>+Driver!AL226</f>
        <v>-2000</v>
      </c>
      <c r="JY134" s="1099">
        <f>+JP134+JT134</f>
        <v>-1600</v>
      </c>
      <c r="JZ134" s="603"/>
      <c r="KA134" s="746"/>
      <c r="KB134" s="1110">
        <f t="shared" si="392"/>
        <v>-500</v>
      </c>
      <c r="KC134" s="1110">
        <v>-1200</v>
      </c>
      <c r="KD134" s="1110">
        <f>+KH134-KC134</f>
        <v>-900</v>
      </c>
      <c r="KE134" s="1110">
        <f>+KG134-JP134</f>
        <v>-800</v>
      </c>
      <c r="KF134" s="1110"/>
      <c r="KG134" s="1110">
        <v>-2100</v>
      </c>
      <c r="KH134" s="1110">
        <v>-2100</v>
      </c>
      <c r="KI134" s="746"/>
      <c r="KJ134" s="603"/>
      <c r="KK134" s="1099"/>
      <c r="KL134" s="1099">
        <f t="shared" si="394"/>
        <v>-1600</v>
      </c>
      <c r="KM134" s="1110">
        <v>-2800</v>
      </c>
      <c r="KN134" s="603"/>
      <c r="KO134" s="1110">
        <v>-800</v>
      </c>
      <c r="KP134" s="1099">
        <v>-1300</v>
      </c>
      <c r="KQ134" s="1100">
        <v>-2100</v>
      </c>
      <c r="KR134" s="1099">
        <v>-400</v>
      </c>
      <c r="KS134" s="1100">
        <v>-200</v>
      </c>
      <c r="KT134" s="1099">
        <f>KU134-IE134</f>
        <v>-100</v>
      </c>
      <c r="KU134" s="1099">
        <v>0</v>
      </c>
      <c r="KV134" s="1099">
        <f>KW134-KU134</f>
        <v>-200</v>
      </c>
      <c r="KW134" s="1100">
        <v>-200</v>
      </c>
      <c r="KX134" s="1099">
        <f>KY134-HN134</f>
        <v>-100</v>
      </c>
      <c r="KY134" s="1099">
        <f>KZ134-HI134</f>
        <v>100</v>
      </c>
      <c r="KZ134" s="1100">
        <v>400</v>
      </c>
      <c r="LA134" s="1099">
        <v>0</v>
      </c>
      <c r="LB134" s="1099">
        <f>LC134-LA134</f>
        <v>-100</v>
      </c>
      <c r="LC134" s="1100">
        <v>-100</v>
      </c>
      <c r="LD134" s="1100"/>
      <c r="LE134" s="1099">
        <f>LF134-GR134</f>
        <v>-100</v>
      </c>
      <c r="LF134" s="1099">
        <f>LG134-GP134</f>
        <v>-100</v>
      </c>
      <c r="LG134" s="1100">
        <v>-300</v>
      </c>
    </row>
    <row r="135" spans="1:319" s="705" customFormat="1">
      <c r="A135" s="510"/>
      <c r="B135" s="1064" t="s">
        <v>1562</v>
      </c>
      <c r="C135" s="1065" t="s">
        <v>1393</v>
      </c>
      <c r="D135" s="497"/>
      <c r="E135" s="510"/>
      <c r="F135" s="510"/>
      <c r="G135" s="699"/>
      <c r="H135" s="510"/>
      <c r="I135" s="510"/>
      <c r="J135" s="699"/>
      <c r="K135" s="584"/>
      <c r="L135" s="584"/>
      <c r="M135" s="584"/>
      <c r="N135" s="584"/>
      <c r="O135" s="584"/>
      <c r="P135" s="584"/>
      <c r="Q135" s="584"/>
      <c r="R135" s="584"/>
      <c r="S135" s="700"/>
      <c r="T135" s="584"/>
      <c r="U135" s="584"/>
      <c r="V135" s="584"/>
      <c r="W135" s="584"/>
      <c r="X135" s="584"/>
      <c r="Y135" s="584"/>
      <c r="Z135" s="584"/>
      <c r="AA135" s="584"/>
      <c r="AB135" s="700"/>
      <c r="AC135" s="584"/>
      <c r="AD135" s="584"/>
      <c r="AE135" s="584"/>
      <c r="AF135" s="584"/>
      <c r="AG135" s="584"/>
      <c r="AH135" s="584"/>
      <c r="AI135" s="584"/>
      <c r="AJ135" s="584"/>
      <c r="AK135" s="497"/>
      <c r="AL135" s="584"/>
      <c r="AM135" s="584"/>
      <c r="AN135" s="584"/>
      <c r="AO135" s="584"/>
      <c r="AP135" s="584"/>
      <c r="AQ135" s="584"/>
      <c r="AR135" s="584"/>
      <c r="AS135" s="584"/>
      <c r="AT135" s="497"/>
      <c r="AU135" s="584"/>
      <c r="AV135" s="584"/>
      <c r="AW135" s="584"/>
      <c r="AX135" s="584"/>
      <c r="AY135" s="584"/>
      <c r="AZ135" s="584"/>
      <c r="BA135" s="584"/>
      <c r="BB135" s="625"/>
      <c r="BC135" s="625"/>
      <c r="BD135" s="584"/>
      <c r="BE135" s="584"/>
      <c r="BF135" s="497"/>
      <c r="BG135" s="584"/>
      <c r="BH135" s="584"/>
      <c r="BI135" s="584"/>
      <c r="BJ135" s="497"/>
      <c r="BK135" s="510"/>
      <c r="BL135" s="510"/>
      <c r="BM135" s="510"/>
      <c r="BN135" s="510"/>
      <c r="BO135" s="497"/>
      <c r="BP135" s="584"/>
      <c r="BQ135" s="584"/>
      <c r="BR135" s="584"/>
      <c r="BS135" s="584"/>
      <c r="BT135" s="584"/>
      <c r="BU135" s="584"/>
      <c r="BV135" s="584"/>
      <c r="BW135" s="584"/>
      <c r="BX135" s="584"/>
      <c r="BY135" s="584"/>
      <c r="BZ135" s="584"/>
      <c r="CA135" s="584"/>
      <c r="CB135" s="584"/>
      <c r="CC135" s="584"/>
      <c r="CD135" s="584"/>
      <c r="CE135" s="584"/>
      <c r="CF135" s="497"/>
      <c r="CG135" s="714"/>
      <c r="CH135" s="510"/>
      <c r="CI135" s="510"/>
      <c r="CJ135" s="510"/>
      <c r="CK135" s="510"/>
      <c r="CL135" s="510"/>
      <c r="CM135" s="510"/>
      <c r="CN135" s="510"/>
      <c r="CO135" s="510"/>
      <c r="CP135" s="510"/>
      <c r="CQ135" s="510"/>
      <c r="CR135" s="510"/>
      <c r="CS135" s="510"/>
      <c r="CT135" s="510"/>
      <c r="CU135" s="510"/>
      <c r="CV135" s="510"/>
      <c r="CW135" s="699"/>
      <c r="CX135" s="510"/>
      <c r="CY135" s="510"/>
      <c r="CZ135" s="510"/>
      <c r="DA135" s="510"/>
      <c r="DB135" s="510"/>
      <c r="DC135" s="510"/>
      <c r="DD135" s="510"/>
      <c r="DE135" s="510"/>
      <c r="DF135" s="510"/>
      <c r="DG135" s="510"/>
      <c r="DH135" s="510"/>
      <c r="DI135" s="510"/>
      <c r="DJ135" s="510"/>
      <c r="DK135" s="510"/>
      <c r="DL135" s="512"/>
      <c r="DM135" s="512"/>
      <c r="DN135" s="584"/>
      <c r="DO135" s="584"/>
      <c r="DP135" s="713"/>
      <c r="DQ135" s="713"/>
      <c r="DR135" s="713"/>
      <c r="DS135" s="517"/>
      <c r="DT135" s="512"/>
      <c r="DU135" s="584"/>
      <c r="DV135" s="759"/>
      <c r="DW135" s="710"/>
      <c r="DX135" s="713"/>
      <c r="DY135" s="713"/>
      <c r="DZ135" s="497"/>
      <c r="EB135" s="710"/>
      <c r="EC135" s="713"/>
      <c r="ED135" s="512"/>
      <c r="EE135" s="497"/>
      <c r="EF135" s="510"/>
      <c r="EG135" s="714"/>
      <c r="EH135" s="510"/>
      <c r="EI135" s="510"/>
      <c r="EJ135" s="510"/>
      <c r="EK135" s="510"/>
      <c r="EL135" s="510"/>
      <c r="EM135" s="510"/>
      <c r="EN135" s="510"/>
      <c r="EO135" s="510"/>
      <c r="EQ135" s="510"/>
      <c r="ES135" s="510"/>
      <c r="EU135" s="699"/>
      <c r="EV135" s="517"/>
      <c r="EW135" s="510"/>
      <c r="EX135" s="510"/>
      <c r="EY135" s="510"/>
      <c r="EZ135" s="510"/>
      <c r="FA135" s="510"/>
      <c r="FB135" s="510"/>
      <c r="FC135" s="510"/>
      <c r="FD135" s="510"/>
      <c r="FE135" s="510"/>
      <c r="FF135" s="510"/>
      <c r="FG135" s="1141"/>
      <c r="FH135" s="510"/>
      <c r="FI135" s="510"/>
      <c r="FJ135" s="510"/>
      <c r="FK135" s="699"/>
      <c r="FL135" s="512"/>
      <c r="FM135" s="584"/>
      <c r="FN135" s="713"/>
      <c r="FO135" s="713"/>
      <c r="FP135" s="713"/>
      <c r="FQ135" s="517"/>
      <c r="FR135" s="517"/>
      <c r="FS135" s="510"/>
      <c r="FT135" s="713"/>
      <c r="FU135" s="713"/>
      <c r="FV135" s="510"/>
      <c r="FW135" s="510"/>
      <c r="FX135" s="510"/>
      <c r="FY135" s="510"/>
      <c r="FZ135" s="510"/>
      <c r="GA135" s="510"/>
      <c r="GB135" s="510"/>
      <c r="GC135" s="510"/>
      <c r="GD135" s="699"/>
      <c r="GE135" s="510"/>
      <c r="GF135" s="510"/>
      <c r="GG135" s="510"/>
      <c r="GH135" s="510"/>
      <c r="GI135" s="713"/>
      <c r="GJ135" s="715"/>
      <c r="GK135" s="713"/>
      <c r="GL135" s="713"/>
      <c r="GM135" s="713"/>
      <c r="GN135" s="713"/>
      <c r="GO135" s="713"/>
      <c r="GP135" s="713"/>
      <c r="GQ135" s="713"/>
      <c r="GR135" s="510"/>
      <c r="GS135" s="510"/>
      <c r="GT135" s="510"/>
      <c r="GU135" s="510"/>
      <c r="GV135" s="699"/>
      <c r="GW135" s="510"/>
      <c r="GX135" s="713"/>
      <c r="GY135" s="713"/>
      <c r="GZ135" s="713"/>
      <c r="HA135" s="715"/>
      <c r="HB135" s="713"/>
      <c r="HC135" s="713"/>
      <c r="HD135" s="713"/>
      <c r="HE135" s="713"/>
      <c r="HF135" s="713"/>
      <c r="HG135" s="713"/>
      <c r="HH135" s="713"/>
      <c r="HI135" s="713"/>
      <c r="HJ135" s="713"/>
      <c r="HK135" s="713"/>
      <c r="HL135" s="713"/>
      <c r="HM135" s="713"/>
      <c r="HN135" s="510"/>
      <c r="HO135" s="510"/>
      <c r="HP135" s="510"/>
      <c r="HQ135" s="510"/>
      <c r="HR135" s="510"/>
      <c r="HS135" s="510"/>
      <c r="HT135" s="510"/>
      <c r="HU135" s="510"/>
      <c r="HV135" s="510"/>
      <c r="HW135" s="713"/>
      <c r="HX135" s="713"/>
      <c r="HY135" s="713"/>
      <c r="HZ135" s="510"/>
      <c r="IA135" s="713"/>
      <c r="IB135" s="713"/>
      <c r="IC135" s="715"/>
      <c r="ID135" s="713"/>
      <c r="IE135" s="784"/>
      <c r="IF135" s="713"/>
      <c r="IG135" s="1134"/>
      <c r="IH135" s="713"/>
      <c r="II135" s="713"/>
      <c r="IJ135" s="1135"/>
      <c r="IK135" s="713"/>
      <c r="IL135" s="713"/>
      <c r="IM135" s="713"/>
      <c r="IN135" s="713"/>
      <c r="IO135" s="713"/>
      <c r="IP135" s="517"/>
      <c r="IQ135" s="713"/>
      <c r="IR135" s="746"/>
      <c r="IS135" s="1289"/>
      <c r="IT135" s="713"/>
      <c r="IU135" s="713"/>
      <c r="IV135" s="713"/>
      <c r="IW135" s="713"/>
      <c r="IX135" s="713">
        <v>-500</v>
      </c>
      <c r="IY135" s="713"/>
      <c r="IZ135" s="713">
        <v>-400</v>
      </c>
      <c r="JA135" s="713">
        <f t="shared" ref="JA135:JA136" si="399">+IX135+IZ135</f>
        <v>-900</v>
      </c>
      <c r="JB135" s="713">
        <f t="shared" ref="JB135:JB137" si="400">+JC135-IZ135</f>
        <v>-100</v>
      </c>
      <c r="JC135" s="713">
        <f t="shared" ref="JC135:JC137" si="401">+JD135-IX135</f>
        <v>-500</v>
      </c>
      <c r="JD135" s="1624">
        <v>-1000</v>
      </c>
      <c r="JE135" s="713"/>
      <c r="JF135" s="713"/>
      <c r="JG135" s="713"/>
      <c r="JH135" s="517"/>
      <c r="JI135" s="1289"/>
      <c r="JJ135" s="1289"/>
      <c r="JK135" s="603"/>
      <c r="JL135" s="585"/>
      <c r="JM135" s="1133"/>
      <c r="JN135" s="1133"/>
      <c r="JO135" s="1133"/>
      <c r="JP135" s="1133"/>
      <c r="JQ135" s="1133"/>
      <c r="JR135" s="1133"/>
      <c r="JS135" s="1133"/>
      <c r="JT135" s="603"/>
      <c r="JU135" s="603"/>
      <c r="JV135" s="713"/>
      <c r="JW135" s="713"/>
      <c r="JX135" s="713"/>
      <c r="JY135" s="713"/>
      <c r="JZ135" s="603"/>
      <c r="KA135" s="746"/>
      <c r="KB135" s="603">
        <f t="shared" si="392"/>
        <v>0</v>
      </c>
      <c r="KC135" s="603"/>
      <c r="KD135" s="603"/>
      <c r="KE135" s="603"/>
      <c r="KF135" s="603"/>
      <c r="KG135" s="603"/>
      <c r="KH135" s="723">
        <v>-800</v>
      </c>
      <c r="KI135" s="746"/>
      <c r="KJ135" s="603"/>
      <c r="KK135" s="713"/>
      <c r="KL135" s="713">
        <f t="shared" si="394"/>
        <v>-700</v>
      </c>
      <c r="KM135" s="603">
        <v>-1200</v>
      </c>
      <c r="KN135" s="603"/>
      <c r="KO135" s="603">
        <v>-700</v>
      </c>
      <c r="KP135" s="713">
        <v>-900</v>
      </c>
      <c r="KQ135" s="517">
        <v>-1600</v>
      </c>
      <c r="KR135" s="713"/>
      <c r="KS135" s="517"/>
      <c r="KT135" s="713"/>
      <c r="KU135" s="713"/>
      <c r="KV135" s="713"/>
      <c r="KW135" s="517"/>
      <c r="KX135" s="713"/>
      <c r="KY135" s="713"/>
      <c r="KZ135" s="517"/>
      <c r="LA135" s="713"/>
      <c r="LB135" s="713"/>
      <c r="LC135" s="517"/>
      <c r="LD135" s="517"/>
      <c r="LE135" s="713"/>
      <c r="LF135" s="713"/>
      <c r="LG135" s="517"/>
    </row>
    <row r="136" spans="1:319" s="705" customFormat="1">
      <c r="A136" s="510"/>
      <c r="B136" s="1064" t="s">
        <v>1563</v>
      </c>
      <c r="C136" s="1065" t="s">
        <v>1394</v>
      </c>
      <c r="D136" s="497"/>
      <c r="E136" s="510"/>
      <c r="F136" s="510"/>
      <c r="G136" s="699"/>
      <c r="H136" s="510"/>
      <c r="I136" s="510"/>
      <c r="J136" s="699"/>
      <c r="K136" s="584"/>
      <c r="L136" s="584"/>
      <c r="M136" s="584"/>
      <c r="N136" s="584"/>
      <c r="O136" s="584"/>
      <c r="P136" s="584"/>
      <c r="Q136" s="584"/>
      <c r="R136" s="584"/>
      <c r="S136" s="700"/>
      <c r="T136" s="584"/>
      <c r="U136" s="584"/>
      <c r="V136" s="584"/>
      <c r="W136" s="584"/>
      <c r="X136" s="584"/>
      <c r="Y136" s="584"/>
      <c r="Z136" s="584"/>
      <c r="AA136" s="584"/>
      <c r="AB136" s="700"/>
      <c r="AC136" s="584"/>
      <c r="AD136" s="584"/>
      <c r="AE136" s="584"/>
      <c r="AF136" s="584"/>
      <c r="AG136" s="584"/>
      <c r="AH136" s="584"/>
      <c r="AI136" s="584"/>
      <c r="AJ136" s="584"/>
      <c r="AK136" s="497"/>
      <c r="AL136" s="584"/>
      <c r="AM136" s="584"/>
      <c r="AN136" s="584"/>
      <c r="AO136" s="584"/>
      <c r="AP136" s="584"/>
      <c r="AQ136" s="584"/>
      <c r="AR136" s="584"/>
      <c r="AS136" s="584"/>
      <c r="AT136" s="497"/>
      <c r="AU136" s="584"/>
      <c r="AV136" s="584"/>
      <c r="AW136" s="584"/>
      <c r="AX136" s="584"/>
      <c r="AY136" s="584"/>
      <c r="AZ136" s="584"/>
      <c r="BA136" s="584"/>
      <c r="BB136" s="625"/>
      <c r="BC136" s="625"/>
      <c r="BD136" s="584"/>
      <c r="BE136" s="584"/>
      <c r="BF136" s="497"/>
      <c r="BG136" s="584"/>
      <c r="BH136" s="584"/>
      <c r="BI136" s="584"/>
      <c r="BJ136" s="497"/>
      <c r="BK136" s="510"/>
      <c r="BL136" s="510"/>
      <c r="BM136" s="510"/>
      <c r="BN136" s="510"/>
      <c r="BO136" s="497"/>
      <c r="BP136" s="584"/>
      <c r="BQ136" s="584"/>
      <c r="BR136" s="584"/>
      <c r="BS136" s="584"/>
      <c r="BT136" s="584"/>
      <c r="BU136" s="584"/>
      <c r="BV136" s="584"/>
      <c r="BW136" s="584"/>
      <c r="BX136" s="584"/>
      <c r="BY136" s="584"/>
      <c r="BZ136" s="584"/>
      <c r="CA136" s="584"/>
      <c r="CB136" s="584"/>
      <c r="CC136" s="584"/>
      <c r="CD136" s="584"/>
      <c r="CE136" s="584"/>
      <c r="CF136" s="497"/>
      <c r="CG136" s="714"/>
      <c r="CH136" s="510"/>
      <c r="CI136" s="510"/>
      <c r="CJ136" s="510"/>
      <c r="CK136" s="510"/>
      <c r="CL136" s="510"/>
      <c r="CM136" s="510"/>
      <c r="CN136" s="510"/>
      <c r="CO136" s="510"/>
      <c r="CP136" s="510"/>
      <c r="CQ136" s="510"/>
      <c r="CR136" s="510"/>
      <c r="CS136" s="510"/>
      <c r="CT136" s="510"/>
      <c r="CU136" s="510"/>
      <c r="CV136" s="510"/>
      <c r="CW136" s="699"/>
      <c r="CX136" s="510"/>
      <c r="CY136" s="510"/>
      <c r="CZ136" s="510"/>
      <c r="DA136" s="510"/>
      <c r="DB136" s="510"/>
      <c r="DC136" s="510"/>
      <c r="DD136" s="510"/>
      <c r="DE136" s="510"/>
      <c r="DF136" s="510"/>
      <c r="DG136" s="510"/>
      <c r="DH136" s="510"/>
      <c r="DI136" s="510"/>
      <c r="DJ136" s="510"/>
      <c r="DK136" s="510"/>
      <c r="DL136" s="512"/>
      <c r="DM136" s="512"/>
      <c r="DN136" s="584"/>
      <c r="DO136" s="584"/>
      <c r="DP136" s="713"/>
      <c r="DQ136" s="713"/>
      <c r="DR136" s="713"/>
      <c r="DS136" s="517"/>
      <c r="DT136" s="512"/>
      <c r="DU136" s="584"/>
      <c r="DV136" s="759"/>
      <c r="DW136" s="710"/>
      <c r="DX136" s="713"/>
      <c r="DY136" s="713"/>
      <c r="DZ136" s="497"/>
      <c r="EB136" s="710"/>
      <c r="EC136" s="713"/>
      <c r="ED136" s="512"/>
      <c r="EE136" s="497"/>
      <c r="EF136" s="510"/>
      <c r="EG136" s="714"/>
      <c r="EH136" s="510"/>
      <c r="EI136" s="510"/>
      <c r="EJ136" s="510"/>
      <c r="EK136" s="510"/>
      <c r="EL136" s="510"/>
      <c r="EM136" s="510"/>
      <c r="EN136" s="510"/>
      <c r="EO136" s="510"/>
      <c r="EQ136" s="510"/>
      <c r="ES136" s="510"/>
      <c r="EU136" s="699"/>
      <c r="EV136" s="517"/>
      <c r="EW136" s="510"/>
      <c r="EX136" s="510"/>
      <c r="EY136" s="510"/>
      <c r="EZ136" s="510"/>
      <c r="FA136" s="510"/>
      <c r="FB136" s="510"/>
      <c r="FC136" s="510"/>
      <c r="FD136" s="510"/>
      <c r="FE136" s="510"/>
      <c r="FF136" s="510"/>
      <c r="FG136" s="1141"/>
      <c r="FH136" s="510"/>
      <c r="FI136" s="510"/>
      <c r="FJ136" s="510"/>
      <c r="FK136" s="699"/>
      <c r="FL136" s="512"/>
      <c r="FM136" s="584"/>
      <c r="FN136" s="713"/>
      <c r="FO136" s="713"/>
      <c r="FP136" s="713"/>
      <c r="FQ136" s="517"/>
      <c r="FR136" s="517"/>
      <c r="FS136" s="510"/>
      <c r="FT136" s="713"/>
      <c r="FU136" s="713"/>
      <c r="FV136" s="510"/>
      <c r="FW136" s="510"/>
      <c r="FX136" s="510"/>
      <c r="FY136" s="510"/>
      <c r="FZ136" s="510"/>
      <c r="GA136" s="510"/>
      <c r="GB136" s="510"/>
      <c r="GC136" s="510"/>
      <c r="GD136" s="699"/>
      <c r="GE136" s="510"/>
      <c r="GF136" s="510"/>
      <c r="GG136" s="510"/>
      <c r="GH136" s="510"/>
      <c r="GI136" s="713"/>
      <c r="GJ136" s="715"/>
      <c r="GK136" s="713"/>
      <c r="GL136" s="713"/>
      <c r="GM136" s="713"/>
      <c r="GN136" s="713"/>
      <c r="GO136" s="713"/>
      <c r="GP136" s="713"/>
      <c r="GQ136" s="713"/>
      <c r="GR136" s="510"/>
      <c r="GS136" s="510"/>
      <c r="GT136" s="510"/>
      <c r="GU136" s="510"/>
      <c r="GV136" s="699"/>
      <c r="GW136" s="510"/>
      <c r="GX136" s="713"/>
      <c r="GY136" s="713"/>
      <c r="GZ136" s="713"/>
      <c r="HA136" s="715"/>
      <c r="HB136" s="713"/>
      <c r="HC136" s="713"/>
      <c r="HD136" s="713"/>
      <c r="HE136" s="713"/>
      <c r="HF136" s="713"/>
      <c r="HG136" s="713"/>
      <c r="HH136" s="713"/>
      <c r="HI136" s="713"/>
      <c r="HJ136" s="713"/>
      <c r="HK136" s="713"/>
      <c r="HL136" s="713"/>
      <c r="HM136" s="713"/>
      <c r="HN136" s="510"/>
      <c r="HO136" s="510"/>
      <c r="HP136" s="510"/>
      <c r="HQ136" s="510"/>
      <c r="HR136" s="510"/>
      <c r="HS136" s="510"/>
      <c r="HT136" s="510"/>
      <c r="HU136" s="510"/>
      <c r="HV136" s="510"/>
      <c r="HW136" s="713"/>
      <c r="HX136" s="713"/>
      <c r="HY136" s="713"/>
      <c r="HZ136" s="510"/>
      <c r="IA136" s="713"/>
      <c r="IB136" s="713"/>
      <c r="IC136" s="715"/>
      <c r="ID136" s="713"/>
      <c r="IE136" s="784"/>
      <c r="IF136" s="713"/>
      <c r="IG136" s="1134"/>
      <c r="IH136" s="713"/>
      <c r="II136" s="713"/>
      <c r="IJ136" s="1135"/>
      <c r="IK136" s="713"/>
      <c r="IL136" s="713"/>
      <c r="IM136" s="713"/>
      <c r="IN136" s="713"/>
      <c r="IO136" s="713"/>
      <c r="IP136" s="517"/>
      <c r="IQ136" s="713"/>
      <c r="IR136" s="746"/>
      <c r="IS136" s="1289"/>
      <c r="IT136" s="713"/>
      <c r="IU136" s="713"/>
      <c r="IV136" s="713"/>
      <c r="IW136" s="713"/>
      <c r="IX136" s="713">
        <f>IX134-IX135</f>
        <v>-700</v>
      </c>
      <c r="IY136" s="713"/>
      <c r="IZ136" s="713">
        <v>-500</v>
      </c>
      <c r="JA136" s="713">
        <f t="shared" si="399"/>
        <v>-1200</v>
      </c>
      <c r="JB136" s="713">
        <f t="shared" si="400"/>
        <v>-800</v>
      </c>
      <c r="JC136" s="713">
        <f t="shared" si="401"/>
        <v>-1300</v>
      </c>
      <c r="JD136" s="1624">
        <v>-2000</v>
      </c>
      <c r="JE136" s="713"/>
      <c r="JF136" s="713"/>
      <c r="JG136" s="713"/>
      <c r="JH136" s="517"/>
      <c r="JI136" s="1289"/>
      <c r="JJ136" s="1289"/>
      <c r="JK136" s="603"/>
      <c r="JL136" s="585"/>
      <c r="JM136" s="1133"/>
      <c r="JN136" s="1133"/>
      <c r="JO136" s="1133"/>
      <c r="JP136" s="1133"/>
      <c r="JQ136" s="1133"/>
      <c r="JR136" s="1133"/>
      <c r="JS136" s="1133"/>
      <c r="JT136" s="603"/>
      <c r="JU136" s="603"/>
      <c r="JV136" s="713"/>
      <c r="JW136" s="713"/>
      <c r="JX136" s="713"/>
      <c r="JY136" s="713"/>
      <c r="JZ136" s="603"/>
      <c r="KA136" s="746"/>
      <c r="KB136" s="603">
        <f t="shared" si="392"/>
        <v>0</v>
      </c>
      <c r="KC136" s="603"/>
      <c r="KD136" s="603"/>
      <c r="KE136" s="603"/>
      <c r="KF136" s="603"/>
      <c r="KG136" s="603"/>
      <c r="KH136" s="723">
        <f>+KH134-KH135</f>
        <v>-1300</v>
      </c>
      <c r="KI136" s="746"/>
      <c r="KJ136" s="603"/>
      <c r="KK136" s="713"/>
      <c r="KL136" s="713">
        <f t="shared" si="394"/>
        <v>-900</v>
      </c>
      <c r="KM136" s="603">
        <v>-1600</v>
      </c>
      <c r="KN136" s="603"/>
      <c r="KO136" s="603">
        <v>-100</v>
      </c>
      <c r="KP136" s="713">
        <v>-400</v>
      </c>
      <c r="KQ136" s="517">
        <v>-500</v>
      </c>
      <c r="KR136" s="713"/>
      <c r="KS136" s="517"/>
      <c r="KT136" s="713"/>
      <c r="KU136" s="713"/>
      <c r="KV136" s="713"/>
      <c r="KW136" s="517"/>
      <c r="KX136" s="713"/>
      <c r="KY136" s="713"/>
      <c r="KZ136" s="517"/>
      <c r="LA136" s="713"/>
      <c r="LB136" s="713"/>
      <c r="LC136" s="517"/>
      <c r="LD136" s="517"/>
      <c r="LE136" s="713"/>
      <c r="LF136" s="713"/>
      <c r="LG136" s="517"/>
    </row>
    <row r="137" spans="1:319" s="1044" customFormat="1" ht="12">
      <c r="A137" s="1036"/>
      <c r="B137" s="1037" t="s">
        <v>1078</v>
      </c>
      <c r="C137" s="1038" t="s">
        <v>941</v>
      </c>
      <c r="D137" s="1039"/>
      <c r="E137" s="1036"/>
      <c r="F137" s="1036"/>
      <c r="G137" s="1040"/>
      <c r="H137" s="1036"/>
      <c r="I137" s="1036"/>
      <c r="J137" s="1040"/>
      <c r="K137" s="1041"/>
      <c r="L137" s="1041"/>
      <c r="M137" s="1041"/>
      <c r="N137" s="1041"/>
      <c r="O137" s="1041"/>
      <c r="P137" s="1041"/>
      <c r="Q137" s="1041"/>
      <c r="R137" s="1041"/>
      <c r="S137" s="1042"/>
      <c r="T137" s="1041"/>
      <c r="U137" s="1041"/>
      <c r="V137" s="1041"/>
      <c r="W137" s="1041"/>
      <c r="X137" s="1041"/>
      <c r="Y137" s="1041"/>
      <c r="Z137" s="1041"/>
      <c r="AA137" s="1041"/>
      <c r="AB137" s="1042"/>
      <c r="AC137" s="1041"/>
      <c r="AD137" s="1041"/>
      <c r="AE137" s="1041"/>
      <c r="AF137" s="1041"/>
      <c r="AG137" s="1041"/>
      <c r="AH137" s="1041">
        <v>-300</v>
      </c>
      <c r="AI137" s="1041">
        <f t="shared" si="378"/>
        <v>0</v>
      </c>
      <c r="AJ137" s="1041">
        <v>-300</v>
      </c>
      <c r="AK137" s="1039"/>
      <c r="AL137" s="1041"/>
      <c r="AM137" s="1041"/>
      <c r="AN137" s="1041"/>
      <c r="AO137" s="1041"/>
      <c r="AP137" s="1041">
        <v>100</v>
      </c>
      <c r="AQ137" s="1041">
        <v>0</v>
      </c>
      <c r="AR137" s="1041">
        <f t="shared" si="379"/>
        <v>0</v>
      </c>
      <c r="AS137" s="1041">
        <v>0</v>
      </c>
      <c r="AT137" s="1039"/>
      <c r="AU137" s="1041">
        <v>50</v>
      </c>
      <c r="AV137" s="1041">
        <f t="shared" si="380"/>
        <v>150</v>
      </c>
      <c r="AW137" s="1041">
        <f t="shared" si="361"/>
        <v>0</v>
      </c>
      <c r="AX137" s="1041"/>
      <c r="AY137" s="1041">
        <f t="shared" si="381"/>
        <v>0</v>
      </c>
      <c r="AZ137" s="1041"/>
      <c r="BA137" s="1041">
        <v>200</v>
      </c>
      <c r="BB137" s="1043">
        <v>200</v>
      </c>
      <c r="BC137" s="1043">
        <f t="shared" si="382"/>
        <v>0</v>
      </c>
      <c r="BD137" s="1041"/>
      <c r="BE137" s="1041">
        <v>200</v>
      </c>
      <c r="BF137" s="1039"/>
      <c r="BG137" s="1041">
        <f>BH137-AW137</f>
        <v>0</v>
      </c>
      <c r="BH137" s="1041">
        <f t="shared" si="383"/>
        <v>0</v>
      </c>
      <c r="BI137" s="1041">
        <v>200</v>
      </c>
      <c r="BJ137" s="1039"/>
      <c r="BK137" s="1036">
        <v>100</v>
      </c>
      <c r="BL137" s="1036">
        <v>0</v>
      </c>
      <c r="BM137" s="1036">
        <v>100</v>
      </c>
      <c r="BN137" s="1036"/>
      <c r="BO137" s="1039"/>
      <c r="BP137" s="1041">
        <v>0</v>
      </c>
      <c r="BQ137" s="1041"/>
      <c r="BR137" s="1041">
        <f t="shared" si="362"/>
        <v>0</v>
      </c>
      <c r="BS137" s="1041"/>
      <c r="BT137" s="1041">
        <f>BX137-BY137</f>
        <v>100</v>
      </c>
      <c r="BU137" s="1041"/>
      <c r="BV137" s="1041">
        <f t="shared" si="384"/>
        <v>-100</v>
      </c>
      <c r="BW137" s="1041"/>
      <c r="BX137" s="1041">
        <v>100</v>
      </c>
      <c r="BY137" s="1041">
        <v>0</v>
      </c>
      <c r="BZ137" s="1041"/>
      <c r="CA137" s="1041"/>
      <c r="CB137" s="1041"/>
      <c r="CC137" s="1041">
        <f>CE137-BY137</f>
        <v>0</v>
      </c>
      <c r="CD137" s="1041"/>
      <c r="CE137" s="1041"/>
      <c r="CF137" s="1039"/>
      <c r="CG137" s="1087">
        <v>0</v>
      </c>
      <c r="CH137" s="1036"/>
      <c r="CI137" s="1036"/>
      <c r="CJ137" s="1036">
        <f>CR137-CG137</f>
        <v>0</v>
      </c>
      <c r="CK137" s="1036"/>
      <c r="CL137" s="1036">
        <f t="shared" si="385"/>
        <v>0</v>
      </c>
      <c r="CM137" s="1036"/>
      <c r="CN137" s="1036"/>
      <c r="CO137" s="1036">
        <f>CW137-CP137</f>
        <v>0</v>
      </c>
      <c r="CP137" s="1036">
        <v>0</v>
      </c>
      <c r="CQ137" s="1036"/>
      <c r="CR137" s="1036">
        <v>0</v>
      </c>
      <c r="CS137" s="1036"/>
      <c r="CT137" s="1036"/>
      <c r="CU137" s="1036">
        <f t="shared" si="363"/>
        <v>0</v>
      </c>
      <c r="CV137" s="1036"/>
      <c r="CW137" s="1040"/>
      <c r="CX137" s="1036"/>
      <c r="CY137" s="1036">
        <v>0</v>
      </c>
      <c r="CZ137" s="1036">
        <f t="shared" si="364"/>
        <v>-100</v>
      </c>
      <c r="DA137" s="1036"/>
      <c r="DB137" s="1036">
        <v>-100</v>
      </c>
      <c r="DC137" s="1036">
        <f t="shared" si="365"/>
        <v>100</v>
      </c>
      <c r="DD137" s="1036"/>
      <c r="DE137" s="1036">
        <f t="shared" si="299"/>
        <v>0</v>
      </c>
      <c r="DF137" s="1036"/>
      <c r="DG137" s="1036">
        <v>0</v>
      </c>
      <c r="DH137" s="1036"/>
      <c r="DI137" s="1036">
        <f t="shared" si="224"/>
        <v>100</v>
      </c>
      <c r="DJ137" s="1036"/>
      <c r="DK137" s="1036">
        <v>0</v>
      </c>
      <c r="DL137" s="1098"/>
      <c r="DM137" s="1098"/>
      <c r="DN137" s="1041"/>
      <c r="DO137" s="1041"/>
      <c r="DP137" s="1099"/>
      <c r="DQ137" s="1099">
        <f t="shared" ref="DQ137:DQ159" si="402">+DR137-DC137</f>
        <v>-200</v>
      </c>
      <c r="DR137" s="1099">
        <f t="shared" si="346"/>
        <v>-100</v>
      </c>
      <c r="DS137" s="1100">
        <v>-200</v>
      </c>
      <c r="DT137" s="1098"/>
      <c r="DU137" s="1041"/>
      <c r="DV137" s="1053">
        <f>DW137-CY137</f>
        <v>0</v>
      </c>
      <c r="DW137" s="1097">
        <v>0</v>
      </c>
      <c r="DX137" s="1099">
        <f>DY137-DB137</f>
        <v>100</v>
      </c>
      <c r="DY137" s="1099">
        <v>0</v>
      </c>
      <c r="DZ137" s="1039"/>
      <c r="EB137" s="1097">
        <f>ED137-CP137</f>
        <v>-100</v>
      </c>
      <c r="EC137" s="1099">
        <f>ED137-CR137</f>
        <v>-100</v>
      </c>
      <c r="ED137" s="1098">
        <v>-100</v>
      </c>
      <c r="EE137" s="1039"/>
      <c r="EF137" s="1036"/>
      <c r="EG137" s="1087">
        <v>0</v>
      </c>
      <c r="EH137" s="1036"/>
      <c r="EI137" s="1036">
        <f t="shared" si="386"/>
        <v>100</v>
      </c>
      <c r="EJ137" s="1036"/>
      <c r="EK137" s="1036">
        <v>100</v>
      </c>
      <c r="EL137" s="1036"/>
      <c r="EM137" s="1036">
        <f>+EO137-EK137</f>
        <v>100</v>
      </c>
      <c r="EN137" s="1036"/>
      <c r="EO137" s="1036">
        <v>200</v>
      </c>
      <c r="EQ137" s="1036">
        <f t="shared" si="387"/>
        <v>0</v>
      </c>
      <c r="ES137" s="1036"/>
      <c r="EU137" s="1040">
        <v>200</v>
      </c>
      <c r="EV137" s="517"/>
      <c r="EW137" s="1036"/>
      <c r="EX137" s="1036">
        <v>200</v>
      </c>
      <c r="EY137" s="1036">
        <v>-200</v>
      </c>
      <c r="EZ137" s="1036">
        <f t="shared" si="388"/>
        <v>0</v>
      </c>
      <c r="FA137" s="1036"/>
      <c r="FB137" s="1036">
        <v>200</v>
      </c>
      <c r="FC137" s="1036">
        <f>+FE137-FB137</f>
        <v>100</v>
      </c>
      <c r="FD137" s="1036">
        <v>0</v>
      </c>
      <c r="FE137" s="1036">
        <v>300</v>
      </c>
      <c r="FF137" s="1036"/>
      <c r="FG137" s="1140">
        <f>FI137-FC137</f>
        <v>100</v>
      </c>
      <c r="FH137" s="1036">
        <f>+FL137-FE137</f>
        <v>-300</v>
      </c>
      <c r="FI137" s="1036">
        <f>FK137-FB137</f>
        <v>200</v>
      </c>
      <c r="FJ137" s="1036">
        <f>+FL137-FB137</f>
        <v>-200</v>
      </c>
      <c r="FK137" s="1040">
        <v>400</v>
      </c>
      <c r="FL137" s="1098"/>
      <c r="FM137" s="1041">
        <f t="shared" si="368"/>
        <v>-100</v>
      </c>
      <c r="FN137" s="1099">
        <v>100</v>
      </c>
      <c r="FO137" s="1099">
        <f>+FQ137-FE137</f>
        <v>100</v>
      </c>
      <c r="FP137" s="1099">
        <f t="shared" si="369"/>
        <v>200</v>
      </c>
      <c r="FQ137" s="1100">
        <v>400</v>
      </c>
      <c r="FR137" s="1100"/>
      <c r="FS137" s="1036">
        <v>0</v>
      </c>
      <c r="FT137" s="1099"/>
      <c r="FU137" s="1099"/>
      <c r="FV137" s="1036">
        <f t="shared" si="370"/>
        <v>0</v>
      </c>
      <c r="FW137" s="1036"/>
      <c r="FX137" s="1036"/>
      <c r="FY137" s="1036">
        <v>0</v>
      </c>
      <c r="FZ137" s="1036">
        <f>+GA137-FY137</f>
        <v>100</v>
      </c>
      <c r="GA137" s="1036">
        <v>100</v>
      </c>
      <c r="GB137" s="1036">
        <f t="shared" si="371"/>
        <v>-100</v>
      </c>
      <c r="GC137" s="1036">
        <f>+GD137-FY137</f>
        <v>0</v>
      </c>
      <c r="GD137" s="1040">
        <v>0</v>
      </c>
      <c r="GE137" s="1036"/>
      <c r="GF137" s="1036"/>
      <c r="GG137" s="1036"/>
      <c r="GH137" s="1036"/>
      <c r="GI137" s="1099"/>
      <c r="GJ137" s="1105"/>
      <c r="GK137" s="1099"/>
      <c r="GL137" s="1099">
        <v>-100</v>
      </c>
      <c r="GM137" s="1099"/>
      <c r="GN137" s="1099"/>
      <c r="GO137" s="1099">
        <f t="shared" si="372"/>
        <v>100</v>
      </c>
      <c r="GP137" s="1099">
        <v>0</v>
      </c>
      <c r="GQ137" s="1099"/>
      <c r="GR137" s="1036">
        <f>+GS137-GP137</f>
        <v>-100</v>
      </c>
      <c r="GS137" s="1036">
        <v>-100</v>
      </c>
      <c r="GT137" s="1036">
        <f t="shared" si="373"/>
        <v>0</v>
      </c>
      <c r="GU137" s="1036">
        <f>+GV137-GP137</f>
        <v>-100</v>
      </c>
      <c r="GV137" s="1040">
        <v>-100</v>
      </c>
      <c r="GW137" s="1036"/>
      <c r="GX137" s="1099"/>
      <c r="GY137" s="1099"/>
      <c r="GZ137" s="1099"/>
      <c r="HA137" s="1105"/>
      <c r="HB137" s="1099"/>
      <c r="HC137" s="1099"/>
      <c r="HD137" s="1099">
        <v>0</v>
      </c>
      <c r="HE137" s="1099">
        <v>0</v>
      </c>
      <c r="HF137" s="1099">
        <f t="shared" si="374"/>
        <v>-100</v>
      </c>
      <c r="HG137" s="1099">
        <f>+HL137-HE137</f>
        <v>-100</v>
      </c>
      <c r="HH137" s="1099">
        <f t="shared" si="398"/>
        <v>-100</v>
      </c>
      <c r="HI137" s="1099">
        <v>-100</v>
      </c>
      <c r="HJ137" s="1099"/>
      <c r="HK137" s="1099"/>
      <c r="HL137" s="1099">
        <v>-100</v>
      </c>
      <c r="HM137" s="1099">
        <v>-100</v>
      </c>
      <c r="HN137" s="1036">
        <f>+HP137-HI137</f>
        <v>0</v>
      </c>
      <c r="HO137" s="1036">
        <f>+HQ137-HM137</f>
        <v>0</v>
      </c>
      <c r="HP137" s="1036">
        <v>-100</v>
      </c>
      <c r="HQ137" s="1036">
        <v>-100</v>
      </c>
      <c r="HR137" s="1036">
        <f t="shared" si="375"/>
        <v>-100</v>
      </c>
      <c r="HS137" s="1036"/>
      <c r="HT137" s="1036">
        <f>+HV137-HI137</f>
        <v>-100</v>
      </c>
      <c r="HU137" s="1036">
        <f>HZ137-HM137</f>
        <v>-100</v>
      </c>
      <c r="HV137" s="1036">
        <v>-200</v>
      </c>
      <c r="HW137" s="1099"/>
      <c r="HX137" s="1099"/>
      <c r="HY137" s="1099"/>
      <c r="HZ137" s="1036">
        <v>-200</v>
      </c>
      <c r="IA137" s="1099"/>
      <c r="IB137" s="1099"/>
      <c r="IC137" s="1105"/>
      <c r="ID137" s="1099"/>
      <c r="IE137" s="1106">
        <v>100</v>
      </c>
      <c r="IF137" s="1099">
        <f>IG137-IE137</f>
        <v>100</v>
      </c>
      <c r="IG137" s="1107">
        <v>200</v>
      </c>
      <c r="IH137" s="1099">
        <f>+IJ137-IG137</f>
        <v>100</v>
      </c>
      <c r="II137" s="1099"/>
      <c r="IJ137" s="1108">
        <v>300</v>
      </c>
      <c r="IK137" s="1099">
        <f>+IP137-IL137</f>
        <v>0</v>
      </c>
      <c r="IL137" s="1099"/>
      <c r="IM137" s="1099">
        <f>+IO137-IH137</f>
        <v>-100</v>
      </c>
      <c r="IN137" s="1099"/>
      <c r="IO137" s="1099">
        <f>+IR137-IG137</f>
        <v>0</v>
      </c>
      <c r="IP137" s="1100"/>
      <c r="IQ137" s="1099"/>
      <c r="IR137" s="1109">
        <v>200</v>
      </c>
      <c r="IS137" s="1289"/>
      <c r="IT137" s="1099"/>
      <c r="IU137" s="1110">
        <v>0</v>
      </c>
      <c r="IV137" s="1110">
        <f>IX137-IU137</f>
        <v>-200</v>
      </c>
      <c r="IW137" s="1099"/>
      <c r="IX137" s="1099">
        <v>-200</v>
      </c>
      <c r="IY137" s="1099"/>
      <c r="IZ137" s="1099">
        <f>JA137-IX137</f>
        <v>-200</v>
      </c>
      <c r="JA137" s="1099">
        <v>-400</v>
      </c>
      <c r="JB137" s="1099">
        <f t="shared" si="400"/>
        <v>-100</v>
      </c>
      <c r="JC137" s="1099">
        <f t="shared" si="401"/>
        <v>-300</v>
      </c>
      <c r="JD137" s="1099">
        <v>-500</v>
      </c>
      <c r="JE137" s="1099"/>
      <c r="JF137" s="1099"/>
      <c r="JG137" s="1099"/>
      <c r="JH137" s="1100"/>
      <c r="JI137" s="1289"/>
      <c r="JJ137" s="1796">
        <v>-150</v>
      </c>
      <c r="JK137" s="1797">
        <v>-100</v>
      </c>
      <c r="JL137" s="1127">
        <v>-100</v>
      </c>
      <c r="JM137" s="1099">
        <f t="shared" ref="JM137" si="403">+JP137-JL137</f>
        <v>-200</v>
      </c>
      <c r="JN137" s="1099">
        <f t="shared" ref="JN137:JN143" si="404">JS137-JP137</f>
        <v>100</v>
      </c>
      <c r="JO137" s="1797"/>
      <c r="JP137" s="1797">
        <v>-300</v>
      </c>
      <c r="JQ137" s="1797"/>
      <c r="JR137" s="1797"/>
      <c r="JS137" s="1797">
        <v>-200</v>
      </c>
      <c r="JT137" s="1797">
        <v>-50</v>
      </c>
      <c r="JU137" s="1127">
        <f>+JX137-JP137-JN137</f>
        <v>-100</v>
      </c>
      <c r="JV137" s="1099">
        <f>+JL137+JK137</f>
        <v>-200</v>
      </c>
      <c r="JW137" s="1099">
        <f>+JN137+JU137</f>
        <v>0</v>
      </c>
      <c r="JX137" s="1099">
        <f>+Driver!AL227</f>
        <v>-300</v>
      </c>
      <c r="JY137" s="1099">
        <f>+JP137+JT137</f>
        <v>-350</v>
      </c>
      <c r="JZ137" s="603"/>
      <c r="KA137" s="746"/>
      <c r="KB137" s="1110">
        <f t="shared" si="392"/>
        <v>-100</v>
      </c>
      <c r="KC137" s="1110">
        <v>-200</v>
      </c>
      <c r="KD137" s="1110">
        <f t="shared" ref="KD137:KD140" si="405">+KH137-KC137</f>
        <v>0</v>
      </c>
      <c r="KE137" s="1110">
        <f>+KG137-JP137</f>
        <v>100</v>
      </c>
      <c r="KF137" s="1110"/>
      <c r="KG137" s="1110">
        <v>-200</v>
      </c>
      <c r="KH137" s="1110">
        <v>-200</v>
      </c>
      <c r="KI137" s="746"/>
      <c r="KJ137" s="603"/>
      <c r="KK137" s="1099"/>
      <c r="KL137" s="1099">
        <f t="shared" si="394"/>
        <v>-200</v>
      </c>
      <c r="KM137" s="1110">
        <v>-400</v>
      </c>
      <c r="KN137" s="603"/>
      <c r="KO137" s="1110">
        <v>-200</v>
      </c>
      <c r="KP137" s="1099">
        <v>-100</v>
      </c>
      <c r="KQ137" s="1100">
        <v>-300</v>
      </c>
      <c r="KR137" s="1099">
        <v>100</v>
      </c>
      <c r="KS137" s="1100">
        <v>300</v>
      </c>
      <c r="KT137" s="1099"/>
      <c r="KU137" s="1099">
        <v>100</v>
      </c>
      <c r="KV137" s="1099"/>
      <c r="KW137" s="1100">
        <v>200</v>
      </c>
      <c r="KX137" s="1099">
        <f>KY137-HN137</f>
        <v>-100</v>
      </c>
      <c r="KY137" s="1099">
        <f>KZ137-HI137</f>
        <v>-100</v>
      </c>
      <c r="KZ137" s="1100">
        <v>-200</v>
      </c>
      <c r="LA137" s="1099">
        <v>0</v>
      </c>
      <c r="LB137" s="1099"/>
      <c r="LC137" s="1100">
        <v>200</v>
      </c>
      <c r="LD137" s="1100"/>
      <c r="LE137" s="1099">
        <v>0</v>
      </c>
      <c r="LF137" s="1099">
        <v>0</v>
      </c>
      <c r="LG137" s="1100">
        <v>0</v>
      </c>
    </row>
    <row r="138" spans="1:319" s="498" customFormat="1">
      <c r="A138" s="477"/>
      <c r="B138" s="1079" t="s">
        <v>170</v>
      </c>
      <c r="C138" s="1080" t="s">
        <v>946</v>
      </c>
      <c r="D138" s="480"/>
      <c r="E138" s="477"/>
      <c r="F138" s="477"/>
      <c r="G138" s="481"/>
      <c r="H138" s="477"/>
      <c r="I138" s="477"/>
      <c r="J138" s="481"/>
      <c r="K138" s="484"/>
      <c r="L138" s="484"/>
      <c r="M138" s="484"/>
      <c r="N138" s="484"/>
      <c r="O138" s="484"/>
      <c r="P138" s="484"/>
      <c r="Q138" s="484"/>
      <c r="R138" s="484"/>
      <c r="S138" s="485"/>
      <c r="T138" s="484"/>
      <c r="U138" s="484"/>
      <c r="V138" s="484"/>
      <c r="W138" s="484"/>
      <c r="X138" s="484"/>
      <c r="Y138" s="484"/>
      <c r="Z138" s="484"/>
      <c r="AA138" s="484"/>
      <c r="AB138" s="485"/>
      <c r="AC138" s="484"/>
      <c r="AD138" s="484"/>
      <c r="AE138" s="484"/>
      <c r="AF138" s="484"/>
      <c r="AG138" s="484"/>
      <c r="AH138" s="484"/>
      <c r="AI138" s="484"/>
      <c r="AJ138" s="484"/>
      <c r="AK138" s="480"/>
      <c r="AL138" s="484"/>
      <c r="AM138" s="484"/>
      <c r="AN138" s="484"/>
      <c r="AO138" s="484"/>
      <c r="AP138" s="484"/>
      <c r="AQ138" s="484"/>
      <c r="AR138" s="484"/>
      <c r="AS138" s="484"/>
      <c r="AT138" s="480"/>
      <c r="AU138" s="1142"/>
      <c r="AV138" s="1142"/>
      <c r="AW138" s="584"/>
      <c r="AX138" s="484"/>
      <c r="AY138" s="584"/>
      <c r="AZ138" s="484"/>
      <c r="BA138" s="584"/>
      <c r="BB138" s="507"/>
      <c r="BC138" s="507"/>
      <c r="BD138" s="508"/>
      <c r="BE138" s="484"/>
      <c r="BF138" s="480"/>
      <c r="BG138" s="484"/>
      <c r="BH138" s="484"/>
      <c r="BI138" s="484"/>
      <c r="BJ138" s="480"/>
      <c r="BK138" s="477"/>
      <c r="BL138" s="477"/>
      <c r="BM138" s="477"/>
      <c r="BN138" s="477"/>
      <c r="BO138" s="480"/>
      <c r="BP138" s="584"/>
      <c r="BQ138" s="508"/>
      <c r="BR138" s="484"/>
      <c r="BS138" s="508"/>
      <c r="BT138" s="484"/>
      <c r="BU138" s="484"/>
      <c r="BV138" s="484"/>
      <c r="BW138" s="508"/>
      <c r="BX138" s="484"/>
      <c r="BY138" s="584"/>
      <c r="BZ138" s="508"/>
      <c r="CA138" s="508"/>
      <c r="CB138" s="484"/>
      <c r="CC138" s="484"/>
      <c r="CD138" s="484"/>
      <c r="CE138" s="484"/>
      <c r="CF138" s="480"/>
      <c r="CG138" s="509"/>
      <c r="CH138" s="477"/>
      <c r="CI138" s="477"/>
      <c r="CJ138" s="477"/>
      <c r="CK138" s="477"/>
      <c r="CL138" s="477">
        <f t="shared" si="385"/>
        <v>0</v>
      </c>
      <c r="CM138" s="477"/>
      <c r="CN138" s="477"/>
      <c r="CO138" s="477"/>
      <c r="CP138" s="477">
        <v>0</v>
      </c>
      <c r="CQ138" s="477"/>
      <c r="CR138" s="477"/>
      <c r="CS138" s="477"/>
      <c r="CT138" s="477"/>
      <c r="CU138" s="477">
        <f t="shared" si="363"/>
        <v>0</v>
      </c>
      <c r="CV138" s="477"/>
      <c r="CW138" s="481"/>
      <c r="CX138" s="510"/>
      <c r="CY138" s="510"/>
      <c r="CZ138" s="510">
        <f t="shared" si="364"/>
        <v>0</v>
      </c>
      <c r="DA138" s="510"/>
      <c r="DB138" s="510"/>
      <c r="DC138" s="510">
        <f t="shared" si="365"/>
        <v>0</v>
      </c>
      <c r="DD138" s="510"/>
      <c r="DE138" s="510">
        <f t="shared" si="299"/>
        <v>0</v>
      </c>
      <c r="DF138" s="510"/>
      <c r="DG138" s="510"/>
      <c r="DH138" s="510"/>
      <c r="DI138" s="510">
        <f t="shared" si="224"/>
        <v>0</v>
      </c>
      <c r="DJ138" s="510"/>
      <c r="DK138" s="510"/>
      <c r="DL138" s="512"/>
      <c r="DM138" s="512"/>
      <c r="DN138" s="584"/>
      <c r="DO138" s="584"/>
      <c r="DP138" s="713"/>
      <c r="DQ138" s="713">
        <f t="shared" si="402"/>
        <v>0</v>
      </c>
      <c r="DR138" s="713">
        <f t="shared" si="346"/>
        <v>0</v>
      </c>
      <c r="DS138" s="517"/>
      <c r="DT138" s="512"/>
      <c r="DU138" s="584"/>
      <c r="DV138" s="584"/>
      <c r="DX138" s="713"/>
      <c r="DY138" s="713"/>
      <c r="DZ138" s="497"/>
      <c r="EC138" s="713"/>
      <c r="ED138" s="512"/>
      <c r="EE138" s="480"/>
      <c r="EF138" s="477"/>
      <c r="EG138" s="509"/>
      <c r="EH138" s="477"/>
      <c r="EI138" s="477">
        <f t="shared" si="386"/>
        <v>0</v>
      </c>
      <c r="EJ138" s="477"/>
      <c r="EK138" s="477"/>
      <c r="EL138" s="477"/>
      <c r="EM138" s="477"/>
      <c r="EN138" s="477"/>
      <c r="EO138" s="477"/>
      <c r="EQ138" s="477"/>
      <c r="ES138" s="477"/>
      <c r="EU138" s="481"/>
      <c r="EV138" s="517"/>
      <c r="EW138" s="477"/>
      <c r="EX138" s="477">
        <v>100</v>
      </c>
      <c r="EY138" s="477">
        <v>-100</v>
      </c>
      <c r="EZ138" s="477">
        <f t="shared" si="388"/>
        <v>-100</v>
      </c>
      <c r="FA138" s="477"/>
      <c r="FB138" s="477"/>
      <c r="FC138" s="477"/>
      <c r="FD138" s="1036"/>
      <c r="FE138" s="510"/>
      <c r="FF138" s="510"/>
      <c r="FG138" s="510"/>
      <c r="FH138" s="510"/>
      <c r="FI138" s="477"/>
      <c r="FJ138" s="477"/>
      <c r="FK138" s="481"/>
      <c r="FL138" s="512"/>
      <c r="FM138" s="584">
        <f t="shared" si="368"/>
        <v>-100</v>
      </c>
      <c r="FN138" s="713">
        <f>+FQ138-EO138</f>
        <v>0</v>
      </c>
      <c r="FO138" s="713"/>
      <c r="FP138" s="713">
        <f t="shared" si="369"/>
        <v>0</v>
      </c>
      <c r="FQ138" s="517"/>
      <c r="FR138" s="517"/>
      <c r="FS138" s="477"/>
      <c r="FT138" s="713"/>
      <c r="FU138" s="713"/>
      <c r="FV138" s="477">
        <f t="shared" si="370"/>
        <v>0</v>
      </c>
      <c r="FW138" s="713"/>
      <c r="FX138" s="713"/>
      <c r="FY138" s="477"/>
      <c r="FZ138" s="477"/>
      <c r="GA138" s="510"/>
      <c r="GB138" s="477">
        <f t="shared" si="371"/>
        <v>0</v>
      </c>
      <c r="GC138" s="477"/>
      <c r="GD138" s="481"/>
      <c r="GE138" s="510"/>
      <c r="GF138" s="477"/>
      <c r="GG138" s="477"/>
      <c r="GH138" s="713"/>
      <c r="GI138" s="713"/>
      <c r="GJ138" s="715"/>
      <c r="GK138" s="713"/>
      <c r="GL138" s="713"/>
      <c r="GM138" s="713"/>
      <c r="GN138" s="713"/>
      <c r="GO138" s="713">
        <f t="shared" si="372"/>
        <v>0</v>
      </c>
      <c r="GP138" s="713"/>
      <c r="GQ138" s="713"/>
      <c r="GR138" s="477"/>
      <c r="GS138" s="510"/>
      <c r="GT138" s="477">
        <f t="shared" si="373"/>
        <v>0</v>
      </c>
      <c r="GU138" s="477"/>
      <c r="GV138" s="481"/>
      <c r="GW138" s="510"/>
      <c r="GX138" s="713"/>
      <c r="GY138" s="713"/>
      <c r="GZ138" s="713"/>
      <c r="HA138" s="715"/>
      <c r="HB138" s="713"/>
      <c r="HC138" s="713"/>
      <c r="HD138" s="713"/>
      <c r="HE138" s="713"/>
      <c r="HF138" s="713">
        <f t="shared" si="374"/>
        <v>0</v>
      </c>
      <c r="HG138" s="713">
        <f>+HL138-HE138</f>
        <v>0</v>
      </c>
      <c r="HH138" s="713"/>
      <c r="HI138" s="713"/>
      <c r="HJ138" s="713"/>
      <c r="HK138" s="713"/>
      <c r="HL138" s="713"/>
      <c r="HM138" s="713"/>
      <c r="HN138" s="477"/>
      <c r="HO138" s="477"/>
      <c r="HP138" s="510"/>
      <c r="HQ138" s="510"/>
      <c r="HR138" s="477">
        <f t="shared" si="375"/>
        <v>0</v>
      </c>
      <c r="HS138" s="477"/>
      <c r="HT138" s="477"/>
      <c r="HU138" s="477"/>
      <c r="HV138" s="477"/>
      <c r="HW138" s="713"/>
      <c r="HX138" s="713"/>
      <c r="HY138" s="713"/>
      <c r="HZ138" s="477"/>
      <c r="IA138" s="713"/>
      <c r="IB138" s="713"/>
      <c r="IC138" s="715"/>
      <c r="ID138" s="713"/>
      <c r="IE138" s="784"/>
      <c r="IF138" s="713"/>
      <c r="IG138" s="713"/>
      <c r="IH138" s="713"/>
      <c r="II138" s="713"/>
      <c r="IJ138" s="713"/>
      <c r="IK138" s="713">
        <f>+IP138-IL138</f>
        <v>0</v>
      </c>
      <c r="IL138" s="713"/>
      <c r="IM138" s="713">
        <f>+IO138-IH138</f>
        <v>0</v>
      </c>
      <c r="IN138" s="713"/>
      <c r="IO138" s="713"/>
      <c r="IP138" s="517"/>
      <c r="IQ138" s="713"/>
      <c r="IR138" s="517">
        <v>-50</v>
      </c>
      <c r="IS138" s="784"/>
      <c r="IT138" s="713"/>
      <c r="IU138" s="713"/>
      <c r="IV138" s="713"/>
      <c r="IW138" s="713"/>
      <c r="IX138" s="713"/>
      <c r="IY138" s="713"/>
      <c r="IZ138" s="713"/>
      <c r="JA138" s="713"/>
      <c r="JB138" s="713"/>
      <c r="JC138" s="713"/>
      <c r="JD138" s="713"/>
      <c r="JE138" s="713"/>
      <c r="JF138" s="713"/>
      <c r="JG138" s="713"/>
      <c r="JH138" s="517"/>
      <c r="JI138" s="784"/>
      <c r="JJ138" s="784"/>
      <c r="JK138" s="713"/>
      <c r="JL138" s="584"/>
      <c r="JM138" s="713"/>
      <c r="JN138" s="713"/>
      <c r="JO138" s="713"/>
      <c r="JP138" s="713"/>
      <c r="JQ138" s="713"/>
      <c r="JR138" s="713"/>
      <c r="JS138" s="713"/>
      <c r="JT138" s="713"/>
      <c r="JU138" s="713"/>
      <c r="JV138" s="713"/>
      <c r="JW138" s="713"/>
      <c r="JX138" s="713"/>
      <c r="JY138" s="713"/>
      <c r="JZ138" s="713"/>
      <c r="KA138" s="517"/>
      <c r="KB138" s="713">
        <f t="shared" si="392"/>
        <v>-50</v>
      </c>
      <c r="KC138" s="713">
        <v>-50</v>
      </c>
      <c r="KD138" s="713">
        <f t="shared" si="405"/>
        <v>-50</v>
      </c>
      <c r="KE138" s="713">
        <f>+KG138-JP138</f>
        <v>0</v>
      </c>
      <c r="KF138" s="713"/>
      <c r="KG138" s="713"/>
      <c r="KH138" s="713">
        <v>-100</v>
      </c>
      <c r="KI138" s="517"/>
      <c r="KJ138" s="713"/>
      <c r="KK138" s="713"/>
      <c r="KL138" s="713"/>
      <c r="KM138" s="713"/>
      <c r="KN138" s="713"/>
      <c r="KO138" s="713"/>
      <c r="KP138" s="713"/>
      <c r="KQ138" s="517"/>
      <c r="KR138" s="713"/>
      <c r="KS138" s="517"/>
      <c r="KT138" s="713"/>
      <c r="KU138" s="713"/>
      <c r="KV138" s="713"/>
      <c r="KW138" s="517"/>
      <c r="KX138" s="713"/>
      <c r="KY138" s="713"/>
      <c r="KZ138" s="517"/>
      <c r="LA138" s="713"/>
      <c r="LB138" s="713"/>
      <c r="LC138" s="517"/>
      <c r="LD138" s="517"/>
      <c r="LE138" s="713"/>
      <c r="LF138" s="713"/>
      <c r="LG138" s="517"/>
    </row>
    <row r="139" spans="1:319" s="1044" customFormat="1" ht="12">
      <c r="A139" s="1036"/>
      <c r="B139" s="1037" t="s">
        <v>983</v>
      </c>
      <c r="C139" s="1038" t="s">
        <v>940</v>
      </c>
      <c r="D139" s="1039"/>
      <c r="E139" s="1036"/>
      <c r="F139" s="1036"/>
      <c r="G139" s="1040"/>
      <c r="H139" s="1036"/>
      <c r="I139" s="1036"/>
      <c r="J139" s="1040"/>
      <c r="K139" s="1041"/>
      <c r="L139" s="1041"/>
      <c r="M139" s="1041"/>
      <c r="N139" s="1041"/>
      <c r="O139" s="1041"/>
      <c r="P139" s="1041"/>
      <c r="Q139" s="1041"/>
      <c r="R139" s="1041"/>
      <c r="S139" s="1042"/>
      <c r="T139" s="1041"/>
      <c r="U139" s="1041"/>
      <c r="V139" s="1041"/>
      <c r="W139" s="1041"/>
      <c r="X139" s="1041"/>
      <c r="Y139" s="1041"/>
      <c r="Z139" s="1041"/>
      <c r="AA139" s="1041"/>
      <c r="AB139" s="1042"/>
      <c r="AC139" s="1041"/>
      <c r="AD139" s="1041"/>
      <c r="AE139" s="1041"/>
      <c r="AF139" s="1041"/>
      <c r="AG139" s="1041"/>
      <c r="AH139" s="1041">
        <v>-200</v>
      </c>
      <c r="AI139" s="1041">
        <f t="shared" si="378"/>
        <v>100</v>
      </c>
      <c r="AJ139" s="1041">
        <v>-100</v>
      </c>
      <c r="AK139" s="1039"/>
      <c r="AL139" s="1041"/>
      <c r="AM139" s="1041"/>
      <c r="AN139" s="1041"/>
      <c r="AO139" s="1041"/>
      <c r="AP139" s="1041">
        <v>0</v>
      </c>
      <c r="AQ139" s="1041">
        <v>-100</v>
      </c>
      <c r="AR139" s="1041">
        <f t="shared" si="379"/>
        <v>0</v>
      </c>
      <c r="AS139" s="1041">
        <v>-100</v>
      </c>
      <c r="AT139" s="1039"/>
      <c r="AU139" s="1041">
        <v>50</v>
      </c>
      <c r="AV139" s="1041">
        <f t="shared" si="380"/>
        <v>-50</v>
      </c>
      <c r="AW139" s="1041">
        <f t="shared" si="361"/>
        <v>-200</v>
      </c>
      <c r="AX139" s="1041"/>
      <c r="AY139" s="1041">
        <f t="shared" si="381"/>
        <v>-100</v>
      </c>
      <c r="AZ139" s="1041"/>
      <c r="BA139" s="1041">
        <v>-200</v>
      </c>
      <c r="BB139" s="1043">
        <v>0</v>
      </c>
      <c r="BC139" s="1043">
        <f t="shared" si="382"/>
        <v>-300</v>
      </c>
      <c r="BD139" s="1041"/>
      <c r="BE139" s="1041">
        <v>-300</v>
      </c>
      <c r="BF139" s="1039"/>
      <c r="BG139" s="1041">
        <f>BH139-AW139</f>
        <v>-100</v>
      </c>
      <c r="BH139" s="1041">
        <f t="shared" si="383"/>
        <v>-300</v>
      </c>
      <c r="BI139" s="1041">
        <v>-300</v>
      </c>
      <c r="BJ139" s="1039"/>
      <c r="BK139" s="1036">
        <v>-500</v>
      </c>
      <c r="BL139" s="1036">
        <v>-700</v>
      </c>
      <c r="BM139" s="1036">
        <v>-1200</v>
      </c>
      <c r="BN139" s="1036"/>
      <c r="BO139" s="1039"/>
      <c r="BP139" s="1041">
        <v>-200</v>
      </c>
      <c r="BQ139" s="1041"/>
      <c r="BR139" s="1041">
        <f t="shared" si="362"/>
        <v>-400</v>
      </c>
      <c r="BS139" s="1041"/>
      <c r="BT139" s="1041">
        <f>BX139-BY139</f>
        <v>-100</v>
      </c>
      <c r="BU139" s="1041"/>
      <c r="BV139" s="1041">
        <f t="shared" ref="BV139:BV159" si="406">CC139-BT139</f>
        <v>-100</v>
      </c>
      <c r="BW139" s="1041"/>
      <c r="BX139" s="1041">
        <v>-700</v>
      </c>
      <c r="BY139" s="1041">
        <v>-600</v>
      </c>
      <c r="BZ139" s="1041"/>
      <c r="CA139" s="1041"/>
      <c r="CB139" s="1041"/>
      <c r="CC139" s="1041">
        <f t="shared" ref="CC139:CC162" si="407">CE139-BY139</f>
        <v>-200</v>
      </c>
      <c r="CD139" s="1041"/>
      <c r="CE139" s="1041">
        <v>-800</v>
      </c>
      <c r="CF139" s="1039"/>
      <c r="CG139" s="1087">
        <v>0</v>
      </c>
      <c r="CH139" s="1036"/>
      <c r="CI139" s="1036"/>
      <c r="CJ139" s="1036">
        <f>CR139-CG139</f>
        <v>100</v>
      </c>
      <c r="CK139" s="1036"/>
      <c r="CL139" s="1036">
        <f t="shared" si="385"/>
        <v>0</v>
      </c>
      <c r="CM139" s="1036"/>
      <c r="CN139" s="1036"/>
      <c r="CO139" s="1036">
        <f>CW139-CP139</f>
        <v>-100</v>
      </c>
      <c r="CP139" s="1036">
        <v>100</v>
      </c>
      <c r="CQ139" s="1036"/>
      <c r="CR139" s="1036">
        <v>100</v>
      </c>
      <c r="CS139" s="1036"/>
      <c r="CT139" s="1036"/>
      <c r="CU139" s="1036">
        <f t="shared" si="363"/>
        <v>-100</v>
      </c>
      <c r="CV139" s="1036"/>
      <c r="CW139" s="1040"/>
      <c r="CX139" s="1036"/>
      <c r="CY139" s="1036"/>
      <c r="CZ139" s="1036">
        <f t="shared" si="364"/>
        <v>-100</v>
      </c>
      <c r="DA139" s="1036">
        <v>0</v>
      </c>
      <c r="DB139" s="1036">
        <v>-100</v>
      </c>
      <c r="DC139" s="1036">
        <f t="shared" si="365"/>
        <v>0</v>
      </c>
      <c r="DD139" s="1036"/>
      <c r="DE139" s="1036">
        <f t="shared" si="299"/>
        <v>100</v>
      </c>
      <c r="DF139" s="1036"/>
      <c r="DG139" s="1036">
        <v>-100</v>
      </c>
      <c r="DH139" s="1036"/>
      <c r="DI139" s="1036">
        <f t="shared" si="224"/>
        <v>100</v>
      </c>
      <c r="DJ139" s="1036"/>
      <c r="DK139" s="1036">
        <v>0</v>
      </c>
      <c r="DL139" s="1098"/>
      <c r="DM139" s="1098"/>
      <c r="DN139" s="1041"/>
      <c r="DO139" s="1041"/>
      <c r="DP139" s="1099"/>
      <c r="DQ139" s="1099">
        <f t="shared" si="402"/>
        <v>-200</v>
      </c>
      <c r="DR139" s="1099">
        <f t="shared" si="346"/>
        <v>-200</v>
      </c>
      <c r="DS139" s="1100">
        <v>-300</v>
      </c>
      <c r="DT139" s="1098"/>
      <c r="DU139" s="1041"/>
      <c r="DV139" s="1053">
        <f t="shared" ref="DV139:DV159" si="408">DW139-CY139</f>
        <v>-300</v>
      </c>
      <c r="DW139" s="1097">
        <v>-300</v>
      </c>
      <c r="DX139" s="1099">
        <f t="shared" ref="DX139:DX159" si="409">DY139-DB139</f>
        <v>-300</v>
      </c>
      <c r="DY139" s="1099">
        <v>-400</v>
      </c>
      <c r="DZ139" s="1039"/>
      <c r="EB139" s="1097">
        <f t="shared" ref="EB139:EB159" si="410">ED139-CP139</f>
        <v>-100</v>
      </c>
      <c r="EC139" s="1099">
        <f t="shared" ref="EC139:EC159" si="411">ED139-CR139</f>
        <v>-100</v>
      </c>
      <c r="ED139" s="1098">
        <v>0</v>
      </c>
      <c r="EE139" s="1039"/>
      <c r="EF139" s="1036"/>
      <c r="EG139" s="1087">
        <v>0</v>
      </c>
      <c r="EH139" s="1036"/>
      <c r="EI139" s="1036">
        <f t="shared" si="386"/>
        <v>200</v>
      </c>
      <c r="EJ139" s="1036"/>
      <c r="EK139" s="1036">
        <v>200</v>
      </c>
      <c r="EL139" s="1036"/>
      <c r="EM139" s="1036">
        <f t="shared" ref="EM139:EM162" si="412">+EO139-EK139</f>
        <v>100</v>
      </c>
      <c r="EN139" s="1036"/>
      <c r="EO139" s="1036">
        <v>300</v>
      </c>
      <c r="EQ139" s="1036">
        <f t="shared" ref="EQ139:EQ164" si="413">+EU139-EO139</f>
        <v>0</v>
      </c>
      <c r="ES139" s="1036"/>
      <c r="EU139" s="1040">
        <v>300</v>
      </c>
      <c r="EV139" s="517"/>
      <c r="EW139" s="1036"/>
      <c r="EX139" s="1036">
        <v>-200</v>
      </c>
      <c r="EY139" s="1036">
        <v>200</v>
      </c>
      <c r="EZ139" s="1036">
        <f t="shared" si="388"/>
        <v>-100</v>
      </c>
      <c r="FA139" s="1036"/>
      <c r="FB139" s="1036">
        <v>-300</v>
      </c>
      <c r="FC139" s="1036">
        <f t="shared" ref="FC139:FC162" si="414">+FE139-FB139</f>
        <v>-200</v>
      </c>
      <c r="FD139" s="1036">
        <v>0</v>
      </c>
      <c r="FE139" s="1036">
        <v>-500</v>
      </c>
      <c r="FF139" s="1036"/>
      <c r="FG139" s="1140">
        <f>FI139-FC139</f>
        <v>100</v>
      </c>
      <c r="FH139" s="1036">
        <f>+FL139-FE139</f>
        <v>500</v>
      </c>
      <c r="FI139" s="1036">
        <f>FK139-FB139</f>
        <v>-100</v>
      </c>
      <c r="FJ139" s="1036">
        <f>+FL139-FB139</f>
        <v>300</v>
      </c>
      <c r="FK139" s="1040">
        <v>-400</v>
      </c>
      <c r="FL139" s="1098"/>
      <c r="FM139" s="1041">
        <f t="shared" si="368"/>
        <v>0</v>
      </c>
      <c r="FN139" s="1099">
        <v>-200</v>
      </c>
      <c r="FO139" s="1099">
        <f>+FQ139-FE139</f>
        <v>100</v>
      </c>
      <c r="FP139" s="1099">
        <f t="shared" si="369"/>
        <v>-100</v>
      </c>
      <c r="FQ139" s="1100">
        <v>-400</v>
      </c>
      <c r="FR139" s="1100"/>
      <c r="FS139" s="1036">
        <v>0</v>
      </c>
      <c r="FT139" s="1099"/>
      <c r="FU139" s="1099"/>
      <c r="FV139" s="1036">
        <f t="shared" si="370"/>
        <v>-100</v>
      </c>
      <c r="FW139" s="1099"/>
      <c r="FX139" s="1099"/>
      <c r="FY139" s="1036">
        <v>-100</v>
      </c>
      <c r="FZ139" s="1036">
        <f>+GA139-FY139</f>
        <v>0</v>
      </c>
      <c r="GA139" s="1036">
        <v>-100</v>
      </c>
      <c r="GB139" s="1036">
        <f t="shared" si="371"/>
        <v>-200</v>
      </c>
      <c r="GC139" s="1036">
        <f>+GD139-FY139</f>
        <v>-200</v>
      </c>
      <c r="GD139" s="1040">
        <v>-300</v>
      </c>
      <c r="GE139" s="1036"/>
      <c r="GF139" s="1036"/>
      <c r="GG139" s="1036"/>
      <c r="GH139" s="1099"/>
      <c r="GI139" s="1099"/>
      <c r="GJ139" s="1105"/>
      <c r="GK139" s="1099"/>
      <c r="GL139" s="1099">
        <v>-400</v>
      </c>
      <c r="GM139" s="1099"/>
      <c r="GN139" s="1099"/>
      <c r="GO139" s="1099">
        <f t="shared" si="372"/>
        <v>-300</v>
      </c>
      <c r="GP139" s="1099">
        <v>-700</v>
      </c>
      <c r="GQ139" s="1099"/>
      <c r="GR139" s="1036">
        <f>+GS139-GP139</f>
        <v>-500</v>
      </c>
      <c r="GS139" s="1036">
        <v>-1200</v>
      </c>
      <c r="GT139" s="1036">
        <f t="shared" si="373"/>
        <v>-500</v>
      </c>
      <c r="GU139" s="1036">
        <f>+GV139-GP139</f>
        <v>-1000</v>
      </c>
      <c r="GV139" s="1040">
        <v>-1700</v>
      </c>
      <c r="GW139" s="1036"/>
      <c r="GX139" s="1099"/>
      <c r="GY139" s="1099"/>
      <c r="GZ139" s="1099"/>
      <c r="HA139" s="1105"/>
      <c r="HB139" s="1099"/>
      <c r="HC139" s="1099"/>
      <c r="HD139" s="1099">
        <v>-200</v>
      </c>
      <c r="HE139" s="1099">
        <v>-200</v>
      </c>
      <c r="HF139" s="1099">
        <f t="shared" si="374"/>
        <v>100</v>
      </c>
      <c r="HG139" s="1099">
        <f>+HL139-HE139</f>
        <v>100</v>
      </c>
      <c r="HH139" s="1099">
        <f>HM139-HE139</f>
        <v>100</v>
      </c>
      <c r="HI139" s="1099">
        <v>-100</v>
      </c>
      <c r="HJ139" s="1099"/>
      <c r="HK139" s="1099"/>
      <c r="HL139" s="1099">
        <v>-100</v>
      </c>
      <c r="HM139" s="1099">
        <v>-100</v>
      </c>
      <c r="HN139" s="1036">
        <f>+HP139-HI139</f>
        <v>-100</v>
      </c>
      <c r="HO139" s="1036">
        <f>+HQ139-HM139</f>
        <v>-100</v>
      </c>
      <c r="HP139" s="1036">
        <v>-200</v>
      </c>
      <c r="HQ139" s="1036">
        <v>-200</v>
      </c>
      <c r="HR139" s="1036">
        <f t="shared" si="375"/>
        <v>-100</v>
      </c>
      <c r="HS139" s="1036"/>
      <c r="HT139" s="1036">
        <f>+HV139-HI139</f>
        <v>-200</v>
      </c>
      <c r="HU139" s="1036">
        <f>HZ139-HM139</f>
        <v>-200</v>
      </c>
      <c r="HV139" s="1036">
        <v>-300</v>
      </c>
      <c r="HW139" s="1099"/>
      <c r="HX139" s="1099"/>
      <c r="HY139" s="1099"/>
      <c r="HZ139" s="1036">
        <v>-300</v>
      </c>
      <c r="IA139" s="1099"/>
      <c r="IB139" s="1099"/>
      <c r="IC139" s="1105"/>
      <c r="ID139" s="1099"/>
      <c r="IE139" s="1106">
        <v>0</v>
      </c>
      <c r="IF139" s="1099">
        <f>IG139-IE139</f>
        <v>-100</v>
      </c>
      <c r="IG139" s="1107">
        <v>-100</v>
      </c>
      <c r="IH139" s="1099">
        <f>+IJ139-IG139</f>
        <v>0</v>
      </c>
      <c r="II139" s="1099"/>
      <c r="IJ139" s="1108">
        <v>-100</v>
      </c>
      <c r="IK139" s="1099">
        <f>+IP139-IL139</f>
        <v>0</v>
      </c>
      <c r="IL139" s="1099"/>
      <c r="IM139" s="1099">
        <f>+IO139-IH139</f>
        <v>100</v>
      </c>
      <c r="IN139" s="1099"/>
      <c r="IO139" s="1099">
        <f>+IR139-IG139</f>
        <v>100</v>
      </c>
      <c r="IP139" s="1100"/>
      <c r="IQ139" s="1099"/>
      <c r="IR139" s="1109">
        <v>0</v>
      </c>
      <c r="IS139" s="1289"/>
      <c r="IT139" s="1099"/>
      <c r="IU139" s="1110">
        <v>-100</v>
      </c>
      <c r="IV139" s="1110">
        <f>IX139-IU139</f>
        <v>-100</v>
      </c>
      <c r="IW139" s="1099"/>
      <c r="IX139" s="1099">
        <v>-200</v>
      </c>
      <c r="IY139" s="1099"/>
      <c r="IZ139" s="1099">
        <f>JA139-IX139</f>
        <v>-200</v>
      </c>
      <c r="JA139" s="1099">
        <v>-400</v>
      </c>
      <c r="JB139" s="1099">
        <f t="shared" ref="JB139" si="415">+JC139-IZ139</f>
        <v>-200</v>
      </c>
      <c r="JC139" s="1099">
        <f t="shared" ref="JC139" si="416">+JD139-IX139</f>
        <v>-400</v>
      </c>
      <c r="JD139" s="1099">
        <v>-600</v>
      </c>
      <c r="JE139" s="1099"/>
      <c r="JF139" s="1099"/>
      <c r="JG139" s="1099"/>
      <c r="JH139" s="1100"/>
      <c r="JI139" s="1289"/>
      <c r="JJ139" s="1796">
        <v>-100</v>
      </c>
      <c r="JK139" s="1797">
        <v>-100</v>
      </c>
      <c r="JL139" s="1127">
        <v>-200</v>
      </c>
      <c r="JM139" s="1099">
        <f t="shared" ref="JM139:JM142" si="417">+JP139-JL139</f>
        <v>-100</v>
      </c>
      <c r="JN139" s="1099">
        <f t="shared" si="404"/>
        <v>-100</v>
      </c>
      <c r="JO139" s="1797"/>
      <c r="JP139" s="1797">
        <v>-300</v>
      </c>
      <c r="JQ139" s="1797"/>
      <c r="JR139" s="1797"/>
      <c r="JS139" s="1797">
        <v>-400</v>
      </c>
      <c r="JT139" s="1797">
        <v>-50</v>
      </c>
      <c r="JU139" s="1127">
        <f>+JX139-JP139-JN139</f>
        <v>0</v>
      </c>
      <c r="JV139" s="1099">
        <f>+JL139+JK139</f>
        <v>-300</v>
      </c>
      <c r="JW139" s="1099">
        <f>+JN139+JU139</f>
        <v>-100</v>
      </c>
      <c r="JX139" s="1099">
        <f>+Driver!AL228</f>
        <v>-400</v>
      </c>
      <c r="JY139" s="1099">
        <f>+JP139+JT139</f>
        <v>-350</v>
      </c>
      <c r="JZ139" s="603"/>
      <c r="KA139" s="746"/>
      <c r="KB139" s="1110">
        <f t="shared" si="392"/>
        <v>0</v>
      </c>
      <c r="KC139" s="1110">
        <v>-200</v>
      </c>
      <c r="KD139" s="1110">
        <f t="shared" si="405"/>
        <v>-100</v>
      </c>
      <c r="KE139" s="1110">
        <f>+KG139-JP139</f>
        <v>0</v>
      </c>
      <c r="KF139" s="1110"/>
      <c r="KG139" s="1110">
        <v>-300</v>
      </c>
      <c r="KH139" s="1110">
        <v>-300</v>
      </c>
      <c r="KI139" s="746"/>
      <c r="KJ139" s="603"/>
      <c r="KK139" s="1099"/>
      <c r="KL139" s="1099">
        <f>KM139-IX139</f>
        <v>-200</v>
      </c>
      <c r="KM139" s="1110">
        <v>-400</v>
      </c>
      <c r="KN139" s="603"/>
      <c r="KO139" s="1110">
        <v>0</v>
      </c>
      <c r="KP139" s="1099">
        <v>-100</v>
      </c>
      <c r="KQ139" s="1100">
        <v>-100</v>
      </c>
      <c r="KR139" s="1099">
        <v>0</v>
      </c>
      <c r="KS139" s="1100">
        <v>-100</v>
      </c>
      <c r="KT139" s="1099">
        <f>KU139-IE139</f>
        <v>0</v>
      </c>
      <c r="KU139" s="1099">
        <v>0</v>
      </c>
      <c r="KV139" s="1099">
        <f>KW139-KU139</f>
        <v>0</v>
      </c>
      <c r="KW139" s="1100">
        <v>0</v>
      </c>
      <c r="KX139" s="1099">
        <f>KY139-HN139</f>
        <v>0</v>
      </c>
      <c r="KY139" s="1099">
        <f>KZ139-HI139</f>
        <v>-100</v>
      </c>
      <c r="KZ139" s="1100">
        <v>-200</v>
      </c>
      <c r="LA139" s="1099">
        <v>-200</v>
      </c>
      <c r="LB139" s="1099">
        <f>LC139-LA139</f>
        <v>0</v>
      </c>
      <c r="LC139" s="1100">
        <v>-200</v>
      </c>
      <c r="LD139" s="1100"/>
      <c r="LE139" s="1099">
        <f>LF139-GR139</f>
        <v>-400</v>
      </c>
      <c r="LF139" s="1099">
        <f>LG139-GP139</f>
        <v>-900</v>
      </c>
      <c r="LG139" s="1100">
        <v>-1600</v>
      </c>
    </row>
    <row r="140" spans="1:319" s="705" customFormat="1">
      <c r="A140" s="510"/>
      <c r="B140" s="1064" t="s">
        <v>1301</v>
      </c>
      <c r="C140" s="1065" t="s">
        <v>1296</v>
      </c>
      <c r="D140" s="497"/>
      <c r="E140" s="510"/>
      <c r="F140" s="510"/>
      <c r="G140" s="699"/>
      <c r="H140" s="510"/>
      <c r="I140" s="510"/>
      <c r="J140" s="699"/>
      <c r="K140" s="584"/>
      <c r="L140" s="584"/>
      <c r="M140" s="584"/>
      <c r="N140" s="584"/>
      <c r="O140" s="584"/>
      <c r="P140" s="584"/>
      <c r="Q140" s="584"/>
      <c r="R140" s="584"/>
      <c r="S140" s="700"/>
      <c r="T140" s="584"/>
      <c r="U140" s="584"/>
      <c r="V140" s="584"/>
      <c r="W140" s="584"/>
      <c r="X140" s="584"/>
      <c r="Y140" s="584"/>
      <c r="Z140" s="584"/>
      <c r="AA140" s="584"/>
      <c r="AB140" s="700"/>
      <c r="AC140" s="584"/>
      <c r="AD140" s="584"/>
      <c r="AE140" s="584"/>
      <c r="AF140" s="584"/>
      <c r="AG140" s="584"/>
      <c r="AH140" s="584"/>
      <c r="AI140" s="584"/>
      <c r="AJ140" s="584"/>
      <c r="AK140" s="497"/>
      <c r="AL140" s="584"/>
      <c r="AM140" s="584"/>
      <c r="AN140" s="584"/>
      <c r="AO140" s="584"/>
      <c r="AP140" s="584"/>
      <c r="AQ140" s="584"/>
      <c r="AR140" s="584"/>
      <c r="AS140" s="584"/>
      <c r="AT140" s="497"/>
      <c r="AU140" s="584"/>
      <c r="AV140" s="584"/>
      <c r="AW140" s="584"/>
      <c r="AX140" s="584"/>
      <c r="AY140" s="584"/>
      <c r="AZ140" s="584"/>
      <c r="BA140" s="584"/>
      <c r="BB140" s="625"/>
      <c r="BC140" s="625"/>
      <c r="BD140" s="584"/>
      <c r="BE140" s="584"/>
      <c r="BF140" s="497"/>
      <c r="BG140" s="584"/>
      <c r="BH140" s="584"/>
      <c r="BI140" s="584"/>
      <c r="BJ140" s="497"/>
      <c r="BK140" s="510"/>
      <c r="BL140" s="510"/>
      <c r="BM140" s="510"/>
      <c r="BN140" s="510"/>
      <c r="BO140" s="497"/>
      <c r="BP140" s="584"/>
      <c r="BQ140" s="584"/>
      <c r="BR140" s="584"/>
      <c r="BS140" s="584"/>
      <c r="BT140" s="584"/>
      <c r="BU140" s="584"/>
      <c r="BV140" s="584"/>
      <c r="BW140" s="584"/>
      <c r="BX140" s="584"/>
      <c r="BY140" s="584"/>
      <c r="BZ140" s="584"/>
      <c r="CA140" s="584"/>
      <c r="CB140" s="584"/>
      <c r="CC140" s="584"/>
      <c r="CD140" s="584"/>
      <c r="CE140" s="584"/>
      <c r="CF140" s="497"/>
      <c r="CG140" s="714"/>
      <c r="CH140" s="510"/>
      <c r="CI140" s="510"/>
      <c r="CJ140" s="510"/>
      <c r="CK140" s="510"/>
      <c r="CL140" s="510"/>
      <c r="CM140" s="510"/>
      <c r="CN140" s="510"/>
      <c r="CO140" s="510"/>
      <c r="CP140" s="510"/>
      <c r="CQ140" s="510"/>
      <c r="CR140" s="510"/>
      <c r="CS140" s="510"/>
      <c r="CT140" s="510"/>
      <c r="CU140" s="510"/>
      <c r="CV140" s="510"/>
      <c r="CW140" s="699"/>
      <c r="CX140" s="510"/>
      <c r="CY140" s="510"/>
      <c r="CZ140" s="510"/>
      <c r="DA140" s="510"/>
      <c r="DB140" s="510"/>
      <c r="DC140" s="510"/>
      <c r="DD140" s="510"/>
      <c r="DE140" s="510"/>
      <c r="DF140" s="510"/>
      <c r="DG140" s="510"/>
      <c r="DH140" s="510"/>
      <c r="DI140" s="510"/>
      <c r="DJ140" s="510"/>
      <c r="DK140" s="510"/>
      <c r="DL140" s="512"/>
      <c r="DM140" s="512"/>
      <c r="DN140" s="584"/>
      <c r="DO140" s="584"/>
      <c r="DP140" s="713"/>
      <c r="DQ140" s="713"/>
      <c r="DR140" s="713"/>
      <c r="DS140" s="517"/>
      <c r="DT140" s="512"/>
      <c r="DU140" s="584"/>
      <c r="DV140" s="759"/>
      <c r="DW140" s="710"/>
      <c r="DX140" s="713"/>
      <c r="DY140" s="713"/>
      <c r="DZ140" s="497"/>
      <c r="EB140" s="710"/>
      <c r="EC140" s="713"/>
      <c r="ED140" s="512"/>
      <c r="EE140" s="497"/>
      <c r="EF140" s="510"/>
      <c r="EG140" s="714"/>
      <c r="EH140" s="510"/>
      <c r="EI140" s="510"/>
      <c r="EJ140" s="510"/>
      <c r="EK140" s="510"/>
      <c r="EL140" s="510"/>
      <c r="EM140" s="510"/>
      <c r="EN140" s="510"/>
      <c r="EO140" s="510"/>
      <c r="EQ140" s="510"/>
      <c r="ES140" s="510"/>
      <c r="EU140" s="699"/>
      <c r="EV140" s="517"/>
      <c r="EW140" s="510"/>
      <c r="EX140" s="510"/>
      <c r="EY140" s="510"/>
      <c r="EZ140" s="510"/>
      <c r="FA140" s="510"/>
      <c r="FB140" s="510"/>
      <c r="FC140" s="510"/>
      <c r="FD140" s="510"/>
      <c r="FE140" s="510"/>
      <c r="FF140" s="510"/>
      <c r="FG140" s="1141"/>
      <c r="FH140" s="510"/>
      <c r="FI140" s="510"/>
      <c r="FJ140" s="510"/>
      <c r="FK140" s="699"/>
      <c r="FL140" s="512"/>
      <c r="FM140" s="584"/>
      <c r="FN140" s="713"/>
      <c r="FO140" s="713"/>
      <c r="FP140" s="713"/>
      <c r="FQ140" s="517"/>
      <c r="FR140" s="517"/>
      <c r="FS140" s="510"/>
      <c r="FT140" s="713"/>
      <c r="FU140" s="713"/>
      <c r="FV140" s="510"/>
      <c r="FW140" s="713"/>
      <c r="FX140" s="713"/>
      <c r="FY140" s="510"/>
      <c r="FZ140" s="510"/>
      <c r="GA140" s="510"/>
      <c r="GB140" s="510"/>
      <c r="GC140" s="510"/>
      <c r="GD140" s="699"/>
      <c r="GE140" s="510"/>
      <c r="GF140" s="510"/>
      <c r="GG140" s="510"/>
      <c r="GH140" s="713"/>
      <c r="GI140" s="713"/>
      <c r="GJ140" s="715"/>
      <c r="GK140" s="713"/>
      <c r="GL140" s="713">
        <v>-100</v>
      </c>
      <c r="GM140" s="713"/>
      <c r="GN140" s="713"/>
      <c r="GO140" s="713"/>
      <c r="GP140" s="713"/>
      <c r="GQ140" s="713"/>
      <c r="GR140" s="510"/>
      <c r="GS140" s="510"/>
      <c r="GT140" s="510"/>
      <c r="GU140" s="510"/>
      <c r="GV140" s="699"/>
      <c r="GW140" s="510"/>
      <c r="GX140" s="713"/>
      <c r="GY140" s="713"/>
      <c r="GZ140" s="713"/>
      <c r="HA140" s="715"/>
      <c r="HB140" s="713"/>
      <c r="HC140" s="713"/>
      <c r="HD140" s="713"/>
      <c r="HE140" s="713"/>
      <c r="HF140" s="713"/>
      <c r="HG140" s="713"/>
      <c r="HH140" s="713"/>
      <c r="HI140" s="713">
        <v>100</v>
      </c>
      <c r="HJ140" s="713"/>
      <c r="HK140" s="713"/>
      <c r="HL140" s="713">
        <v>100</v>
      </c>
      <c r="HM140" s="713">
        <v>100</v>
      </c>
      <c r="HN140" s="510"/>
      <c r="HO140" s="510"/>
      <c r="HP140" s="510"/>
      <c r="HQ140" s="510"/>
      <c r="HR140" s="510"/>
      <c r="HS140" s="510"/>
      <c r="HT140" s="510">
        <f>+HV140-HI140</f>
        <v>-100</v>
      </c>
      <c r="HU140" s="510"/>
      <c r="HV140" s="510">
        <v>0</v>
      </c>
      <c r="HW140" s="713"/>
      <c r="HX140" s="713"/>
      <c r="HY140" s="713"/>
      <c r="HZ140" s="510"/>
      <c r="IA140" s="713"/>
      <c r="IB140" s="713"/>
      <c r="IC140" s="715"/>
      <c r="ID140" s="713"/>
      <c r="IE140" s="784"/>
      <c r="IF140" s="713"/>
      <c r="IG140" s="713"/>
      <c r="IH140" s="713"/>
      <c r="II140" s="713"/>
      <c r="IJ140" s="713"/>
      <c r="IK140" s="713"/>
      <c r="IL140" s="713"/>
      <c r="IM140" s="713"/>
      <c r="IN140" s="713"/>
      <c r="IO140" s="713">
        <f>+IR140-IG140</f>
        <v>0</v>
      </c>
      <c r="IP140" s="517"/>
      <c r="IQ140" s="713"/>
      <c r="IR140" s="517"/>
      <c r="IS140" s="784"/>
      <c r="IT140" s="713"/>
      <c r="IU140" s="713"/>
      <c r="IV140" s="713"/>
      <c r="IW140" s="713"/>
      <c r="IX140" s="713"/>
      <c r="IY140" s="713"/>
      <c r="IZ140" s="713"/>
      <c r="JA140" s="713"/>
      <c r="JB140" s="713"/>
      <c r="JC140" s="713"/>
      <c r="JD140" s="713">
        <v>-600</v>
      </c>
      <c r="JE140" s="713"/>
      <c r="JF140" s="713"/>
      <c r="JG140" s="713"/>
      <c r="JH140" s="517"/>
      <c r="JI140" s="784"/>
      <c r="JJ140" s="784"/>
      <c r="JK140" s="713"/>
      <c r="JL140" s="584">
        <v>-200</v>
      </c>
      <c r="JM140" s="713">
        <f t="shared" si="417"/>
        <v>-100</v>
      </c>
      <c r="JN140" s="713">
        <f t="shared" si="404"/>
        <v>300</v>
      </c>
      <c r="JO140" s="713"/>
      <c r="JP140" s="713">
        <v>-300</v>
      </c>
      <c r="JQ140" s="713"/>
      <c r="JR140" s="713"/>
      <c r="JS140" s="713"/>
      <c r="JT140" s="713"/>
      <c r="JU140" s="713"/>
      <c r="JV140" s="713"/>
      <c r="JW140" s="713"/>
      <c r="JX140" s="713"/>
      <c r="JY140" s="713"/>
      <c r="JZ140" s="713"/>
      <c r="KA140" s="517"/>
      <c r="KB140" s="713">
        <f t="shared" si="392"/>
        <v>0</v>
      </c>
      <c r="KC140" s="713">
        <v>-200</v>
      </c>
      <c r="KD140" s="713">
        <f t="shared" si="405"/>
        <v>-100</v>
      </c>
      <c r="KE140" s="713">
        <f>+KG140-JP140</f>
        <v>300</v>
      </c>
      <c r="KF140" s="713"/>
      <c r="KG140" s="713"/>
      <c r="KH140" s="713">
        <v>-300</v>
      </c>
      <c r="KI140" s="517"/>
      <c r="KJ140" s="713"/>
      <c r="KK140" s="713"/>
      <c r="KL140" s="713"/>
      <c r="KM140" s="713"/>
      <c r="KN140" s="713"/>
      <c r="KO140" s="713"/>
      <c r="KP140" s="713"/>
      <c r="KQ140" s="517"/>
      <c r="KR140" s="713"/>
      <c r="KS140" s="517"/>
      <c r="KT140" s="713"/>
      <c r="KU140" s="713"/>
      <c r="KV140" s="713"/>
      <c r="KW140" s="517"/>
      <c r="KX140" s="713">
        <f>KY140-HN140</f>
        <v>100</v>
      </c>
      <c r="KY140" s="713">
        <f>KZ140-HI140</f>
        <v>100</v>
      </c>
      <c r="KZ140" s="517">
        <v>200</v>
      </c>
      <c r="LA140" s="713"/>
      <c r="LB140" s="713"/>
      <c r="LC140" s="517"/>
      <c r="LD140" s="517"/>
      <c r="LE140" s="713"/>
      <c r="LF140" s="713"/>
      <c r="LG140" s="517"/>
    </row>
    <row r="141" spans="1:319" s="705" customFormat="1">
      <c r="A141" s="510"/>
      <c r="B141" s="1064" t="s">
        <v>1302</v>
      </c>
      <c r="C141" s="1065" t="s">
        <v>1297</v>
      </c>
      <c r="D141" s="497"/>
      <c r="E141" s="510"/>
      <c r="F141" s="510"/>
      <c r="G141" s="699"/>
      <c r="H141" s="510"/>
      <c r="I141" s="510"/>
      <c r="J141" s="699"/>
      <c r="K141" s="584"/>
      <c r="L141" s="584"/>
      <c r="M141" s="584"/>
      <c r="N141" s="584"/>
      <c r="O141" s="584"/>
      <c r="P141" s="584"/>
      <c r="Q141" s="584"/>
      <c r="R141" s="584"/>
      <c r="S141" s="700"/>
      <c r="T141" s="584"/>
      <c r="U141" s="584"/>
      <c r="V141" s="584"/>
      <c r="W141" s="584"/>
      <c r="X141" s="584"/>
      <c r="Y141" s="584"/>
      <c r="Z141" s="584"/>
      <c r="AA141" s="584"/>
      <c r="AB141" s="700"/>
      <c r="AC141" s="584"/>
      <c r="AD141" s="584"/>
      <c r="AE141" s="584"/>
      <c r="AF141" s="584"/>
      <c r="AG141" s="584"/>
      <c r="AH141" s="584"/>
      <c r="AI141" s="584"/>
      <c r="AJ141" s="584"/>
      <c r="AK141" s="497"/>
      <c r="AL141" s="584"/>
      <c r="AM141" s="584"/>
      <c r="AN141" s="584"/>
      <c r="AO141" s="584"/>
      <c r="AP141" s="584"/>
      <c r="AQ141" s="584"/>
      <c r="AR141" s="584"/>
      <c r="AS141" s="584"/>
      <c r="AT141" s="497"/>
      <c r="AU141" s="584"/>
      <c r="AV141" s="584"/>
      <c r="AW141" s="584"/>
      <c r="AX141" s="584"/>
      <c r="AY141" s="584"/>
      <c r="AZ141" s="584"/>
      <c r="BA141" s="584"/>
      <c r="BB141" s="625"/>
      <c r="BC141" s="625"/>
      <c r="BD141" s="584"/>
      <c r="BE141" s="584"/>
      <c r="BF141" s="497"/>
      <c r="BG141" s="584"/>
      <c r="BH141" s="584"/>
      <c r="BI141" s="584"/>
      <c r="BJ141" s="497"/>
      <c r="BK141" s="510"/>
      <c r="BL141" s="510"/>
      <c r="BM141" s="510"/>
      <c r="BN141" s="510"/>
      <c r="BO141" s="497"/>
      <c r="BP141" s="584"/>
      <c r="BQ141" s="584"/>
      <c r="BR141" s="584"/>
      <c r="BS141" s="584"/>
      <c r="BT141" s="584"/>
      <c r="BU141" s="584"/>
      <c r="BV141" s="584"/>
      <c r="BW141" s="584"/>
      <c r="BX141" s="584"/>
      <c r="BY141" s="584"/>
      <c r="BZ141" s="584"/>
      <c r="CA141" s="584"/>
      <c r="CB141" s="584"/>
      <c r="CC141" s="584"/>
      <c r="CD141" s="584"/>
      <c r="CE141" s="584"/>
      <c r="CF141" s="497"/>
      <c r="CG141" s="714"/>
      <c r="CH141" s="510"/>
      <c r="CI141" s="510"/>
      <c r="CJ141" s="510"/>
      <c r="CK141" s="510"/>
      <c r="CL141" s="510"/>
      <c r="CM141" s="510"/>
      <c r="CN141" s="510"/>
      <c r="CO141" s="510"/>
      <c r="CP141" s="510"/>
      <c r="CQ141" s="510"/>
      <c r="CR141" s="510"/>
      <c r="CS141" s="510"/>
      <c r="CT141" s="510"/>
      <c r="CU141" s="510"/>
      <c r="CV141" s="510"/>
      <c r="CW141" s="699"/>
      <c r="CX141" s="510"/>
      <c r="CY141" s="510"/>
      <c r="CZ141" s="510"/>
      <c r="DA141" s="510"/>
      <c r="DB141" s="510"/>
      <c r="DC141" s="510"/>
      <c r="DD141" s="510"/>
      <c r="DE141" s="510"/>
      <c r="DF141" s="510"/>
      <c r="DG141" s="510"/>
      <c r="DH141" s="510"/>
      <c r="DI141" s="510"/>
      <c r="DJ141" s="510"/>
      <c r="DK141" s="510"/>
      <c r="DL141" s="512"/>
      <c r="DM141" s="512"/>
      <c r="DN141" s="584"/>
      <c r="DO141" s="584"/>
      <c r="DP141" s="713"/>
      <c r="DQ141" s="713"/>
      <c r="DR141" s="713"/>
      <c r="DS141" s="517"/>
      <c r="DT141" s="512"/>
      <c r="DU141" s="584"/>
      <c r="DV141" s="759"/>
      <c r="DW141" s="710"/>
      <c r="DX141" s="713"/>
      <c r="DY141" s="713"/>
      <c r="DZ141" s="497"/>
      <c r="EB141" s="710"/>
      <c r="EC141" s="713"/>
      <c r="ED141" s="512"/>
      <c r="EE141" s="497"/>
      <c r="EF141" s="510"/>
      <c r="EG141" s="714"/>
      <c r="EH141" s="510"/>
      <c r="EI141" s="510"/>
      <c r="EJ141" s="510"/>
      <c r="EK141" s="510"/>
      <c r="EL141" s="510"/>
      <c r="EM141" s="510"/>
      <c r="EN141" s="510"/>
      <c r="EO141" s="510"/>
      <c r="EQ141" s="510"/>
      <c r="ES141" s="510"/>
      <c r="EU141" s="699"/>
      <c r="EV141" s="517"/>
      <c r="EW141" s="510"/>
      <c r="EX141" s="510"/>
      <c r="EY141" s="510"/>
      <c r="EZ141" s="510"/>
      <c r="FA141" s="510"/>
      <c r="FB141" s="510"/>
      <c r="FC141" s="510"/>
      <c r="FD141" s="510"/>
      <c r="FE141" s="510"/>
      <c r="FF141" s="510"/>
      <c r="FG141" s="1141"/>
      <c r="FH141" s="510"/>
      <c r="FI141" s="510"/>
      <c r="FJ141" s="510"/>
      <c r="FK141" s="699"/>
      <c r="FL141" s="512"/>
      <c r="FM141" s="584"/>
      <c r="FN141" s="713"/>
      <c r="FO141" s="713"/>
      <c r="FP141" s="713"/>
      <c r="FQ141" s="517"/>
      <c r="FR141" s="517"/>
      <c r="FS141" s="510"/>
      <c r="FT141" s="713"/>
      <c r="FU141" s="713"/>
      <c r="FV141" s="510"/>
      <c r="FW141" s="713"/>
      <c r="FX141" s="713"/>
      <c r="FY141" s="510"/>
      <c r="FZ141" s="510"/>
      <c r="GA141" s="510"/>
      <c r="GB141" s="510"/>
      <c r="GC141" s="510"/>
      <c r="GD141" s="699"/>
      <c r="GE141" s="510"/>
      <c r="GF141" s="510"/>
      <c r="GG141" s="510"/>
      <c r="GH141" s="713"/>
      <c r="GI141" s="713"/>
      <c r="GJ141" s="715"/>
      <c r="GK141" s="713"/>
      <c r="GL141" s="713">
        <v>-300</v>
      </c>
      <c r="GM141" s="713"/>
      <c r="GN141" s="713"/>
      <c r="GO141" s="713"/>
      <c r="GP141" s="713"/>
      <c r="GQ141" s="713"/>
      <c r="GR141" s="510"/>
      <c r="GS141" s="510"/>
      <c r="GT141" s="510"/>
      <c r="GU141" s="510"/>
      <c r="GV141" s="699"/>
      <c r="GW141" s="510"/>
      <c r="GX141" s="713"/>
      <c r="GY141" s="713"/>
      <c r="GZ141" s="713"/>
      <c r="HA141" s="715"/>
      <c r="HB141" s="713"/>
      <c r="HC141" s="713"/>
      <c r="HD141" s="713"/>
      <c r="HE141" s="713"/>
      <c r="HF141" s="713"/>
      <c r="HG141" s="713"/>
      <c r="HH141" s="713"/>
      <c r="HI141" s="713">
        <v>-200</v>
      </c>
      <c r="HJ141" s="713"/>
      <c r="HK141" s="713"/>
      <c r="HL141" s="713">
        <v>-200</v>
      </c>
      <c r="HM141" s="713">
        <v>-200</v>
      </c>
      <c r="HN141" s="510"/>
      <c r="HO141" s="510"/>
      <c r="HP141" s="510"/>
      <c r="HQ141" s="510"/>
      <c r="HR141" s="510"/>
      <c r="HS141" s="510"/>
      <c r="HT141" s="510"/>
      <c r="HU141" s="510"/>
      <c r="HV141" s="510">
        <v>-300</v>
      </c>
      <c r="HW141" s="713"/>
      <c r="HX141" s="713"/>
      <c r="HY141" s="713"/>
      <c r="HZ141" s="510"/>
      <c r="IA141" s="713"/>
      <c r="IB141" s="713"/>
      <c r="IC141" s="715"/>
      <c r="ID141" s="713"/>
      <c r="IE141" s="784"/>
      <c r="IF141" s="713"/>
      <c r="IG141" s="713"/>
      <c r="IH141" s="713"/>
      <c r="II141" s="713"/>
      <c r="IJ141" s="713"/>
      <c r="IK141" s="713"/>
      <c r="IL141" s="713"/>
      <c r="IM141" s="713"/>
      <c r="IN141" s="713"/>
      <c r="IO141" s="713"/>
      <c r="IP141" s="517"/>
      <c r="IQ141" s="713"/>
      <c r="IR141" s="517"/>
      <c r="IS141" s="784"/>
      <c r="IT141" s="713"/>
      <c r="IU141" s="713"/>
      <c r="IV141" s="713"/>
      <c r="IW141" s="713"/>
      <c r="IX141" s="713"/>
      <c r="IY141" s="713"/>
      <c r="IZ141" s="713"/>
      <c r="JA141" s="713"/>
      <c r="JB141" s="713"/>
      <c r="JC141" s="713"/>
      <c r="JD141" s="713"/>
      <c r="JE141" s="713"/>
      <c r="JF141" s="713"/>
      <c r="JG141" s="713"/>
      <c r="JH141" s="517"/>
      <c r="JI141" s="784"/>
      <c r="JJ141" s="784"/>
      <c r="JK141" s="713"/>
      <c r="JL141" s="713"/>
      <c r="JM141" s="713"/>
      <c r="JN141" s="713"/>
      <c r="JO141" s="713"/>
      <c r="JP141" s="713"/>
      <c r="JQ141" s="713"/>
      <c r="JR141" s="713"/>
      <c r="JS141" s="713"/>
      <c r="JT141" s="713"/>
      <c r="JU141" s="713"/>
      <c r="JV141" s="713"/>
      <c r="JW141" s="713"/>
      <c r="JX141" s="713"/>
      <c r="JY141" s="713"/>
      <c r="JZ141" s="713"/>
      <c r="KA141" s="517"/>
      <c r="KB141" s="713"/>
      <c r="KC141" s="713">
        <f>+KC139-KC140</f>
        <v>0</v>
      </c>
      <c r="KD141" s="713"/>
      <c r="KE141" s="713"/>
      <c r="KF141" s="713"/>
      <c r="KG141" s="713"/>
      <c r="KH141" s="713">
        <f>+KH139-KH140</f>
        <v>0</v>
      </c>
      <c r="KI141" s="517"/>
      <c r="KJ141" s="713"/>
      <c r="KK141" s="713"/>
      <c r="KL141" s="713"/>
      <c r="KM141" s="713"/>
      <c r="KN141" s="713"/>
      <c r="KO141" s="713"/>
      <c r="KP141" s="713"/>
      <c r="KQ141" s="517"/>
      <c r="KR141" s="713"/>
      <c r="KS141" s="517"/>
      <c r="KT141" s="713"/>
      <c r="KU141" s="713"/>
      <c r="KV141" s="713"/>
      <c r="KW141" s="517"/>
      <c r="KX141" s="713">
        <f>KY141-HN141</f>
        <v>-200</v>
      </c>
      <c r="KY141" s="713">
        <f>KZ141-HI141</f>
        <v>-200</v>
      </c>
      <c r="KZ141" s="517">
        <v>-400</v>
      </c>
      <c r="LA141" s="713"/>
      <c r="LB141" s="713"/>
      <c r="LC141" s="517"/>
      <c r="LD141" s="517"/>
      <c r="LE141" s="713"/>
      <c r="LF141" s="713"/>
      <c r="LG141" s="517"/>
    </row>
    <row r="142" spans="1:319" s="532" customFormat="1">
      <c r="A142" s="520"/>
      <c r="B142" s="796" t="s">
        <v>1089</v>
      </c>
      <c r="C142" s="522" t="s">
        <v>429</v>
      </c>
      <c r="D142" s="523"/>
      <c r="E142" s="520"/>
      <c r="F142" s="520"/>
      <c r="G142" s="522"/>
      <c r="H142" s="520"/>
      <c r="I142" s="520"/>
      <c r="J142" s="522"/>
      <c r="K142" s="524"/>
      <c r="L142" s="524"/>
      <c r="M142" s="524"/>
      <c r="N142" s="524"/>
      <c r="O142" s="524"/>
      <c r="P142" s="524"/>
      <c r="Q142" s="524"/>
      <c r="R142" s="524"/>
      <c r="S142" s="525"/>
      <c r="T142" s="524">
        <v>300</v>
      </c>
      <c r="U142" s="524">
        <f>+Y142-T142</f>
        <v>28</v>
      </c>
      <c r="V142" s="524">
        <f>+X142-Y142</f>
        <v>304</v>
      </c>
      <c r="W142" s="524">
        <f>+Z142-V142</f>
        <v>5</v>
      </c>
      <c r="X142" s="524">
        <v>632</v>
      </c>
      <c r="Y142" s="524">
        <v>328</v>
      </c>
      <c r="Z142" s="524">
        <f>+AA142-Y142</f>
        <v>309</v>
      </c>
      <c r="AA142" s="524">
        <v>637</v>
      </c>
      <c r="AB142" s="525"/>
      <c r="AC142" s="524">
        <v>234</v>
      </c>
      <c r="AD142" s="524">
        <f t="shared" ref="AD142:AD162" si="418">+AH142-AC142</f>
        <v>62</v>
      </c>
      <c r="AE142" s="524">
        <f t="shared" ref="AE142:AE162" si="419">+AG142-AH142</f>
        <v>199</v>
      </c>
      <c r="AF142" s="524">
        <f t="shared" ref="AF142:AF162" si="420">+AI142-AE142</f>
        <v>48</v>
      </c>
      <c r="AG142" s="524">
        <v>495</v>
      </c>
      <c r="AH142" s="524">
        <v>296</v>
      </c>
      <c r="AI142" s="524">
        <f t="shared" si="378"/>
        <v>247</v>
      </c>
      <c r="AJ142" s="524">
        <v>543</v>
      </c>
      <c r="AK142" s="523"/>
      <c r="AL142" s="524">
        <v>112</v>
      </c>
      <c r="AM142" s="524">
        <f t="shared" ref="AM142:AM162" si="421">+AQ142-AL142</f>
        <v>125</v>
      </c>
      <c r="AN142" s="524">
        <f t="shared" ref="AN142:AN162" si="422">+AP142-AQ142</f>
        <v>278</v>
      </c>
      <c r="AO142" s="524">
        <f t="shared" ref="AO142:AO162" si="423">+AR142-AN142</f>
        <v>63</v>
      </c>
      <c r="AP142" s="524">
        <v>515</v>
      </c>
      <c r="AQ142" s="524">
        <v>237</v>
      </c>
      <c r="AR142" s="524">
        <f t="shared" si="379"/>
        <v>341</v>
      </c>
      <c r="AS142" s="524">
        <v>578</v>
      </c>
      <c r="AT142" s="523"/>
      <c r="AU142" s="524">
        <v>-6</v>
      </c>
      <c r="AV142" s="524">
        <f t="shared" si="380"/>
        <v>-20</v>
      </c>
      <c r="AW142" s="524">
        <f t="shared" si="361"/>
        <v>82</v>
      </c>
      <c r="AX142" s="524">
        <v>126</v>
      </c>
      <c r="AY142" s="524">
        <f t="shared" si="381"/>
        <v>-141</v>
      </c>
      <c r="AZ142" s="524">
        <v>100</v>
      </c>
      <c r="BA142" s="524">
        <v>56</v>
      </c>
      <c r="BB142" s="526">
        <v>-26</v>
      </c>
      <c r="BC142" s="526">
        <f t="shared" si="382"/>
        <v>-59</v>
      </c>
      <c r="BD142" s="524">
        <v>200</v>
      </c>
      <c r="BE142" s="524">
        <v>-85</v>
      </c>
      <c r="BF142" s="523"/>
      <c r="BG142" s="524">
        <f>+BH142-AW142</f>
        <v>-56</v>
      </c>
      <c r="BH142" s="524">
        <f t="shared" si="383"/>
        <v>26</v>
      </c>
      <c r="BI142" s="524"/>
      <c r="BJ142" s="523"/>
      <c r="BK142" s="520">
        <v>200</v>
      </c>
      <c r="BL142" s="520">
        <v>360</v>
      </c>
      <c r="BM142" s="520">
        <v>560</v>
      </c>
      <c r="BN142" s="520"/>
      <c r="BO142" s="523"/>
      <c r="BP142" s="524">
        <v>-57</v>
      </c>
      <c r="BQ142" s="524">
        <v>0</v>
      </c>
      <c r="BR142" s="524">
        <f t="shared" ref="BR142:BR164" si="424">+BY142-BP142</f>
        <v>-46</v>
      </c>
      <c r="BS142" s="524">
        <v>150</v>
      </c>
      <c r="BT142" s="526">
        <f t="shared" ref="BT142:BT162" si="425">+BX142-BY142</f>
        <v>247</v>
      </c>
      <c r="BU142" s="526">
        <v>56</v>
      </c>
      <c r="BV142" s="524">
        <f t="shared" si="406"/>
        <v>62</v>
      </c>
      <c r="BW142" s="524">
        <v>47</v>
      </c>
      <c r="BX142" s="524">
        <v>144</v>
      </c>
      <c r="BY142" s="524">
        <v>-103</v>
      </c>
      <c r="BZ142" s="524">
        <v>-57</v>
      </c>
      <c r="CA142" s="524">
        <v>43</v>
      </c>
      <c r="CB142" s="524">
        <v>303</v>
      </c>
      <c r="CC142" s="524">
        <f t="shared" si="407"/>
        <v>309</v>
      </c>
      <c r="CD142" s="524">
        <v>200</v>
      </c>
      <c r="CE142" s="524">
        <v>206</v>
      </c>
      <c r="CF142" s="523"/>
      <c r="CG142" s="527">
        <v>46</v>
      </c>
      <c r="CH142" s="520">
        <v>50</v>
      </c>
      <c r="CI142" s="520">
        <v>50</v>
      </c>
      <c r="CJ142" s="520">
        <f t="shared" ref="CJ142:CJ162" si="426">CR142-CG142</f>
        <v>65</v>
      </c>
      <c r="CK142" s="520">
        <v>54</v>
      </c>
      <c r="CL142" s="528">
        <f t="shared" ref="CL142:CL164" si="427">CP142-CR142</f>
        <v>244</v>
      </c>
      <c r="CM142" s="520">
        <v>300</v>
      </c>
      <c r="CN142" s="520">
        <v>45</v>
      </c>
      <c r="CO142" s="520">
        <f t="shared" ref="CO142:CO162" si="428">CW142-CP142</f>
        <v>133</v>
      </c>
      <c r="CP142" s="542">
        <v>355</v>
      </c>
      <c r="CQ142" s="542">
        <v>411</v>
      </c>
      <c r="CR142" s="520">
        <v>111</v>
      </c>
      <c r="CS142" s="520">
        <v>100</v>
      </c>
      <c r="CT142" s="520">
        <v>289</v>
      </c>
      <c r="CU142" s="520">
        <f t="shared" si="363"/>
        <v>377</v>
      </c>
      <c r="CV142" s="520">
        <v>400</v>
      </c>
      <c r="CW142" s="522">
        <v>488</v>
      </c>
      <c r="CX142" s="520"/>
      <c r="CY142" s="520">
        <v>149</v>
      </c>
      <c r="CZ142" s="520">
        <f t="shared" si="364"/>
        <v>168</v>
      </c>
      <c r="DA142" s="520">
        <v>300</v>
      </c>
      <c r="DB142" s="520">
        <v>317</v>
      </c>
      <c r="DC142" s="520">
        <f t="shared" si="365"/>
        <v>383</v>
      </c>
      <c r="DD142" s="520">
        <v>350</v>
      </c>
      <c r="DE142" s="520">
        <f t="shared" si="299"/>
        <v>183</v>
      </c>
      <c r="DF142" s="542">
        <f>DJ142-DC142</f>
        <v>-100</v>
      </c>
      <c r="DG142" s="542">
        <v>700</v>
      </c>
      <c r="DH142" s="542">
        <f t="shared" ref="DH142:DH157" si="429">+DD142+DB142</f>
        <v>667</v>
      </c>
      <c r="DI142" s="520">
        <f t="shared" si="224"/>
        <v>566</v>
      </c>
      <c r="DJ142" s="520">
        <f>DL142-DB142</f>
        <v>283</v>
      </c>
      <c r="DK142" s="520">
        <v>883</v>
      </c>
      <c r="DL142" s="529">
        <v>600</v>
      </c>
      <c r="DM142" s="529"/>
      <c r="DN142" s="524"/>
      <c r="DO142" s="524"/>
      <c r="DP142" s="530"/>
      <c r="DQ142" s="530">
        <f t="shared" si="402"/>
        <v>0</v>
      </c>
      <c r="DR142" s="530">
        <f t="shared" si="346"/>
        <v>383</v>
      </c>
      <c r="DS142" s="531">
        <v>700</v>
      </c>
      <c r="DT142" s="529"/>
      <c r="DU142" s="524"/>
      <c r="DV142" s="524">
        <f t="shared" si="408"/>
        <v>-49</v>
      </c>
      <c r="DW142" s="528">
        <v>100</v>
      </c>
      <c r="DX142" s="530">
        <f t="shared" si="409"/>
        <v>283</v>
      </c>
      <c r="DY142" s="530">
        <v>600</v>
      </c>
      <c r="DZ142" s="523"/>
      <c r="EB142" s="528">
        <f t="shared" si="410"/>
        <v>145</v>
      </c>
      <c r="EC142" s="530">
        <f t="shared" si="411"/>
        <v>389</v>
      </c>
      <c r="ED142" s="529">
        <v>500</v>
      </c>
      <c r="EE142" s="523"/>
      <c r="EF142" s="520"/>
      <c r="EG142" s="527">
        <v>188</v>
      </c>
      <c r="EH142" s="520">
        <v>150</v>
      </c>
      <c r="EI142" s="520">
        <f t="shared" si="386"/>
        <v>140</v>
      </c>
      <c r="EJ142" s="520">
        <v>200</v>
      </c>
      <c r="EK142" s="520">
        <v>328</v>
      </c>
      <c r="EL142" s="520">
        <f>+EG142+EJ142</f>
        <v>388</v>
      </c>
      <c r="EM142" s="520">
        <f t="shared" si="412"/>
        <v>326</v>
      </c>
      <c r="EN142" s="520">
        <v>300</v>
      </c>
      <c r="EO142" s="520">
        <v>654</v>
      </c>
      <c r="EP142" s="520">
        <f>+EN142+EK142</f>
        <v>628</v>
      </c>
      <c r="EQ142" s="520">
        <f t="shared" si="413"/>
        <v>74</v>
      </c>
      <c r="ER142" s="520"/>
      <c r="ES142" s="520">
        <f t="shared" ref="ES142:ES164" si="430">+EU142-EK142</f>
        <v>400</v>
      </c>
      <c r="ET142" s="520"/>
      <c r="EU142" s="522">
        <v>728</v>
      </c>
      <c r="EV142" s="533"/>
      <c r="EW142" s="520">
        <v>200</v>
      </c>
      <c r="EX142" s="520">
        <v>72</v>
      </c>
      <c r="EY142" s="520">
        <v>128</v>
      </c>
      <c r="EZ142" s="520">
        <f t="shared" si="388"/>
        <v>52</v>
      </c>
      <c r="FA142" s="520">
        <v>200</v>
      </c>
      <c r="FB142" s="520">
        <v>124</v>
      </c>
      <c r="FC142" s="520">
        <f t="shared" si="414"/>
        <v>203</v>
      </c>
      <c r="FD142" s="477">
        <v>176</v>
      </c>
      <c r="FE142" s="520">
        <v>327</v>
      </c>
      <c r="FF142" s="757">
        <v>300</v>
      </c>
      <c r="FG142" s="757">
        <f t="shared" ref="FG142:FG149" si="431">FK142-FE142</f>
        <v>-194</v>
      </c>
      <c r="FH142" s="520">
        <f>+FL142-FE142</f>
        <v>-194</v>
      </c>
      <c r="FI142" s="520">
        <f>FK142-FB142</f>
        <v>9</v>
      </c>
      <c r="FJ142" s="520">
        <f>+FL142-FB142</f>
        <v>9</v>
      </c>
      <c r="FK142" s="522">
        <v>133</v>
      </c>
      <c r="FL142" s="529">
        <f>Segments!N41</f>
        <v>133</v>
      </c>
      <c r="FM142" s="524">
        <f t="shared" si="368"/>
        <v>28</v>
      </c>
      <c r="FN142" s="530">
        <v>100</v>
      </c>
      <c r="FO142" s="530">
        <f>+FQ142-FE142</f>
        <v>-27</v>
      </c>
      <c r="FP142" s="530">
        <f t="shared" si="369"/>
        <v>176</v>
      </c>
      <c r="FQ142" s="531">
        <v>300</v>
      </c>
      <c r="FR142" s="531"/>
      <c r="FS142" s="520">
        <v>-121</v>
      </c>
      <c r="FT142" s="530">
        <v>-150</v>
      </c>
      <c r="FU142" s="530">
        <f>FW142-FS142</f>
        <v>-179</v>
      </c>
      <c r="FV142" s="520">
        <f t="shared" si="370"/>
        <v>-351</v>
      </c>
      <c r="FW142" s="530">
        <v>-300</v>
      </c>
      <c r="FX142" s="530"/>
      <c r="FY142" s="520">
        <v>-472</v>
      </c>
      <c r="FZ142" s="520">
        <f>+GA142-FY142</f>
        <v>-118</v>
      </c>
      <c r="GA142" s="520">
        <v>-590</v>
      </c>
      <c r="GB142" s="520">
        <f t="shared" si="371"/>
        <v>-387</v>
      </c>
      <c r="GC142" s="520">
        <f>+GD142-FY142</f>
        <v>-505</v>
      </c>
      <c r="GD142" s="522">
        <v>-977</v>
      </c>
      <c r="GE142" s="520">
        <v>-900</v>
      </c>
      <c r="GF142" s="520">
        <v>-200</v>
      </c>
      <c r="GG142" s="520">
        <f>GH142-FZ142</f>
        <v>-387</v>
      </c>
      <c r="GH142" s="530">
        <f>GI142-FY142</f>
        <v>-505</v>
      </c>
      <c r="GI142" s="530">
        <f>Segments!O41</f>
        <v>-977</v>
      </c>
      <c r="GJ142" s="534"/>
      <c r="GK142" s="530">
        <v>-400</v>
      </c>
      <c r="GL142" s="530">
        <v>-318</v>
      </c>
      <c r="GM142" s="530">
        <v>-400</v>
      </c>
      <c r="GN142" s="530">
        <f>GM142+GL142</f>
        <v>-718</v>
      </c>
      <c r="GO142" s="530">
        <f>+GP142-GL142</f>
        <v>-448</v>
      </c>
      <c r="GP142" s="530">
        <v>-766</v>
      </c>
      <c r="GQ142" s="530">
        <v>-200</v>
      </c>
      <c r="GR142" s="520">
        <f>+GS142-GP142</f>
        <v>-217</v>
      </c>
      <c r="GS142" s="520">
        <v>-983</v>
      </c>
      <c r="GT142" s="520">
        <f>+GU142-GR142</f>
        <v>-324</v>
      </c>
      <c r="GU142" s="520">
        <f>+GV142-GP142</f>
        <v>-541</v>
      </c>
      <c r="GV142" s="522">
        <v>-1307</v>
      </c>
      <c r="GW142" s="520">
        <v>-1300</v>
      </c>
      <c r="GX142" s="530">
        <f>GY142-GR142</f>
        <v>-324</v>
      </c>
      <c r="GY142" s="530">
        <f>GZ142-GP142</f>
        <v>-541</v>
      </c>
      <c r="GZ142" s="530">
        <f>Segments!P41</f>
        <v>-1307</v>
      </c>
      <c r="HA142" s="534"/>
      <c r="HB142" s="530"/>
      <c r="HC142" s="530"/>
      <c r="HD142" s="530">
        <v>-182</v>
      </c>
      <c r="HE142" s="530">
        <v>-182</v>
      </c>
      <c r="HF142" s="530">
        <f>+HI142-HD142</f>
        <v>-308</v>
      </c>
      <c r="HG142" s="530">
        <f>+HL142-HE142</f>
        <v>-308</v>
      </c>
      <c r="HH142" s="530">
        <f>HM142-HE142</f>
        <v>-308</v>
      </c>
      <c r="HI142" s="530">
        <v>-490</v>
      </c>
      <c r="HJ142" s="530">
        <v>-200</v>
      </c>
      <c r="HK142" s="530">
        <f>HI142+HD142</f>
        <v>-672</v>
      </c>
      <c r="HL142" s="530">
        <v>-490</v>
      </c>
      <c r="HM142" s="530">
        <v>-490</v>
      </c>
      <c r="HN142" s="520">
        <f>+HP142-HI142</f>
        <v>45</v>
      </c>
      <c r="HO142" s="520">
        <f>+HQ142-HM142</f>
        <v>45</v>
      </c>
      <c r="HP142" s="520">
        <v>-445</v>
      </c>
      <c r="HQ142" s="535">
        <v>-445</v>
      </c>
      <c r="HR142" s="520">
        <f>+HT142-HN142</f>
        <v>-221</v>
      </c>
      <c r="HS142" s="520">
        <f>HU142-HO142</f>
        <v>-221</v>
      </c>
      <c r="HT142" s="520">
        <f>+HV142-HI142</f>
        <v>-176</v>
      </c>
      <c r="HU142" s="520">
        <f>HZ142-HM142</f>
        <v>-176</v>
      </c>
      <c r="HV142" s="520">
        <v>-666</v>
      </c>
      <c r="HW142" s="530">
        <v>-200</v>
      </c>
      <c r="HX142" s="530">
        <f>HY142-HN142</f>
        <v>-221</v>
      </c>
      <c r="HY142" s="530">
        <f>IB142-HI142</f>
        <v>-176</v>
      </c>
      <c r="HZ142" s="520">
        <v>-666</v>
      </c>
      <c r="IA142" s="530">
        <v>-600</v>
      </c>
      <c r="IB142" s="530">
        <f>Segments!Q41</f>
        <v>-666</v>
      </c>
      <c r="IC142" s="534"/>
      <c r="ID142" s="530">
        <v>-100</v>
      </c>
      <c r="IE142" s="536">
        <v>-67</v>
      </c>
      <c r="IF142" s="530">
        <f>IG142-IE142</f>
        <v>-1</v>
      </c>
      <c r="IG142" s="537">
        <v>-68</v>
      </c>
      <c r="IH142" s="530">
        <f>+IJ142-IG142</f>
        <v>154</v>
      </c>
      <c r="II142" s="538">
        <v>20</v>
      </c>
      <c r="IJ142" s="538">
        <v>86</v>
      </c>
      <c r="IK142" s="530">
        <f>+IP142-IL142</f>
        <v>86</v>
      </c>
      <c r="IL142" s="981">
        <f>IN142-IH142</f>
        <v>144</v>
      </c>
      <c r="IM142" s="981">
        <f>+IO142-IH142</f>
        <v>144</v>
      </c>
      <c r="IN142" s="530">
        <f>IP142-IG142</f>
        <v>298</v>
      </c>
      <c r="IO142" s="530">
        <f>+IR142-IG142</f>
        <v>298</v>
      </c>
      <c r="IP142" s="531">
        <f>Segments!S41</f>
        <v>230</v>
      </c>
      <c r="IQ142" s="530">
        <v>200</v>
      </c>
      <c r="IR142" s="539">
        <v>230</v>
      </c>
      <c r="IS142" s="1283"/>
      <c r="IT142" s="540">
        <v>100</v>
      </c>
      <c r="IU142" s="540">
        <v>200</v>
      </c>
      <c r="IV142" s="540">
        <f>IX142-IU142</f>
        <v>154</v>
      </c>
      <c r="IW142" s="540">
        <v>100</v>
      </c>
      <c r="IX142" s="981">
        <v>354</v>
      </c>
      <c r="IY142" s="981">
        <v>300</v>
      </c>
      <c r="IZ142" s="991">
        <f>JA142-IX142</f>
        <v>60</v>
      </c>
      <c r="JA142" s="1143">
        <v>414</v>
      </c>
      <c r="JB142" s="981">
        <f>+JC142-IZ142</f>
        <v>-290</v>
      </c>
      <c r="JC142" s="981">
        <f>+JD142-IX142</f>
        <v>-230</v>
      </c>
      <c r="JD142" s="1143">
        <v>124</v>
      </c>
      <c r="JE142" s="981">
        <v>554</v>
      </c>
      <c r="JF142" s="981">
        <f>JG142-IZ142</f>
        <v>-290</v>
      </c>
      <c r="JG142" s="981">
        <f>JH142-IX142</f>
        <v>-230</v>
      </c>
      <c r="JH142" s="531">
        <f>Segments!T41</f>
        <v>124</v>
      </c>
      <c r="JI142" s="1283"/>
      <c r="JJ142" s="1794">
        <v>50</v>
      </c>
      <c r="JK142" s="1795">
        <v>100</v>
      </c>
      <c r="JL142" s="1795">
        <v>-21</v>
      </c>
      <c r="JM142" s="1795">
        <f t="shared" si="417"/>
        <v>173</v>
      </c>
      <c r="JN142" s="1138">
        <f t="shared" si="404"/>
        <v>425</v>
      </c>
      <c r="JO142" s="1795"/>
      <c r="JP142" s="1795">
        <v>152</v>
      </c>
      <c r="JQ142" s="1795"/>
      <c r="JR142" s="1795"/>
      <c r="JS142" s="1795">
        <v>577</v>
      </c>
      <c r="JT142" s="1795">
        <v>150</v>
      </c>
      <c r="JU142" s="981">
        <f>+JW142-JN142</f>
        <v>-77</v>
      </c>
      <c r="JV142" s="1138">
        <f>+JL142+JK142</f>
        <v>79</v>
      </c>
      <c r="JW142" s="1138">
        <f>+JX142-JP142</f>
        <v>348</v>
      </c>
      <c r="JX142" s="1138">
        <f>+Driver!AL230</f>
        <v>500</v>
      </c>
      <c r="JY142" s="1138">
        <f t="shared" ref="JY142:JY143" si="432">+JP142+JT142</f>
        <v>302</v>
      </c>
      <c r="JZ142" s="899">
        <f>+JX142-KG142</f>
        <v>200</v>
      </c>
      <c r="KA142" s="1271"/>
      <c r="KB142" s="540">
        <f>+KC142-JL142</f>
        <v>121</v>
      </c>
      <c r="KC142" s="540">
        <v>100</v>
      </c>
      <c r="KD142" s="540">
        <f>+KH142-KC142</f>
        <v>200</v>
      </c>
      <c r="KE142" s="540">
        <f>+KG142-JP142</f>
        <v>148</v>
      </c>
      <c r="KF142" s="540"/>
      <c r="KG142" s="540">
        <v>300</v>
      </c>
      <c r="KH142" s="540">
        <v>300</v>
      </c>
      <c r="KI142" s="1271"/>
      <c r="KJ142" s="899"/>
      <c r="KK142" s="530"/>
      <c r="KL142" s="530">
        <f>KM142-IX142</f>
        <v>146</v>
      </c>
      <c r="KM142" s="540">
        <v>500</v>
      </c>
      <c r="KN142" s="899"/>
      <c r="KO142" s="540">
        <v>100</v>
      </c>
      <c r="KP142" s="530">
        <v>200</v>
      </c>
      <c r="KQ142" s="531">
        <v>300</v>
      </c>
      <c r="KR142" s="530">
        <v>68</v>
      </c>
      <c r="KS142" s="531">
        <v>0</v>
      </c>
      <c r="KT142" s="530">
        <f>KU142-IE142</f>
        <v>-133</v>
      </c>
      <c r="KU142" s="530">
        <v>-200</v>
      </c>
      <c r="KV142" s="530">
        <f>KW142-KU142</f>
        <v>0</v>
      </c>
      <c r="KW142" s="531">
        <v>-200</v>
      </c>
      <c r="KX142" s="530">
        <f>KY142-HN142</f>
        <v>-455</v>
      </c>
      <c r="KY142" s="530">
        <f>KZ142-HI142</f>
        <v>-410</v>
      </c>
      <c r="KZ142" s="531">
        <v>-900</v>
      </c>
      <c r="LA142" s="530">
        <v>-800</v>
      </c>
      <c r="LB142" s="530">
        <f>LC142-LA142</f>
        <v>-500</v>
      </c>
      <c r="LC142" s="531">
        <v>-1300</v>
      </c>
      <c r="LD142" s="531"/>
      <c r="LE142" s="530">
        <f>LF142-GR142</f>
        <v>-317</v>
      </c>
      <c r="LF142" s="530">
        <f>LG142-GP142</f>
        <v>-534</v>
      </c>
      <c r="LG142" s="531">
        <v>-1300</v>
      </c>
    </row>
    <row r="143" spans="1:319" s="1699" customFormat="1" ht="12">
      <c r="A143" s="712"/>
      <c r="B143" s="863" t="s">
        <v>1047</v>
      </c>
      <c r="C143" s="1008" t="s">
        <v>943</v>
      </c>
      <c r="D143" s="1020"/>
      <c r="E143" s="712"/>
      <c r="F143" s="712"/>
      <c r="G143" s="1693"/>
      <c r="H143" s="712"/>
      <c r="I143" s="712"/>
      <c r="J143" s="1693"/>
      <c r="K143" s="709"/>
      <c r="L143" s="709"/>
      <c r="M143" s="709"/>
      <c r="N143" s="709"/>
      <c r="O143" s="709"/>
      <c r="P143" s="709"/>
      <c r="Q143" s="709"/>
      <c r="R143" s="709"/>
      <c r="S143" s="1694"/>
      <c r="T143" s="709"/>
      <c r="U143" s="709"/>
      <c r="V143" s="709"/>
      <c r="W143" s="709"/>
      <c r="X143" s="709"/>
      <c r="Y143" s="709"/>
      <c r="Z143" s="709"/>
      <c r="AA143" s="709"/>
      <c r="AB143" s="1694"/>
      <c r="AC143" s="709"/>
      <c r="AD143" s="709"/>
      <c r="AE143" s="709"/>
      <c r="AF143" s="709"/>
      <c r="AG143" s="709"/>
      <c r="AH143" s="709"/>
      <c r="AI143" s="709"/>
      <c r="AJ143" s="709"/>
      <c r="AK143" s="1020"/>
      <c r="AL143" s="709"/>
      <c r="AM143" s="709"/>
      <c r="AN143" s="709"/>
      <c r="AO143" s="709"/>
      <c r="AP143" s="709"/>
      <c r="AQ143" s="709"/>
      <c r="AR143" s="709"/>
      <c r="AS143" s="709"/>
      <c r="AT143" s="1020"/>
      <c r="AU143" s="709"/>
      <c r="AV143" s="709"/>
      <c r="AW143" s="709"/>
      <c r="AX143" s="709"/>
      <c r="AY143" s="709"/>
      <c r="AZ143" s="709"/>
      <c r="BA143" s="709"/>
      <c r="BB143" s="1012"/>
      <c r="BC143" s="1012"/>
      <c r="BD143" s="709"/>
      <c r="BE143" s="709"/>
      <c r="BF143" s="1020"/>
      <c r="BG143" s="709"/>
      <c r="BH143" s="709"/>
      <c r="BI143" s="709"/>
      <c r="BJ143" s="1020"/>
      <c r="BK143" s="712"/>
      <c r="BL143" s="712"/>
      <c r="BM143" s="712"/>
      <c r="BN143" s="712"/>
      <c r="BO143" s="1020"/>
      <c r="BP143" s="709"/>
      <c r="BQ143" s="709"/>
      <c r="BR143" s="709"/>
      <c r="BS143" s="709"/>
      <c r="BT143" s="1012"/>
      <c r="BU143" s="1012"/>
      <c r="BV143" s="709"/>
      <c r="BW143" s="709"/>
      <c r="BX143" s="709"/>
      <c r="BY143" s="709"/>
      <c r="BZ143" s="709"/>
      <c r="CA143" s="709"/>
      <c r="CB143" s="709"/>
      <c r="CC143" s="709"/>
      <c r="CD143" s="709"/>
      <c r="CE143" s="709"/>
      <c r="CF143" s="1020"/>
      <c r="CG143" s="711"/>
      <c r="CH143" s="712"/>
      <c r="CI143" s="712"/>
      <c r="CJ143" s="712"/>
      <c r="CK143" s="712"/>
      <c r="CL143" s="1765"/>
      <c r="CM143" s="712"/>
      <c r="CN143" s="712"/>
      <c r="CO143" s="712"/>
      <c r="CP143" s="729"/>
      <c r="CQ143" s="729"/>
      <c r="CR143" s="712"/>
      <c r="CS143" s="712"/>
      <c r="CT143" s="712"/>
      <c r="CU143" s="712"/>
      <c r="CV143" s="712"/>
      <c r="CW143" s="1693"/>
      <c r="CX143" s="712"/>
      <c r="CY143" s="712"/>
      <c r="CZ143" s="712"/>
      <c r="DA143" s="712"/>
      <c r="DB143" s="712"/>
      <c r="DC143" s="712"/>
      <c r="DD143" s="712"/>
      <c r="DE143" s="712"/>
      <c r="DF143" s="729"/>
      <c r="DG143" s="729"/>
      <c r="DH143" s="729"/>
      <c r="DI143" s="712"/>
      <c r="DJ143" s="712"/>
      <c r="DK143" s="712"/>
      <c r="DL143" s="1016"/>
      <c r="DM143" s="1016"/>
      <c r="DN143" s="709"/>
      <c r="DO143" s="709"/>
      <c r="DP143" s="1017"/>
      <c r="DQ143" s="1017"/>
      <c r="DR143" s="1017"/>
      <c r="DS143" s="1018"/>
      <c r="DT143" s="1016"/>
      <c r="DU143" s="709"/>
      <c r="DV143" s="709"/>
      <c r="DW143" s="1765"/>
      <c r="DX143" s="1017"/>
      <c r="DY143" s="1017"/>
      <c r="DZ143" s="1020"/>
      <c r="EB143" s="1765"/>
      <c r="EC143" s="1017"/>
      <c r="ED143" s="1016"/>
      <c r="EE143" s="1020"/>
      <c r="EF143" s="712"/>
      <c r="EG143" s="711"/>
      <c r="EH143" s="712"/>
      <c r="EI143" s="712"/>
      <c r="EJ143" s="712"/>
      <c r="EK143" s="712"/>
      <c r="EL143" s="712"/>
      <c r="EM143" s="712"/>
      <c r="EN143" s="712"/>
      <c r="EO143" s="712"/>
      <c r="EP143" s="712"/>
      <c r="EQ143" s="712"/>
      <c r="ER143" s="712"/>
      <c r="ES143" s="712"/>
      <c r="ET143" s="712"/>
      <c r="EU143" s="1693"/>
      <c r="EV143" s="1018"/>
      <c r="EW143" s="712"/>
      <c r="EX143" s="712"/>
      <c r="EY143" s="712"/>
      <c r="EZ143" s="712"/>
      <c r="FA143" s="712"/>
      <c r="FB143" s="712"/>
      <c r="FC143" s="712"/>
      <c r="FD143" s="712"/>
      <c r="FE143" s="712"/>
      <c r="FF143" s="712"/>
      <c r="FG143" s="712"/>
      <c r="FH143" s="712"/>
      <c r="FI143" s="712"/>
      <c r="FJ143" s="712"/>
      <c r="FK143" s="1693"/>
      <c r="FL143" s="1016"/>
      <c r="FM143" s="709"/>
      <c r="FN143" s="1017"/>
      <c r="FO143" s="1017"/>
      <c r="FP143" s="1017"/>
      <c r="FQ143" s="1018"/>
      <c r="FR143" s="1018"/>
      <c r="FS143" s="1007">
        <f>+FS142-EX142</f>
        <v>-193</v>
      </c>
      <c r="FT143" s="1017"/>
      <c r="FU143" s="1017"/>
      <c r="FV143" s="1007">
        <f>FY143-FS143</f>
        <v>-403</v>
      </c>
      <c r="FW143" s="1017"/>
      <c r="FX143" s="1017"/>
      <c r="FY143" s="1007">
        <f>+FY142-FB142</f>
        <v>-596</v>
      </c>
      <c r="FZ143" s="712">
        <f>FZ142-FC142</f>
        <v>-321</v>
      </c>
      <c r="GA143" s="712">
        <f>GA142-FE142</f>
        <v>-917</v>
      </c>
      <c r="GB143" s="1007">
        <f>GD143-GA143</f>
        <v>-193</v>
      </c>
      <c r="GC143" s="712">
        <f>GC142-FI142</f>
        <v>-514</v>
      </c>
      <c r="GD143" s="1008">
        <f>+GD142-FK142</f>
        <v>-1110</v>
      </c>
      <c r="GE143" s="712">
        <v>-1033</v>
      </c>
      <c r="GF143" s="1007"/>
      <c r="GG143" s="1007"/>
      <c r="GH143" s="1017">
        <f>GI142-FY142</f>
        <v>-505</v>
      </c>
      <c r="GI143" s="1017">
        <f>GI142-FK142</f>
        <v>-1110</v>
      </c>
      <c r="GJ143" s="1021"/>
      <c r="GK143" s="1017"/>
      <c r="GL143" s="1017">
        <f>+GL142-FS142</f>
        <v>-197</v>
      </c>
      <c r="GM143" s="1017"/>
      <c r="GN143" s="1017"/>
      <c r="GO143" s="1017">
        <f>GP143-GL143</f>
        <v>-97</v>
      </c>
      <c r="GP143" s="1017">
        <f>+GP142-FY142</f>
        <v>-294</v>
      </c>
      <c r="GQ143" s="1017"/>
      <c r="GR143" s="712">
        <f>GR142-FZ142</f>
        <v>-99</v>
      </c>
      <c r="GS143" s="712">
        <f>GS142-GA142</f>
        <v>-393</v>
      </c>
      <c r="GT143" s="1745">
        <f>GU143-GR143</f>
        <v>63</v>
      </c>
      <c r="GU143" s="712">
        <f>GU142-GC142</f>
        <v>-36</v>
      </c>
      <c r="GV143" s="1693">
        <f>+GV142-GD142</f>
        <v>-330</v>
      </c>
      <c r="GW143" s="712">
        <v>-323</v>
      </c>
      <c r="GX143" s="1017"/>
      <c r="GY143" s="1017">
        <f>GZ142-GP142</f>
        <v>-541</v>
      </c>
      <c r="GZ143" s="1017">
        <f>GZ142-GD142</f>
        <v>-330</v>
      </c>
      <c r="HA143" s="1021"/>
      <c r="HB143" s="1017"/>
      <c r="HC143" s="1017"/>
      <c r="HD143" s="1017">
        <f>+HD142-GL142</f>
        <v>136</v>
      </c>
      <c r="HE143" s="1017"/>
      <c r="HF143" s="1017">
        <f>HI143-HD143</f>
        <v>140</v>
      </c>
      <c r="HG143" s="1017"/>
      <c r="HH143" s="1017"/>
      <c r="HI143" s="1017">
        <f>+HI142-GP142</f>
        <v>276</v>
      </c>
      <c r="HJ143" s="1017"/>
      <c r="HK143" s="1017"/>
      <c r="HL143" s="1017"/>
      <c r="HM143" s="1017"/>
      <c r="HN143" s="712">
        <f>HN142-GR142</f>
        <v>262</v>
      </c>
      <c r="HO143" s="712">
        <f>HO142-GS142</f>
        <v>1028</v>
      </c>
      <c r="HP143" s="712">
        <f>HP142-GS142</f>
        <v>538</v>
      </c>
      <c r="HQ143" s="712">
        <f>HQ142-GS142</f>
        <v>538</v>
      </c>
      <c r="HR143" s="712">
        <f>HT143-HN143</f>
        <v>103</v>
      </c>
      <c r="HS143" s="712"/>
      <c r="HT143" s="712">
        <f>HT142-GU142</f>
        <v>365</v>
      </c>
      <c r="HU143" s="712"/>
      <c r="HV143" s="712">
        <f>+HV142-GV142</f>
        <v>641</v>
      </c>
      <c r="HW143" s="1017"/>
      <c r="HX143" s="1017"/>
      <c r="HY143" s="1017">
        <f>IB143-HI143</f>
        <v>365</v>
      </c>
      <c r="HZ143" s="712"/>
      <c r="IA143" s="1017">
        <v>707</v>
      </c>
      <c r="IB143" s="1017">
        <f>IB142-GV142</f>
        <v>641</v>
      </c>
      <c r="IC143" s="1021"/>
      <c r="ID143" s="1017"/>
      <c r="IE143" s="1022">
        <f>+IE142-HE142</f>
        <v>115</v>
      </c>
      <c r="IF143" s="1017">
        <f>IF142-HH142</f>
        <v>307</v>
      </c>
      <c r="IG143" s="1017">
        <f>IG142-HM142</f>
        <v>422</v>
      </c>
      <c r="IH143" s="1017">
        <f>IH142-HO142</f>
        <v>109</v>
      </c>
      <c r="II143" s="1017"/>
      <c r="IJ143" s="1017">
        <f>IJ142-HQ142</f>
        <v>531</v>
      </c>
      <c r="IK143" s="1017"/>
      <c r="IL143" s="1017"/>
      <c r="IM143" s="1017">
        <f>IO143-IH143</f>
        <v>365</v>
      </c>
      <c r="IN143" s="1017">
        <f>IP143-IG143</f>
        <v>474</v>
      </c>
      <c r="IO143" s="1017">
        <f>IO142-HU142</f>
        <v>474</v>
      </c>
      <c r="IP143" s="1018">
        <f>IP142-HZ142</f>
        <v>896</v>
      </c>
      <c r="IQ143" s="1017">
        <v>866</v>
      </c>
      <c r="IR143" s="1018">
        <f>+IR142-HZ142</f>
        <v>896</v>
      </c>
      <c r="IS143" s="1022"/>
      <c r="IT143" s="1017"/>
      <c r="IU143" s="1017">
        <f>+IU142-IE142</f>
        <v>267</v>
      </c>
      <c r="IV143" s="1017">
        <f>IV142-IF142</f>
        <v>155</v>
      </c>
      <c r="IW143" s="1017"/>
      <c r="IX143" s="1017">
        <f>IX142-IG142</f>
        <v>422</v>
      </c>
      <c r="IY143" s="1017"/>
      <c r="IZ143" s="1017">
        <f>IZ142-IH142</f>
        <v>-94</v>
      </c>
      <c r="JA143" s="1017">
        <f>JA142-IJ142</f>
        <v>328</v>
      </c>
      <c r="JB143" s="1017">
        <f>JB142-IM142</f>
        <v>-434</v>
      </c>
      <c r="JC143" s="1017">
        <f>JC142-IO142</f>
        <v>-528</v>
      </c>
      <c r="JD143" s="1017">
        <f>JD142-IR142</f>
        <v>-106</v>
      </c>
      <c r="JE143" s="1017"/>
      <c r="JF143" s="1017"/>
      <c r="JG143" s="1017"/>
      <c r="JH143" s="1018">
        <f>JH142-IR142</f>
        <v>-106</v>
      </c>
      <c r="JI143" s="1022"/>
      <c r="JJ143" s="1022">
        <f>+JJ142-IU142</f>
        <v>-150</v>
      </c>
      <c r="JK143" s="1017">
        <f>+JK142-IV142</f>
        <v>-54</v>
      </c>
      <c r="JL143" s="1017">
        <f>+JL142-IU142</f>
        <v>-221</v>
      </c>
      <c r="JM143" s="1017">
        <f>+JM142-IV142</f>
        <v>19</v>
      </c>
      <c r="JN143" s="1017">
        <f t="shared" si="404"/>
        <v>202</v>
      </c>
      <c r="JO143" s="1017"/>
      <c r="JP143" s="1017">
        <f>+JP142-IX142</f>
        <v>-202</v>
      </c>
      <c r="JQ143" s="1017"/>
      <c r="JR143" s="1017"/>
      <c r="JS143" s="1017"/>
      <c r="JT143" s="1017">
        <f>+JT142-IZ142</f>
        <v>90</v>
      </c>
      <c r="JU143" s="1017">
        <f>+JU142-JB142</f>
        <v>213</v>
      </c>
      <c r="JV143" s="1017">
        <f>+JV142-IX142</f>
        <v>-275</v>
      </c>
      <c r="JW143" s="1017">
        <f>+JW142-JC142</f>
        <v>578</v>
      </c>
      <c r="JX143" s="1017">
        <f>+JX142-JD142</f>
        <v>376</v>
      </c>
      <c r="JY143" s="1017">
        <f t="shared" si="432"/>
        <v>-112</v>
      </c>
      <c r="JZ143" s="1017"/>
      <c r="KA143" s="1018"/>
      <c r="KB143" s="1017">
        <f>+KC143-JL143</f>
        <v>-33</v>
      </c>
      <c r="KC143" s="1017">
        <f>+KC142-IX142</f>
        <v>-254</v>
      </c>
      <c r="KD143" s="1017">
        <f>+KD142-JC142</f>
        <v>430</v>
      </c>
      <c r="KE143" s="1017">
        <f>+KE142-JC142</f>
        <v>378</v>
      </c>
      <c r="KF143" s="1017"/>
      <c r="KG143" s="1017"/>
      <c r="KH143" s="1017">
        <f>+KH142-JD142</f>
        <v>176</v>
      </c>
      <c r="KI143" s="1018"/>
      <c r="KJ143" s="1017"/>
      <c r="KK143" s="1017"/>
      <c r="KL143" s="1017">
        <f>KL142-HX142</f>
        <v>367</v>
      </c>
      <c r="KM143" s="1017"/>
      <c r="KN143" s="1017"/>
      <c r="KO143" s="1017"/>
      <c r="KP143" s="1017">
        <v>421</v>
      </c>
      <c r="KQ143" s="1018"/>
      <c r="KR143" s="1017"/>
      <c r="KS143" s="1018"/>
      <c r="KT143" s="1017">
        <f>KU143-IE143</f>
        <v>175</v>
      </c>
      <c r="KU143" s="1017">
        <f>KU142-HL142</f>
        <v>290</v>
      </c>
      <c r="KV143" s="1017">
        <f>KW143-KU143</f>
        <v>176</v>
      </c>
      <c r="KW143" s="1018">
        <f>KW142-HZ142</f>
        <v>466</v>
      </c>
      <c r="KX143" s="1017">
        <f>KY143-HN143</f>
        <v>-131</v>
      </c>
      <c r="KY143" s="1017">
        <f>KZ143-HI143</f>
        <v>131</v>
      </c>
      <c r="KZ143" s="1018">
        <f>KZ142-GV142</f>
        <v>407</v>
      </c>
      <c r="LA143" s="1017">
        <f>LA142-GP142</f>
        <v>-34</v>
      </c>
      <c r="LB143" s="1017">
        <f>LC143-LA143</f>
        <v>41</v>
      </c>
      <c r="LC143" s="1018">
        <f>LC142-GV142</f>
        <v>7</v>
      </c>
      <c r="LD143" s="1018">
        <f>LD142-LC142</f>
        <v>1300</v>
      </c>
      <c r="LE143" s="1017">
        <f>LF143-GR143</f>
        <v>70</v>
      </c>
      <c r="LF143" s="1017">
        <f>LG143-GP143</f>
        <v>-29</v>
      </c>
      <c r="LG143" s="1018">
        <f>LG142-GD142</f>
        <v>-323</v>
      </c>
    </row>
    <row r="144" spans="1:319" s="1158" customFormat="1">
      <c r="A144" s="1146"/>
      <c r="B144" s="1147" t="s">
        <v>1277</v>
      </c>
      <c r="C144" s="1040" t="s">
        <v>1260</v>
      </c>
      <c r="D144" s="1148"/>
      <c r="E144" s="1146"/>
      <c r="F144" s="1146"/>
      <c r="G144" s="1149"/>
      <c r="H144" s="1146"/>
      <c r="I144" s="1146"/>
      <c r="J144" s="1149"/>
      <c r="K144" s="1053"/>
      <c r="L144" s="1053"/>
      <c r="M144" s="1053"/>
      <c r="N144" s="1053"/>
      <c r="O144" s="1053"/>
      <c r="P144" s="1053"/>
      <c r="Q144" s="1053"/>
      <c r="R144" s="1053"/>
      <c r="S144" s="1150"/>
      <c r="T144" s="1053"/>
      <c r="U144" s="1053"/>
      <c r="V144" s="1053"/>
      <c r="W144" s="1053"/>
      <c r="X144" s="1053"/>
      <c r="Y144" s="1053"/>
      <c r="Z144" s="1053"/>
      <c r="AA144" s="1053"/>
      <c r="AB144" s="1150"/>
      <c r="AC144" s="1053"/>
      <c r="AD144" s="1053"/>
      <c r="AE144" s="1053"/>
      <c r="AF144" s="1053"/>
      <c r="AG144" s="1053"/>
      <c r="AH144" s="1053"/>
      <c r="AI144" s="1053"/>
      <c r="AJ144" s="1053"/>
      <c r="AK144" s="1148"/>
      <c r="AL144" s="1053"/>
      <c r="AM144" s="1053"/>
      <c r="AN144" s="1053"/>
      <c r="AO144" s="1053"/>
      <c r="AP144" s="1053"/>
      <c r="AQ144" s="1053"/>
      <c r="AR144" s="1053"/>
      <c r="AS144" s="1053"/>
      <c r="AT144" s="1148"/>
      <c r="AU144" s="1053"/>
      <c r="AV144" s="1053"/>
      <c r="AW144" s="1053"/>
      <c r="AX144" s="1053"/>
      <c r="AY144" s="1053"/>
      <c r="AZ144" s="1053"/>
      <c r="BA144" s="1053"/>
      <c r="BB144" s="1151"/>
      <c r="BC144" s="1151"/>
      <c r="BD144" s="1053"/>
      <c r="BE144" s="1053"/>
      <c r="BF144" s="1148"/>
      <c r="BG144" s="1053"/>
      <c r="BH144" s="1053"/>
      <c r="BI144" s="1053"/>
      <c r="BJ144" s="1148"/>
      <c r="BK144" s="1146"/>
      <c r="BL144" s="1146"/>
      <c r="BM144" s="1146"/>
      <c r="BN144" s="1146"/>
      <c r="BO144" s="1148"/>
      <c r="BP144" s="1053"/>
      <c r="BQ144" s="1053"/>
      <c r="BR144" s="1053"/>
      <c r="BS144" s="1053"/>
      <c r="BT144" s="1151"/>
      <c r="BU144" s="1151"/>
      <c r="BV144" s="1053"/>
      <c r="BW144" s="1053"/>
      <c r="BX144" s="1053"/>
      <c r="BY144" s="1053"/>
      <c r="BZ144" s="1053"/>
      <c r="CA144" s="1053"/>
      <c r="CB144" s="1053"/>
      <c r="CC144" s="1053"/>
      <c r="CD144" s="1053"/>
      <c r="CE144" s="1053"/>
      <c r="CF144" s="1148"/>
      <c r="CG144" s="1152"/>
      <c r="CH144" s="1146"/>
      <c r="CI144" s="1146"/>
      <c r="CJ144" s="1146"/>
      <c r="CK144" s="1146"/>
      <c r="CL144" s="1153"/>
      <c r="CM144" s="1146"/>
      <c r="CN144" s="1146"/>
      <c r="CO144" s="1146"/>
      <c r="CP144" s="1154"/>
      <c r="CQ144" s="1154"/>
      <c r="CR144" s="1146"/>
      <c r="CS144" s="1146"/>
      <c r="CT144" s="1146"/>
      <c r="CU144" s="1146"/>
      <c r="CV144" s="1146"/>
      <c r="CW144" s="1149"/>
      <c r="CX144" s="1146"/>
      <c r="CY144" s="1146"/>
      <c r="CZ144" s="1146"/>
      <c r="DA144" s="1146"/>
      <c r="DB144" s="1146"/>
      <c r="DC144" s="1146"/>
      <c r="DD144" s="1146"/>
      <c r="DE144" s="1146"/>
      <c r="DF144" s="1154"/>
      <c r="DG144" s="1154"/>
      <c r="DH144" s="1154"/>
      <c r="DI144" s="1146"/>
      <c r="DJ144" s="1146"/>
      <c r="DK144" s="1146"/>
      <c r="DL144" s="1155"/>
      <c r="DM144" s="1155"/>
      <c r="DN144" s="1053"/>
      <c r="DO144" s="1053"/>
      <c r="DP144" s="1156"/>
      <c r="DQ144" s="1156"/>
      <c r="DR144" s="1156"/>
      <c r="DS144" s="1157"/>
      <c r="DT144" s="1155"/>
      <c r="DU144" s="1053"/>
      <c r="DV144" s="1053"/>
      <c r="DW144" s="1153"/>
      <c r="DX144" s="1156"/>
      <c r="DY144" s="1156"/>
      <c r="DZ144" s="1148"/>
      <c r="EB144" s="1153"/>
      <c r="EC144" s="1156"/>
      <c r="ED144" s="1155"/>
      <c r="EE144" s="1148"/>
      <c r="EF144" s="1146"/>
      <c r="EG144" s="1152"/>
      <c r="EH144" s="1146"/>
      <c r="EI144" s="1146"/>
      <c r="EJ144" s="1146"/>
      <c r="EK144" s="1146"/>
      <c r="EL144" s="1146"/>
      <c r="EM144" s="1146"/>
      <c r="EN144" s="1146"/>
      <c r="EO144" s="1146"/>
      <c r="EP144" s="1146"/>
      <c r="EQ144" s="1146"/>
      <c r="ER144" s="1146"/>
      <c r="ES144" s="1146"/>
      <c r="ET144" s="1146"/>
      <c r="EU144" s="1149"/>
      <c r="EV144" s="1157"/>
      <c r="EW144" s="1146"/>
      <c r="EX144" s="1146"/>
      <c r="EY144" s="1146"/>
      <c r="EZ144" s="1146"/>
      <c r="FA144" s="1146"/>
      <c r="FB144" s="1146"/>
      <c r="FC144" s="1146"/>
      <c r="FD144" s="1036"/>
      <c r="FE144" s="1146"/>
      <c r="FF144" s="1036"/>
      <c r="FG144" s="1036"/>
      <c r="FH144" s="1146"/>
      <c r="FI144" s="1146"/>
      <c r="FJ144" s="1146"/>
      <c r="FK144" s="1149"/>
      <c r="FL144" s="1155"/>
      <c r="FM144" s="1053"/>
      <c r="FN144" s="1156"/>
      <c r="FO144" s="1156"/>
      <c r="FP144" s="1156"/>
      <c r="FQ144" s="1157"/>
      <c r="FR144" s="1157"/>
      <c r="FS144" s="1146"/>
      <c r="FT144" s="1156"/>
      <c r="FU144" s="1156"/>
      <c r="FV144" s="1146"/>
      <c r="FW144" s="1156"/>
      <c r="FX144" s="1156"/>
      <c r="FY144" s="1146"/>
      <c r="FZ144" s="1146"/>
      <c r="GA144" s="1146"/>
      <c r="GB144" s="1146"/>
      <c r="GC144" s="1146"/>
      <c r="GD144" s="1149"/>
      <c r="GE144" s="1146"/>
      <c r="GF144" s="1146"/>
      <c r="GG144" s="1146"/>
      <c r="GH144" s="1156"/>
      <c r="GI144" s="1156"/>
      <c r="GJ144" s="1159"/>
      <c r="GK144" s="1156"/>
      <c r="GL144" s="1156"/>
      <c r="GM144" s="1156"/>
      <c r="GN144" s="1156"/>
      <c r="GO144" s="1156"/>
      <c r="GP144" s="1156"/>
      <c r="GQ144" s="1156"/>
      <c r="GR144" s="1146"/>
      <c r="GS144" s="1146"/>
      <c r="GT144" s="1146"/>
      <c r="GU144" s="1146"/>
      <c r="GV144" s="1149"/>
      <c r="GW144" s="1146"/>
      <c r="GX144" s="1156"/>
      <c r="GY144" s="1156"/>
      <c r="GZ144" s="1156"/>
      <c r="HA144" s="1159"/>
      <c r="HB144" s="1156"/>
      <c r="HC144" s="1156"/>
      <c r="HD144" s="1156"/>
      <c r="HE144" s="1156"/>
      <c r="HF144" s="1156"/>
      <c r="HG144" s="1156"/>
      <c r="HH144" s="1156"/>
      <c r="HI144" s="1156"/>
      <c r="HJ144" s="1156"/>
      <c r="HK144" s="1156"/>
      <c r="HL144" s="1156"/>
      <c r="HM144" s="1156"/>
      <c r="HN144" s="1146"/>
      <c r="HO144" s="1146"/>
      <c r="HP144" s="1146"/>
      <c r="HQ144" s="1146"/>
      <c r="HR144" s="1146"/>
      <c r="HS144" s="1146"/>
      <c r="HT144" s="1146"/>
      <c r="HU144" s="1146"/>
      <c r="HV144" s="1146"/>
      <c r="HW144" s="1156"/>
      <c r="HX144" s="1156"/>
      <c r="HY144" s="1156"/>
      <c r="HZ144" s="1146"/>
      <c r="IA144" s="1156"/>
      <c r="IB144" s="1156"/>
      <c r="IC144" s="1159"/>
      <c r="ID144" s="1156"/>
      <c r="IE144" s="1160"/>
      <c r="IF144" s="1156"/>
      <c r="IG144" s="1156"/>
      <c r="IH144" s="1156"/>
      <c r="II144" s="1156"/>
      <c r="IJ144" s="1156"/>
      <c r="IK144" s="1156"/>
      <c r="IL144" s="1156"/>
      <c r="IM144" s="1156"/>
      <c r="IN144" s="1156"/>
      <c r="IO144" s="1156"/>
      <c r="IP144" s="1157"/>
      <c r="IQ144" s="1156"/>
      <c r="IR144" s="1157"/>
      <c r="IS144" s="1291"/>
      <c r="IT144" s="1156"/>
      <c r="IU144" s="1156"/>
      <c r="IV144" s="1156"/>
      <c r="IW144" s="1156"/>
      <c r="IX144" s="1156"/>
      <c r="IY144" s="1156"/>
      <c r="IZ144" s="1156"/>
      <c r="JA144" s="1156"/>
      <c r="JB144" s="1156"/>
      <c r="JC144" s="1156"/>
      <c r="JD144" s="1156"/>
      <c r="JE144" s="1156"/>
      <c r="JF144" s="1156"/>
      <c r="JG144" s="1156"/>
      <c r="JH144" s="1157"/>
      <c r="JI144" s="1291"/>
      <c r="JJ144" s="1160"/>
      <c r="JK144" s="1156"/>
      <c r="JL144" s="1156"/>
      <c r="JM144" s="1156"/>
      <c r="JN144" s="1156"/>
      <c r="JO144" s="1156"/>
      <c r="JP144" s="1156"/>
      <c r="JQ144" s="1156"/>
      <c r="JR144" s="1156"/>
      <c r="JS144" s="1156"/>
      <c r="JT144" s="1156"/>
      <c r="JU144" s="1156"/>
      <c r="JV144" s="1156"/>
      <c r="JW144" s="1156"/>
      <c r="JX144" s="1156"/>
      <c r="JY144" s="1156"/>
      <c r="JZ144" s="1145"/>
      <c r="KA144" s="533"/>
      <c r="KB144" s="1156"/>
      <c r="KC144" s="1156"/>
      <c r="KD144" s="1156"/>
      <c r="KE144" s="1156"/>
      <c r="KF144" s="1156"/>
      <c r="KG144" s="1156"/>
      <c r="KH144" s="1156"/>
      <c r="KI144" s="533"/>
      <c r="KJ144" s="1145"/>
      <c r="KK144" s="1156"/>
      <c r="KL144" s="1156"/>
      <c r="KM144" s="1156"/>
      <c r="KN144" s="1145"/>
      <c r="KO144" s="1156"/>
      <c r="KP144" s="1156"/>
      <c r="KQ144" s="1157"/>
      <c r="KR144" s="1156"/>
      <c r="KS144" s="1157"/>
      <c r="KT144" s="1099"/>
      <c r="KU144" s="1156"/>
      <c r="KV144" s="1099"/>
      <c r="KW144" s="1157"/>
      <c r="KX144" s="1099"/>
      <c r="KY144" s="1099"/>
      <c r="KZ144" s="1157"/>
      <c r="LA144" s="1156"/>
      <c r="LB144" s="1099"/>
      <c r="LC144" s="1157">
        <v>200</v>
      </c>
      <c r="LD144" s="1157"/>
      <c r="LE144" s="1099"/>
      <c r="LF144" s="1099"/>
      <c r="LG144" s="1157"/>
    </row>
    <row r="145" spans="1:319" s="1158" customFormat="1" ht="12">
      <c r="A145" s="1146"/>
      <c r="B145" s="1147" t="s">
        <v>1199</v>
      </c>
      <c r="C145" s="1040" t="s">
        <v>1261</v>
      </c>
      <c r="D145" s="1148"/>
      <c r="E145" s="1146"/>
      <c r="F145" s="1146"/>
      <c r="G145" s="1149"/>
      <c r="H145" s="1146"/>
      <c r="I145" s="1146"/>
      <c r="J145" s="1149"/>
      <c r="K145" s="1053"/>
      <c r="L145" s="1053"/>
      <c r="M145" s="1053"/>
      <c r="N145" s="1053"/>
      <c r="O145" s="1053"/>
      <c r="P145" s="1053"/>
      <c r="Q145" s="1053"/>
      <c r="R145" s="1053"/>
      <c r="S145" s="1150"/>
      <c r="T145" s="1053"/>
      <c r="U145" s="1053"/>
      <c r="V145" s="1053"/>
      <c r="W145" s="1053"/>
      <c r="X145" s="1053"/>
      <c r="Y145" s="1053"/>
      <c r="Z145" s="1053"/>
      <c r="AA145" s="1053"/>
      <c r="AB145" s="1150"/>
      <c r="AC145" s="1053"/>
      <c r="AD145" s="1053"/>
      <c r="AE145" s="1053"/>
      <c r="AF145" s="1053"/>
      <c r="AG145" s="1053"/>
      <c r="AH145" s="1053"/>
      <c r="AI145" s="1053"/>
      <c r="AJ145" s="1053"/>
      <c r="AK145" s="1148"/>
      <c r="AL145" s="1053"/>
      <c r="AM145" s="1053"/>
      <c r="AN145" s="1053"/>
      <c r="AO145" s="1053"/>
      <c r="AP145" s="1053"/>
      <c r="AQ145" s="1053"/>
      <c r="AR145" s="1053"/>
      <c r="AS145" s="1053"/>
      <c r="AT145" s="1148"/>
      <c r="AU145" s="1053"/>
      <c r="AV145" s="1053"/>
      <c r="AW145" s="1053"/>
      <c r="AX145" s="1053"/>
      <c r="AY145" s="1053"/>
      <c r="AZ145" s="1053"/>
      <c r="BA145" s="1053"/>
      <c r="BB145" s="1151"/>
      <c r="BC145" s="1151"/>
      <c r="BD145" s="1053"/>
      <c r="BE145" s="1053"/>
      <c r="BF145" s="1148"/>
      <c r="BG145" s="1053"/>
      <c r="BH145" s="1053"/>
      <c r="BI145" s="1053"/>
      <c r="BJ145" s="1148"/>
      <c r="BK145" s="1146"/>
      <c r="BL145" s="1146"/>
      <c r="BM145" s="1146"/>
      <c r="BN145" s="1146"/>
      <c r="BO145" s="1148"/>
      <c r="BP145" s="1053"/>
      <c r="BQ145" s="1053"/>
      <c r="BR145" s="1053"/>
      <c r="BS145" s="1053"/>
      <c r="BT145" s="1151"/>
      <c r="BU145" s="1151"/>
      <c r="BV145" s="1053"/>
      <c r="BW145" s="1053"/>
      <c r="BX145" s="1053"/>
      <c r="BY145" s="1053"/>
      <c r="BZ145" s="1053"/>
      <c r="CA145" s="1053"/>
      <c r="CB145" s="1053"/>
      <c r="CC145" s="1053"/>
      <c r="CD145" s="1053"/>
      <c r="CE145" s="1053"/>
      <c r="CF145" s="1148"/>
      <c r="CG145" s="1152"/>
      <c r="CH145" s="1146"/>
      <c r="CI145" s="1146"/>
      <c r="CJ145" s="1146"/>
      <c r="CK145" s="1146"/>
      <c r="CL145" s="1153"/>
      <c r="CM145" s="1146"/>
      <c r="CN145" s="1146"/>
      <c r="CO145" s="1146"/>
      <c r="CP145" s="1154"/>
      <c r="CQ145" s="1154"/>
      <c r="CR145" s="1146"/>
      <c r="CS145" s="1146"/>
      <c r="CT145" s="1146"/>
      <c r="CU145" s="1146"/>
      <c r="CV145" s="1146"/>
      <c r="CW145" s="1149"/>
      <c r="CX145" s="1146"/>
      <c r="CY145" s="1146"/>
      <c r="CZ145" s="1146"/>
      <c r="DA145" s="1146"/>
      <c r="DB145" s="1146"/>
      <c r="DC145" s="1146"/>
      <c r="DD145" s="1146"/>
      <c r="DE145" s="1146"/>
      <c r="DF145" s="1154"/>
      <c r="DG145" s="1154"/>
      <c r="DH145" s="1154"/>
      <c r="DI145" s="1146"/>
      <c r="DJ145" s="1146"/>
      <c r="DK145" s="1146"/>
      <c r="DL145" s="1155"/>
      <c r="DM145" s="1155"/>
      <c r="DN145" s="1053"/>
      <c r="DO145" s="1053"/>
      <c r="DP145" s="1156"/>
      <c r="DQ145" s="1156"/>
      <c r="DR145" s="1156"/>
      <c r="DS145" s="1157"/>
      <c r="DT145" s="1155"/>
      <c r="DU145" s="1053"/>
      <c r="DV145" s="1053"/>
      <c r="DW145" s="1153"/>
      <c r="DX145" s="1156"/>
      <c r="DY145" s="1156"/>
      <c r="DZ145" s="1148"/>
      <c r="EB145" s="1153"/>
      <c r="EC145" s="1156"/>
      <c r="ED145" s="1155"/>
      <c r="EE145" s="1148"/>
      <c r="EF145" s="1146"/>
      <c r="EG145" s="1152"/>
      <c r="EH145" s="1146"/>
      <c r="EI145" s="1146"/>
      <c r="EJ145" s="1146"/>
      <c r="EK145" s="1146"/>
      <c r="EL145" s="1146"/>
      <c r="EM145" s="1146"/>
      <c r="EN145" s="1146"/>
      <c r="EO145" s="1146"/>
      <c r="EP145" s="1146"/>
      <c r="EQ145" s="1146"/>
      <c r="ER145" s="1146"/>
      <c r="ES145" s="1146"/>
      <c r="ET145" s="1146"/>
      <c r="EU145" s="1149"/>
      <c r="EV145" s="1157"/>
      <c r="EW145" s="1146"/>
      <c r="EX145" s="1146"/>
      <c r="EY145" s="1146"/>
      <c r="EZ145" s="1146"/>
      <c r="FA145" s="1146"/>
      <c r="FB145" s="1146"/>
      <c r="FC145" s="1146"/>
      <c r="FD145" s="1036"/>
      <c r="FE145" s="1146"/>
      <c r="FF145" s="1036"/>
      <c r="FG145" s="1036"/>
      <c r="FH145" s="1146"/>
      <c r="FI145" s="1146"/>
      <c r="FJ145" s="1146"/>
      <c r="FK145" s="1149"/>
      <c r="FL145" s="1155"/>
      <c r="FM145" s="1053"/>
      <c r="FN145" s="1156"/>
      <c r="FO145" s="1156"/>
      <c r="FP145" s="1156"/>
      <c r="FQ145" s="1157"/>
      <c r="FR145" s="1157"/>
      <c r="FS145" s="1146"/>
      <c r="FT145" s="1156"/>
      <c r="FU145" s="1156"/>
      <c r="FV145" s="1146"/>
      <c r="FW145" s="1156"/>
      <c r="FX145" s="1156"/>
      <c r="FY145" s="1146"/>
      <c r="FZ145" s="1146"/>
      <c r="GA145" s="1146"/>
      <c r="GB145" s="1146"/>
      <c r="GC145" s="1146"/>
      <c r="GD145" s="1149"/>
      <c r="GE145" s="1146"/>
      <c r="GF145" s="1146"/>
      <c r="GG145" s="1146"/>
      <c r="GH145" s="1156"/>
      <c r="GI145" s="1156"/>
      <c r="GJ145" s="1159"/>
      <c r="GK145" s="1156"/>
      <c r="GL145" s="1156">
        <v>0</v>
      </c>
      <c r="GM145" s="1156"/>
      <c r="GN145" s="1156"/>
      <c r="GO145" s="1156">
        <f>GP145-GL145</f>
        <v>50</v>
      </c>
      <c r="GP145" s="1156">
        <v>50</v>
      </c>
      <c r="GQ145" s="1156"/>
      <c r="GR145" s="1146">
        <v>50</v>
      </c>
      <c r="GS145" s="1146">
        <v>100</v>
      </c>
      <c r="GT145" s="1146">
        <f>GU145-GR145</f>
        <v>200</v>
      </c>
      <c r="GU145" s="1146">
        <f>GV145-GP145</f>
        <v>250</v>
      </c>
      <c r="GV145" s="1149">
        <v>300</v>
      </c>
      <c r="GW145" s="1146"/>
      <c r="GX145" s="1156"/>
      <c r="GY145" s="1156"/>
      <c r="GZ145" s="1156"/>
      <c r="HA145" s="1159"/>
      <c r="HB145" s="1156"/>
      <c r="HC145" s="1156"/>
      <c r="HD145" s="1156"/>
      <c r="HE145" s="1156"/>
      <c r="HF145" s="1156"/>
      <c r="HG145" s="1156"/>
      <c r="HH145" s="1156"/>
      <c r="HI145" s="1156"/>
      <c r="HJ145" s="1156"/>
      <c r="HK145" s="1156"/>
      <c r="HL145" s="1156"/>
      <c r="HM145" s="1156"/>
      <c r="HN145" s="1146"/>
      <c r="HO145" s="1146"/>
      <c r="HP145" s="1146"/>
      <c r="HQ145" s="1146"/>
      <c r="HR145" s="1146"/>
      <c r="HS145" s="1146"/>
      <c r="HT145" s="1146"/>
      <c r="HU145" s="1146"/>
      <c r="HV145" s="1146"/>
      <c r="HW145" s="1156"/>
      <c r="HX145" s="1156"/>
      <c r="HY145" s="1156"/>
      <c r="HZ145" s="1146"/>
      <c r="IA145" s="1156"/>
      <c r="IB145" s="1156"/>
      <c r="IC145" s="1159"/>
      <c r="ID145" s="1156"/>
      <c r="IE145" s="1160"/>
      <c r="IF145" s="1156"/>
      <c r="IG145" s="1156"/>
      <c r="IH145" s="1156"/>
      <c r="II145" s="1156"/>
      <c r="IJ145" s="1156"/>
      <c r="IK145" s="1156"/>
      <c r="IL145" s="1156"/>
      <c r="IM145" s="1156"/>
      <c r="IN145" s="1156"/>
      <c r="IO145" s="1156"/>
      <c r="IP145" s="1157"/>
      <c r="IQ145" s="1156"/>
      <c r="IR145" s="1157"/>
      <c r="IS145" s="1291"/>
      <c r="IT145" s="1156"/>
      <c r="IU145" s="1156"/>
      <c r="IV145" s="1156"/>
      <c r="IW145" s="1156"/>
      <c r="IX145" s="1156"/>
      <c r="IY145" s="1156"/>
      <c r="IZ145" s="1156"/>
      <c r="JA145" s="1156"/>
      <c r="JB145" s="1156"/>
      <c r="JC145" s="1156"/>
      <c r="JD145" s="1156"/>
      <c r="JE145" s="1156"/>
      <c r="JF145" s="1156"/>
      <c r="JG145" s="1156"/>
      <c r="JH145" s="1157"/>
      <c r="JI145" s="1291"/>
      <c r="JJ145" s="1160"/>
      <c r="JK145" s="1156"/>
      <c r="JL145" s="1156"/>
      <c r="JM145" s="1156"/>
      <c r="JN145" s="1156"/>
      <c r="JO145" s="1156"/>
      <c r="JP145" s="1156"/>
      <c r="JQ145" s="1156"/>
      <c r="JR145" s="1156"/>
      <c r="JS145" s="1156"/>
      <c r="JT145" s="1156"/>
      <c r="JU145" s="1156"/>
      <c r="JV145" s="1156"/>
      <c r="JW145" s="1156"/>
      <c r="JX145" s="1156"/>
      <c r="JY145" s="1156"/>
      <c r="JZ145" s="1145"/>
      <c r="KA145" s="533"/>
      <c r="KB145" s="1156"/>
      <c r="KC145" s="1156"/>
      <c r="KD145" s="1156"/>
      <c r="KE145" s="1156"/>
      <c r="KF145" s="1156"/>
      <c r="KG145" s="1156"/>
      <c r="KH145" s="1156"/>
      <c r="KI145" s="533"/>
      <c r="KJ145" s="1145"/>
      <c r="KK145" s="1156"/>
      <c r="KL145" s="1156"/>
      <c r="KM145" s="1156"/>
      <c r="KN145" s="1145"/>
      <c r="KO145" s="1156"/>
      <c r="KP145" s="1156"/>
      <c r="KQ145" s="1157"/>
      <c r="KR145" s="1156"/>
      <c r="KS145" s="1157"/>
      <c r="KT145" s="1099"/>
      <c r="KU145" s="1156"/>
      <c r="KV145" s="1099"/>
      <c r="KW145" s="1157"/>
      <c r="KX145" s="1099"/>
      <c r="KY145" s="1099"/>
      <c r="KZ145" s="1157"/>
      <c r="LA145" s="1156"/>
      <c r="LB145" s="1099"/>
      <c r="LC145" s="1157"/>
      <c r="LD145" s="1157"/>
      <c r="LE145" s="1161">
        <f>LF145-GR145</f>
        <v>200</v>
      </c>
      <c r="LF145" s="1161">
        <f>LG145-GP145</f>
        <v>250</v>
      </c>
      <c r="LG145" s="1162">
        <v>300</v>
      </c>
    </row>
    <row r="146" spans="1:319" s="1158" customFormat="1" ht="12">
      <c r="A146" s="1146"/>
      <c r="B146" s="1147" t="s">
        <v>1201</v>
      </c>
      <c r="C146" s="1040" t="s">
        <v>1264</v>
      </c>
      <c r="D146" s="1148"/>
      <c r="E146" s="1146"/>
      <c r="F146" s="1146"/>
      <c r="G146" s="1149"/>
      <c r="H146" s="1146"/>
      <c r="I146" s="1146"/>
      <c r="J146" s="1149"/>
      <c r="K146" s="1053"/>
      <c r="L146" s="1053"/>
      <c r="M146" s="1053"/>
      <c r="N146" s="1053"/>
      <c r="O146" s="1053"/>
      <c r="P146" s="1053"/>
      <c r="Q146" s="1053"/>
      <c r="R146" s="1053"/>
      <c r="S146" s="1150"/>
      <c r="T146" s="1053"/>
      <c r="U146" s="1053"/>
      <c r="V146" s="1053"/>
      <c r="W146" s="1053"/>
      <c r="X146" s="1053"/>
      <c r="Y146" s="1053"/>
      <c r="Z146" s="1053"/>
      <c r="AA146" s="1053"/>
      <c r="AB146" s="1150"/>
      <c r="AC146" s="1053"/>
      <c r="AD146" s="1053"/>
      <c r="AE146" s="1053"/>
      <c r="AF146" s="1053"/>
      <c r="AG146" s="1053"/>
      <c r="AH146" s="1053"/>
      <c r="AI146" s="1053"/>
      <c r="AJ146" s="1053"/>
      <c r="AK146" s="1148"/>
      <c r="AL146" s="1053"/>
      <c r="AM146" s="1053"/>
      <c r="AN146" s="1053"/>
      <c r="AO146" s="1053"/>
      <c r="AP146" s="1053"/>
      <c r="AQ146" s="1053"/>
      <c r="AR146" s="1053"/>
      <c r="AS146" s="1053"/>
      <c r="AT146" s="1148"/>
      <c r="AU146" s="1053"/>
      <c r="AV146" s="1053"/>
      <c r="AW146" s="1053"/>
      <c r="AX146" s="1053"/>
      <c r="AY146" s="1053"/>
      <c r="AZ146" s="1053"/>
      <c r="BA146" s="1053"/>
      <c r="BB146" s="1151"/>
      <c r="BC146" s="1151"/>
      <c r="BD146" s="1053"/>
      <c r="BE146" s="1053"/>
      <c r="BF146" s="1148"/>
      <c r="BG146" s="1053"/>
      <c r="BH146" s="1053"/>
      <c r="BI146" s="1053"/>
      <c r="BJ146" s="1148"/>
      <c r="BK146" s="1146"/>
      <c r="BL146" s="1146"/>
      <c r="BM146" s="1146"/>
      <c r="BN146" s="1146"/>
      <c r="BO146" s="1148"/>
      <c r="BP146" s="1053"/>
      <c r="BQ146" s="1053"/>
      <c r="BR146" s="1053"/>
      <c r="BS146" s="1053"/>
      <c r="BT146" s="1151"/>
      <c r="BU146" s="1151"/>
      <c r="BV146" s="1053"/>
      <c r="BW146" s="1053"/>
      <c r="BX146" s="1053"/>
      <c r="BY146" s="1053"/>
      <c r="BZ146" s="1053"/>
      <c r="CA146" s="1053"/>
      <c r="CB146" s="1053"/>
      <c r="CC146" s="1053"/>
      <c r="CD146" s="1053"/>
      <c r="CE146" s="1053"/>
      <c r="CF146" s="1148"/>
      <c r="CG146" s="1152"/>
      <c r="CH146" s="1146"/>
      <c r="CI146" s="1146"/>
      <c r="CJ146" s="1146"/>
      <c r="CK146" s="1146"/>
      <c r="CL146" s="1153"/>
      <c r="CM146" s="1146"/>
      <c r="CN146" s="1146"/>
      <c r="CO146" s="1146"/>
      <c r="CP146" s="1154"/>
      <c r="CQ146" s="1154"/>
      <c r="CR146" s="1146"/>
      <c r="CS146" s="1146"/>
      <c r="CT146" s="1146"/>
      <c r="CU146" s="1146"/>
      <c r="CV146" s="1146"/>
      <c r="CW146" s="1149"/>
      <c r="CX146" s="1146"/>
      <c r="CY146" s="1146"/>
      <c r="CZ146" s="1146"/>
      <c r="DA146" s="1146"/>
      <c r="DB146" s="1146"/>
      <c r="DC146" s="1146"/>
      <c r="DD146" s="1146"/>
      <c r="DE146" s="1146"/>
      <c r="DF146" s="1154"/>
      <c r="DG146" s="1154"/>
      <c r="DH146" s="1154"/>
      <c r="DI146" s="1146"/>
      <c r="DJ146" s="1146"/>
      <c r="DK146" s="1146"/>
      <c r="DL146" s="1155"/>
      <c r="DM146" s="1155"/>
      <c r="DN146" s="1053"/>
      <c r="DO146" s="1053"/>
      <c r="DP146" s="1156"/>
      <c r="DQ146" s="1156"/>
      <c r="DR146" s="1156"/>
      <c r="DS146" s="1157"/>
      <c r="DT146" s="1155"/>
      <c r="DU146" s="1053"/>
      <c r="DV146" s="1053"/>
      <c r="DW146" s="1153"/>
      <c r="DX146" s="1156"/>
      <c r="DY146" s="1156"/>
      <c r="DZ146" s="1148"/>
      <c r="EB146" s="1153"/>
      <c r="EC146" s="1156"/>
      <c r="ED146" s="1155"/>
      <c r="EE146" s="1148"/>
      <c r="EF146" s="1146"/>
      <c r="EG146" s="1152"/>
      <c r="EH146" s="1146"/>
      <c r="EI146" s="1146"/>
      <c r="EJ146" s="1146"/>
      <c r="EK146" s="1146"/>
      <c r="EL146" s="1146"/>
      <c r="EM146" s="1146"/>
      <c r="EN146" s="1146"/>
      <c r="EO146" s="1146"/>
      <c r="EP146" s="1146"/>
      <c r="EQ146" s="1146"/>
      <c r="ER146" s="1146"/>
      <c r="ES146" s="1146"/>
      <c r="ET146" s="1146"/>
      <c r="EU146" s="1149"/>
      <c r="EV146" s="1157"/>
      <c r="EW146" s="1146"/>
      <c r="EX146" s="1146"/>
      <c r="EY146" s="1146"/>
      <c r="EZ146" s="1146"/>
      <c r="FA146" s="1146"/>
      <c r="FB146" s="1146"/>
      <c r="FC146" s="1146"/>
      <c r="FD146" s="1036"/>
      <c r="FE146" s="1146"/>
      <c r="FF146" s="1036"/>
      <c r="FG146" s="1036"/>
      <c r="FH146" s="1146"/>
      <c r="FI146" s="1146"/>
      <c r="FJ146" s="1146"/>
      <c r="FK146" s="1149"/>
      <c r="FL146" s="1155"/>
      <c r="FM146" s="1053"/>
      <c r="FN146" s="1156"/>
      <c r="FO146" s="1156"/>
      <c r="FP146" s="1156"/>
      <c r="FQ146" s="1157"/>
      <c r="FR146" s="1157"/>
      <c r="FS146" s="1146"/>
      <c r="FT146" s="1156"/>
      <c r="FU146" s="1156"/>
      <c r="FV146" s="1146"/>
      <c r="FW146" s="1156"/>
      <c r="FX146" s="1156"/>
      <c r="FY146" s="1146">
        <v>0</v>
      </c>
      <c r="FZ146" s="1146"/>
      <c r="GA146" s="1146"/>
      <c r="GB146" s="1146"/>
      <c r="GC146" s="1146"/>
      <c r="GD146" s="1149"/>
      <c r="GE146" s="1146"/>
      <c r="GF146" s="1146"/>
      <c r="GG146" s="1146"/>
      <c r="GH146" s="1156"/>
      <c r="GI146" s="1156"/>
      <c r="GJ146" s="1159"/>
      <c r="GK146" s="1156"/>
      <c r="GL146" s="1156">
        <v>-100</v>
      </c>
      <c r="GM146" s="1156"/>
      <c r="GN146" s="1156"/>
      <c r="GO146" s="1156">
        <f>GP146-GL146</f>
        <v>0</v>
      </c>
      <c r="GP146" s="1156">
        <v>-100</v>
      </c>
      <c r="GQ146" s="1156"/>
      <c r="GR146" s="1146">
        <f>GS146-GP146</f>
        <v>-100</v>
      </c>
      <c r="GS146" s="1146">
        <v>-200</v>
      </c>
      <c r="GT146" s="1146">
        <f>GU146-GR146</f>
        <v>0</v>
      </c>
      <c r="GU146" s="1146">
        <f>GV146-GP146</f>
        <v>-100</v>
      </c>
      <c r="GV146" s="1149">
        <v>-200</v>
      </c>
      <c r="GW146" s="1146"/>
      <c r="GX146" s="1156"/>
      <c r="GY146" s="1156"/>
      <c r="GZ146" s="1156"/>
      <c r="HA146" s="1159"/>
      <c r="HB146" s="1156"/>
      <c r="HC146" s="1156"/>
      <c r="HD146" s="1156"/>
      <c r="HE146" s="1156"/>
      <c r="HF146" s="1156"/>
      <c r="HG146" s="1156"/>
      <c r="HH146" s="1156"/>
      <c r="HI146" s="1156"/>
      <c r="HJ146" s="1156"/>
      <c r="HK146" s="1156"/>
      <c r="HL146" s="1156"/>
      <c r="HM146" s="1156"/>
      <c r="HN146" s="1146"/>
      <c r="HO146" s="1146"/>
      <c r="HP146" s="1146"/>
      <c r="HQ146" s="1146"/>
      <c r="HR146" s="1146"/>
      <c r="HS146" s="1146"/>
      <c r="HT146" s="1146"/>
      <c r="HU146" s="1146"/>
      <c r="HV146" s="1146"/>
      <c r="HW146" s="1156"/>
      <c r="HX146" s="1156"/>
      <c r="HY146" s="1156"/>
      <c r="HZ146" s="1146"/>
      <c r="IA146" s="1156"/>
      <c r="IB146" s="1156"/>
      <c r="IC146" s="1159"/>
      <c r="ID146" s="1156"/>
      <c r="IE146" s="1160"/>
      <c r="IF146" s="1156"/>
      <c r="IG146" s="1156"/>
      <c r="IH146" s="1156"/>
      <c r="II146" s="1156"/>
      <c r="IJ146" s="1156"/>
      <c r="IK146" s="1156"/>
      <c r="IL146" s="1156"/>
      <c r="IM146" s="1156"/>
      <c r="IN146" s="1156"/>
      <c r="IO146" s="1156"/>
      <c r="IP146" s="1157"/>
      <c r="IQ146" s="1156"/>
      <c r="IR146" s="1157"/>
      <c r="IS146" s="1291"/>
      <c r="IT146" s="1156"/>
      <c r="IU146" s="1156"/>
      <c r="IV146" s="1156"/>
      <c r="IW146" s="1156"/>
      <c r="IX146" s="1156"/>
      <c r="IY146" s="1156"/>
      <c r="IZ146" s="1156"/>
      <c r="JA146" s="1156"/>
      <c r="JB146" s="1156"/>
      <c r="JC146" s="1156"/>
      <c r="JD146" s="1156"/>
      <c r="JE146" s="1156"/>
      <c r="JF146" s="1156"/>
      <c r="JG146" s="1156"/>
      <c r="JH146" s="1157"/>
      <c r="JI146" s="1291"/>
      <c r="JJ146" s="1160"/>
      <c r="JK146" s="1156"/>
      <c r="JL146" s="1156"/>
      <c r="JM146" s="1156"/>
      <c r="JN146" s="1156"/>
      <c r="JO146" s="1156"/>
      <c r="JP146" s="1156"/>
      <c r="JQ146" s="1156"/>
      <c r="JR146" s="1156"/>
      <c r="JS146" s="1156"/>
      <c r="JT146" s="1156"/>
      <c r="JU146" s="1156"/>
      <c r="JV146" s="1156"/>
      <c r="JW146" s="1156"/>
      <c r="JX146" s="1156"/>
      <c r="JY146" s="1156"/>
      <c r="JZ146" s="1145"/>
      <c r="KA146" s="533"/>
      <c r="KB146" s="1156"/>
      <c r="KC146" s="1156"/>
      <c r="KD146" s="1156"/>
      <c r="KE146" s="1156"/>
      <c r="KF146" s="1156"/>
      <c r="KG146" s="1156"/>
      <c r="KH146" s="1156"/>
      <c r="KI146" s="533"/>
      <c r="KJ146" s="1145"/>
      <c r="KK146" s="1156"/>
      <c r="KL146" s="1156"/>
      <c r="KM146" s="1156"/>
      <c r="KN146" s="1145"/>
      <c r="KO146" s="1156"/>
      <c r="KP146" s="1156"/>
      <c r="KQ146" s="1157"/>
      <c r="KR146" s="1156"/>
      <c r="KS146" s="1157"/>
      <c r="KT146" s="1099"/>
      <c r="KU146" s="1156"/>
      <c r="KV146" s="1099"/>
      <c r="KW146" s="1157"/>
      <c r="KX146" s="1099"/>
      <c r="KY146" s="1099"/>
      <c r="KZ146" s="1157"/>
      <c r="LA146" s="1156"/>
      <c r="LB146" s="1099"/>
      <c r="LC146" s="1157"/>
      <c r="LD146" s="1157"/>
      <c r="LE146" s="1161">
        <f>LF146-GR146</f>
        <v>0</v>
      </c>
      <c r="LF146" s="1161">
        <f>LG146-GP146</f>
        <v>-100</v>
      </c>
      <c r="LG146" s="1162">
        <v>-200</v>
      </c>
    </row>
    <row r="147" spans="1:319" s="1158" customFormat="1" ht="12">
      <c r="A147" s="1146"/>
      <c r="B147" s="1147" t="s">
        <v>170</v>
      </c>
      <c r="C147" s="1040" t="s">
        <v>1262</v>
      </c>
      <c r="D147" s="1148"/>
      <c r="E147" s="1146"/>
      <c r="F147" s="1146"/>
      <c r="G147" s="1149"/>
      <c r="H147" s="1146"/>
      <c r="I147" s="1146"/>
      <c r="J147" s="1149"/>
      <c r="K147" s="1053"/>
      <c r="L147" s="1053"/>
      <c r="M147" s="1053"/>
      <c r="N147" s="1053"/>
      <c r="O147" s="1053"/>
      <c r="P147" s="1053"/>
      <c r="Q147" s="1053"/>
      <c r="R147" s="1053"/>
      <c r="S147" s="1150"/>
      <c r="T147" s="1053"/>
      <c r="U147" s="1053"/>
      <c r="V147" s="1053"/>
      <c r="W147" s="1053"/>
      <c r="X147" s="1053"/>
      <c r="Y147" s="1053"/>
      <c r="Z147" s="1053"/>
      <c r="AA147" s="1053"/>
      <c r="AB147" s="1150"/>
      <c r="AC147" s="1053"/>
      <c r="AD147" s="1053"/>
      <c r="AE147" s="1053"/>
      <c r="AF147" s="1053"/>
      <c r="AG147" s="1053"/>
      <c r="AH147" s="1053"/>
      <c r="AI147" s="1053"/>
      <c r="AJ147" s="1053"/>
      <c r="AK147" s="1148"/>
      <c r="AL147" s="1053"/>
      <c r="AM147" s="1053"/>
      <c r="AN147" s="1053"/>
      <c r="AO147" s="1053"/>
      <c r="AP147" s="1053"/>
      <c r="AQ147" s="1053"/>
      <c r="AR147" s="1053"/>
      <c r="AS147" s="1053"/>
      <c r="AT147" s="1148"/>
      <c r="AU147" s="1053"/>
      <c r="AV147" s="1053"/>
      <c r="AW147" s="1053"/>
      <c r="AX147" s="1053"/>
      <c r="AY147" s="1053"/>
      <c r="AZ147" s="1053"/>
      <c r="BA147" s="1053"/>
      <c r="BB147" s="1151"/>
      <c r="BC147" s="1151"/>
      <c r="BD147" s="1053"/>
      <c r="BE147" s="1053"/>
      <c r="BF147" s="1148"/>
      <c r="BG147" s="1053"/>
      <c r="BH147" s="1053"/>
      <c r="BI147" s="1053"/>
      <c r="BJ147" s="1148"/>
      <c r="BK147" s="1146"/>
      <c r="BL147" s="1146"/>
      <c r="BM147" s="1146"/>
      <c r="BN147" s="1146"/>
      <c r="BO147" s="1148"/>
      <c r="BP147" s="1053"/>
      <c r="BQ147" s="1053"/>
      <c r="BR147" s="1053"/>
      <c r="BS147" s="1053"/>
      <c r="BT147" s="1151"/>
      <c r="BU147" s="1151"/>
      <c r="BV147" s="1053"/>
      <c r="BW147" s="1053"/>
      <c r="BX147" s="1053"/>
      <c r="BY147" s="1053"/>
      <c r="BZ147" s="1053"/>
      <c r="CA147" s="1053"/>
      <c r="CB147" s="1053"/>
      <c r="CC147" s="1053"/>
      <c r="CD147" s="1053"/>
      <c r="CE147" s="1053"/>
      <c r="CF147" s="1148"/>
      <c r="CG147" s="1152"/>
      <c r="CH147" s="1146"/>
      <c r="CI147" s="1146"/>
      <c r="CJ147" s="1146"/>
      <c r="CK147" s="1146"/>
      <c r="CL147" s="1153"/>
      <c r="CM147" s="1146"/>
      <c r="CN147" s="1146"/>
      <c r="CO147" s="1146"/>
      <c r="CP147" s="1154"/>
      <c r="CQ147" s="1154"/>
      <c r="CR147" s="1146"/>
      <c r="CS147" s="1146"/>
      <c r="CT147" s="1146"/>
      <c r="CU147" s="1146"/>
      <c r="CV147" s="1146"/>
      <c r="CW147" s="1149"/>
      <c r="CX147" s="1146"/>
      <c r="CY147" s="1146"/>
      <c r="CZ147" s="1146"/>
      <c r="DA147" s="1146"/>
      <c r="DB147" s="1146"/>
      <c r="DC147" s="1146"/>
      <c r="DD147" s="1146"/>
      <c r="DE147" s="1146"/>
      <c r="DF147" s="1154"/>
      <c r="DG147" s="1154"/>
      <c r="DH147" s="1154"/>
      <c r="DI147" s="1146"/>
      <c r="DJ147" s="1146"/>
      <c r="DK147" s="1146"/>
      <c r="DL147" s="1155"/>
      <c r="DM147" s="1155"/>
      <c r="DN147" s="1053"/>
      <c r="DO147" s="1053"/>
      <c r="DP147" s="1156"/>
      <c r="DQ147" s="1156"/>
      <c r="DR147" s="1156"/>
      <c r="DS147" s="1157"/>
      <c r="DT147" s="1155"/>
      <c r="DU147" s="1053"/>
      <c r="DV147" s="1053"/>
      <c r="DW147" s="1153"/>
      <c r="DX147" s="1156"/>
      <c r="DY147" s="1156"/>
      <c r="DZ147" s="1148"/>
      <c r="EB147" s="1153"/>
      <c r="EC147" s="1156"/>
      <c r="ED147" s="1155"/>
      <c r="EE147" s="1148"/>
      <c r="EF147" s="1146"/>
      <c r="EG147" s="1152"/>
      <c r="EH147" s="1146"/>
      <c r="EI147" s="1146"/>
      <c r="EJ147" s="1146"/>
      <c r="EK147" s="1146"/>
      <c r="EL147" s="1146"/>
      <c r="EM147" s="1146"/>
      <c r="EN147" s="1146"/>
      <c r="EO147" s="1146"/>
      <c r="EP147" s="1146"/>
      <c r="EQ147" s="1146"/>
      <c r="ER147" s="1146"/>
      <c r="ES147" s="1146"/>
      <c r="ET147" s="1146"/>
      <c r="EU147" s="1149"/>
      <c r="EV147" s="1157"/>
      <c r="EW147" s="1146"/>
      <c r="EX147" s="1146"/>
      <c r="EY147" s="1146"/>
      <c r="EZ147" s="1146"/>
      <c r="FA147" s="1146"/>
      <c r="FB147" s="1146"/>
      <c r="FC147" s="1146"/>
      <c r="FD147" s="1036"/>
      <c r="FE147" s="1146"/>
      <c r="FF147" s="1036"/>
      <c r="FG147" s="1036"/>
      <c r="FH147" s="1146"/>
      <c r="FI147" s="1146"/>
      <c r="FJ147" s="1146"/>
      <c r="FK147" s="1149"/>
      <c r="FL147" s="1155"/>
      <c r="FM147" s="1053"/>
      <c r="FN147" s="1156"/>
      <c r="FO147" s="1156"/>
      <c r="FP147" s="1156"/>
      <c r="FQ147" s="1157"/>
      <c r="FR147" s="1157"/>
      <c r="FS147" s="1146"/>
      <c r="FT147" s="1156"/>
      <c r="FU147" s="1156"/>
      <c r="FV147" s="1146"/>
      <c r="FW147" s="1156"/>
      <c r="FX147" s="1156"/>
      <c r="FY147" s="1146">
        <v>-400</v>
      </c>
      <c r="FZ147" s="1146"/>
      <c r="GA147" s="1146" t="s">
        <v>1286</v>
      </c>
      <c r="GB147" s="1146"/>
      <c r="GC147" s="1146"/>
      <c r="GD147" s="1149"/>
      <c r="GE147" s="1146"/>
      <c r="GF147" s="1146"/>
      <c r="GG147" s="1146"/>
      <c r="GH147" s="1156"/>
      <c r="GI147" s="1156"/>
      <c r="GJ147" s="1159"/>
      <c r="GK147" s="1156"/>
      <c r="GL147" s="1156">
        <v>-100</v>
      </c>
      <c r="GM147" s="1156"/>
      <c r="GN147" s="1156"/>
      <c r="GO147" s="1156">
        <f>GP147-GL147</f>
        <v>-200</v>
      </c>
      <c r="GP147" s="1156">
        <v>-300</v>
      </c>
      <c r="GQ147" s="1156"/>
      <c r="GR147" s="1146">
        <f>GS147-GP147</f>
        <v>0</v>
      </c>
      <c r="GS147" s="1146">
        <v>-300</v>
      </c>
      <c r="GT147" s="1146">
        <f>GU147-GR147</f>
        <v>-100</v>
      </c>
      <c r="GU147" s="1146">
        <f>GV147-GP147</f>
        <v>-100</v>
      </c>
      <c r="GV147" s="1149">
        <v>-400</v>
      </c>
      <c r="GW147" s="1146"/>
      <c r="GX147" s="1156"/>
      <c r="GY147" s="1156"/>
      <c r="GZ147" s="1156"/>
      <c r="HA147" s="1159"/>
      <c r="HB147" s="1156"/>
      <c r="HC147" s="1156"/>
      <c r="HD147" s="1156"/>
      <c r="HE147" s="1156"/>
      <c r="HF147" s="1156"/>
      <c r="HG147" s="1156"/>
      <c r="HH147" s="1156"/>
      <c r="HI147" s="1156"/>
      <c r="HJ147" s="1156"/>
      <c r="HK147" s="1156"/>
      <c r="HL147" s="1156"/>
      <c r="HM147" s="1156"/>
      <c r="HN147" s="1146"/>
      <c r="HO147" s="1146"/>
      <c r="HP147" s="1146"/>
      <c r="HQ147" s="1146"/>
      <c r="HR147" s="1146"/>
      <c r="HS147" s="1146"/>
      <c r="HT147" s="1146"/>
      <c r="HU147" s="1146"/>
      <c r="HV147" s="1146"/>
      <c r="HW147" s="1156"/>
      <c r="HX147" s="1156"/>
      <c r="HY147" s="1156"/>
      <c r="HZ147" s="1146"/>
      <c r="IA147" s="1156"/>
      <c r="IB147" s="1156"/>
      <c r="IC147" s="1159"/>
      <c r="ID147" s="1156"/>
      <c r="IE147" s="1160"/>
      <c r="IF147" s="1156"/>
      <c r="IG147" s="1156"/>
      <c r="IH147" s="1156"/>
      <c r="II147" s="1156"/>
      <c r="IJ147" s="1156"/>
      <c r="IK147" s="1156"/>
      <c r="IL147" s="1156"/>
      <c r="IM147" s="1156"/>
      <c r="IN147" s="1156"/>
      <c r="IO147" s="1156"/>
      <c r="IP147" s="1157"/>
      <c r="IQ147" s="1156"/>
      <c r="IR147" s="1157"/>
      <c r="IS147" s="1291"/>
      <c r="IT147" s="1156"/>
      <c r="IU147" s="1156"/>
      <c r="IV147" s="1156"/>
      <c r="IW147" s="1156"/>
      <c r="IX147" s="1156"/>
      <c r="IY147" s="1156"/>
      <c r="IZ147" s="1156"/>
      <c r="JA147" s="1156"/>
      <c r="JB147" s="1156"/>
      <c r="JC147" s="1156"/>
      <c r="JD147" s="1156"/>
      <c r="JE147" s="1156"/>
      <c r="JF147" s="1156"/>
      <c r="JG147" s="1156"/>
      <c r="JH147" s="1157"/>
      <c r="JI147" s="1291"/>
      <c r="JJ147" s="1160"/>
      <c r="JK147" s="1156"/>
      <c r="JL147" s="1156"/>
      <c r="JM147" s="1156"/>
      <c r="JN147" s="1156"/>
      <c r="JO147" s="1156"/>
      <c r="JP147" s="1156"/>
      <c r="JQ147" s="1156"/>
      <c r="JR147" s="1156"/>
      <c r="JS147" s="1156"/>
      <c r="JT147" s="1156"/>
      <c r="JU147" s="1156"/>
      <c r="JV147" s="1156"/>
      <c r="JW147" s="1156"/>
      <c r="JX147" s="1156"/>
      <c r="JY147" s="1156"/>
      <c r="JZ147" s="1145"/>
      <c r="KA147" s="533"/>
      <c r="KB147" s="1156"/>
      <c r="KC147" s="1156"/>
      <c r="KD147" s="1156"/>
      <c r="KE147" s="1156"/>
      <c r="KF147" s="1156"/>
      <c r="KG147" s="1156"/>
      <c r="KH147" s="1156"/>
      <c r="KI147" s="533"/>
      <c r="KJ147" s="1145"/>
      <c r="KK147" s="1156"/>
      <c r="KL147" s="1156"/>
      <c r="KM147" s="1156"/>
      <c r="KN147" s="1145"/>
      <c r="KO147" s="1156"/>
      <c r="KP147" s="1156"/>
      <c r="KQ147" s="1157"/>
      <c r="KR147" s="1156"/>
      <c r="KS147" s="1157"/>
      <c r="KT147" s="1099"/>
      <c r="KU147" s="1156"/>
      <c r="KV147" s="1099"/>
      <c r="KW147" s="1157"/>
      <c r="KX147" s="1099"/>
      <c r="KY147" s="1099"/>
      <c r="KZ147" s="1157"/>
      <c r="LA147" s="1156"/>
      <c r="LB147" s="1099"/>
      <c r="LC147" s="1157">
        <v>-100</v>
      </c>
      <c r="LD147" s="1157"/>
      <c r="LE147" s="1161">
        <f>LF147-GR147</f>
        <v>-200</v>
      </c>
      <c r="LF147" s="1161">
        <f>LG147-GP147</f>
        <v>-200</v>
      </c>
      <c r="LG147" s="1162">
        <v>-500</v>
      </c>
    </row>
    <row r="148" spans="1:319" s="1158" customFormat="1" ht="12">
      <c r="A148" s="1146"/>
      <c r="B148" s="1147" t="s">
        <v>196</v>
      </c>
      <c r="C148" s="1040" t="s">
        <v>1263</v>
      </c>
      <c r="D148" s="1148"/>
      <c r="E148" s="1146"/>
      <c r="F148" s="1146"/>
      <c r="G148" s="1149"/>
      <c r="H148" s="1146"/>
      <c r="I148" s="1146"/>
      <c r="J148" s="1149"/>
      <c r="K148" s="1053"/>
      <c r="L148" s="1053"/>
      <c r="M148" s="1053"/>
      <c r="N148" s="1053"/>
      <c r="O148" s="1053"/>
      <c r="P148" s="1053"/>
      <c r="Q148" s="1053"/>
      <c r="R148" s="1053"/>
      <c r="S148" s="1150"/>
      <c r="T148" s="1053"/>
      <c r="U148" s="1053"/>
      <c r="V148" s="1053"/>
      <c r="W148" s="1053"/>
      <c r="X148" s="1053"/>
      <c r="Y148" s="1053"/>
      <c r="Z148" s="1053"/>
      <c r="AA148" s="1053"/>
      <c r="AB148" s="1150"/>
      <c r="AC148" s="1053"/>
      <c r="AD148" s="1053"/>
      <c r="AE148" s="1053"/>
      <c r="AF148" s="1053"/>
      <c r="AG148" s="1053"/>
      <c r="AH148" s="1053"/>
      <c r="AI148" s="1053"/>
      <c r="AJ148" s="1053"/>
      <c r="AK148" s="1148"/>
      <c r="AL148" s="1053"/>
      <c r="AM148" s="1053"/>
      <c r="AN148" s="1053"/>
      <c r="AO148" s="1053"/>
      <c r="AP148" s="1053"/>
      <c r="AQ148" s="1053"/>
      <c r="AR148" s="1053"/>
      <c r="AS148" s="1053"/>
      <c r="AT148" s="1148"/>
      <c r="AU148" s="1053"/>
      <c r="AV148" s="1053"/>
      <c r="AW148" s="1053"/>
      <c r="AX148" s="1053"/>
      <c r="AY148" s="1053"/>
      <c r="AZ148" s="1053"/>
      <c r="BA148" s="1053"/>
      <c r="BB148" s="1151"/>
      <c r="BC148" s="1151"/>
      <c r="BD148" s="1053"/>
      <c r="BE148" s="1053"/>
      <c r="BF148" s="1148"/>
      <c r="BG148" s="1053"/>
      <c r="BH148" s="1053"/>
      <c r="BI148" s="1053"/>
      <c r="BJ148" s="1148"/>
      <c r="BK148" s="1146"/>
      <c r="BL148" s="1146"/>
      <c r="BM148" s="1146"/>
      <c r="BN148" s="1146"/>
      <c r="BO148" s="1148"/>
      <c r="BP148" s="1053"/>
      <c r="BQ148" s="1053"/>
      <c r="BR148" s="1053"/>
      <c r="BS148" s="1053"/>
      <c r="BT148" s="1151"/>
      <c r="BU148" s="1151"/>
      <c r="BV148" s="1053"/>
      <c r="BW148" s="1053"/>
      <c r="BX148" s="1053"/>
      <c r="BY148" s="1053"/>
      <c r="BZ148" s="1053"/>
      <c r="CA148" s="1053"/>
      <c r="CB148" s="1053"/>
      <c r="CC148" s="1053"/>
      <c r="CD148" s="1053"/>
      <c r="CE148" s="1053"/>
      <c r="CF148" s="1148"/>
      <c r="CG148" s="1152"/>
      <c r="CH148" s="1146"/>
      <c r="CI148" s="1146"/>
      <c r="CJ148" s="1146"/>
      <c r="CK148" s="1146"/>
      <c r="CL148" s="1153"/>
      <c r="CM148" s="1146"/>
      <c r="CN148" s="1146"/>
      <c r="CO148" s="1146"/>
      <c r="CP148" s="1154"/>
      <c r="CQ148" s="1154"/>
      <c r="CR148" s="1146"/>
      <c r="CS148" s="1146"/>
      <c r="CT148" s="1146"/>
      <c r="CU148" s="1146"/>
      <c r="CV148" s="1146"/>
      <c r="CW148" s="1149"/>
      <c r="CX148" s="1146"/>
      <c r="CY148" s="1146"/>
      <c r="CZ148" s="1146"/>
      <c r="DA148" s="1146"/>
      <c r="DB148" s="1146"/>
      <c r="DC148" s="1146"/>
      <c r="DD148" s="1146"/>
      <c r="DE148" s="1146"/>
      <c r="DF148" s="1154"/>
      <c r="DG148" s="1154"/>
      <c r="DH148" s="1154"/>
      <c r="DI148" s="1146"/>
      <c r="DJ148" s="1146"/>
      <c r="DK148" s="1146"/>
      <c r="DL148" s="1155"/>
      <c r="DM148" s="1155"/>
      <c r="DN148" s="1053"/>
      <c r="DO148" s="1053"/>
      <c r="DP148" s="1156"/>
      <c r="DQ148" s="1156"/>
      <c r="DR148" s="1156"/>
      <c r="DS148" s="1157"/>
      <c r="DT148" s="1155"/>
      <c r="DU148" s="1053"/>
      <c r="DV148" s="1053"/>
      <c r="DW148" s="1153"/>
      <c r="DX148" s="1156"/>
      <c r="DY148" s="1156"/>
      <c r="DZ148" s="1148"/>
      <c r="EB148" s="1153"/>
      <c r="EC148" s="1156"/>
      <c r="ED148" s="1155"/>
      <c r="EE148" s="1148"/>
      <c r="EF148" s="1146"/>
      <c r="EG148" s="1152"/>
      <c r="EH148" s="1146"/>
      <c r="EI148" s="1146"/>
      <c r="EJ148" s="1146"/>
      <c r="EK148" s="1146"/>
      <c r="EL148" s="1146"/>
      <c r="EM148" s="1146"/>
      <c r="EN148" s="1146"/>
      <c r="EO148" s="1146"/>
      <c r="EP148" s="1146"/>
      <c r="EQ148" s="1146"/>
      <c r="ER148" s="1146"/>
      <c r="ES148" s="1146"/>
      <c r="ET148" s="1146"/>
      <c r="EU148" s="1149"/>
      <c r="EV148" s="1157"/>
      <c r="EW148" s="1146"/>
      <c r="EX148" s="1146"/>
      <c r="EY148" s="1146"/>
      <c r="EZ148" s="1146"/>
      <c r="FA148" s="1146"/>
      <c r="FB148" s="1146"/>
      <c r="FC148" s="1146"/>
      <c r="FD148" s="1036"/>
      <c r="FE148" s="1146"/>
      <c r="FF148" s="1036"/>
      <c r="FG148" s="1036"/>
      <c r="FH148" s="1146"/>
      <c r="FI148" s="1146"/>
      <c r="FJ148" s="1146"/>
      <c r="FK148" s="1149"/>
      <c r="FL148" s="1155"/>
      <c r="FM148" s="1053"/>
      <c r="FN148" s="1156"/>
      <c r="FO148" s="1156"/>
      <c r="FP148" s="1156"/>
      <c r="FQ148" s="1157"/>
      <c r="FR148" s="1157"/>
      <c r="FS148" s="1146"/>
      <c r="FT148" s="1156"/>
      <c r="FU148" s="1156"/>
      <c r="FV148" s="1146"/>
      <c r="FW148" s="1156"/>
      <c r="FX148" s="1156"/>
      <c r="FY148" s="1146"/>
      <c r="FZ148" s="1146"/>
      <c r="GA148" s="1146"/>
      <c r="GB148" s="1146"/>
      <c r="GC148" s="1146"/>
      <c r="GD148" s="1149"/>
      <c r="GE148" s="1146"/>
      <c r="GF148" s="1146"/>
      <c r="GG148" s="1146"/>
      <c r="GH148" s="1156"/>
      <c r="GI148" s="1156"/>
      <c r="GJ148" s="1159"/>
      <c r="GK148" s="1156"/>
      <c r="GL148" s="1156">
        <v>0</v>
      </c>
      <c r="GM148" s="1156"/>
      <c r="GN148" s="1156"/>
      <c r="GO148" s="1156">
        <f>GP148-GL148</f>
        <v>50</v>
      </c>
      <c r="GP148" s="1156">
        <v>50</v>
      </c>
      <c r="GQ148" s="1156"/>
      <c r="GR148" s="1146">
        <f>GS148-GP148</f>
        <v>-50</v>
      </c>
      <c r="GS148" s="1146">
        <v>0</v>
      </c>
      <c r="GT148" s="1146">
        <f>GU148-GR148</f>
        <v>0</v>
      </c>
      <c r="GU148" s="1146">
        <f>GV148-GP148</f>
        <v>-50</v>
      </c>
      <c r="GV148" s="1149">
        <v>0</v>
      </c>
      <c r="GW148" s="1146"/>
      <c r="GX148" s="1156"/>
      <c r="GY148" s="1156"/>
      <c r="GZ148" s="1156"/>
      <c r="HA148" s="1159"/>
      <c r="HB148" s="1156"/>
      <c r="HC148" s="1156"/>
      <c r="HD148" s="1156"/>
      <c r="HE148" s="1156"/>
      <c r="HF148" s="1156"/>
      <c r="HG148" s="1156"/>
      <c r="HH148" s="1156"/>
      <c r="HI148" s="1156"/>
      <c r="HJ148" s="1156"/>
      <c r="HK148" s="1156"/>
      <c r="HL148" s="1156"/>
      <c r="HM148" s="1156"/>
      <c r="HN148" s="1146"/>
      <c r="HO148" s="1146"/>
      <c r="HP148" s="1146"/>
      <c r="HQ148" s="1146"/>
      <c r="HR148" s="1146"/>
      <c r="HS148" s="1146"/>
      <c r="HT148" s="1146"/>
      <c r="HU148" s="1146"/>
      <c r="HV148" s="1146"/>
      <c r="HW148" s="1156"/>
      <c r="HX148" s="1156"/>
      <c r="HY148" s="1156"/>
      <c r="HZ148" s="1146"/>
      <c r="IA148" s="1156"/>
      <c r="IB148" s="1156"/>
      <c r="IC148" s="1159"/>
      <c r="ID148" s="1156"/>
      <c r="IE148" s="1160"/>
      <c r="IF148" s="1156"/>
      <c r="IG148" s="1156"/>
      <c r="IH148" s="1156"/>
      <c r="II148" s="1156"/>
      <c r="IJ148" s="1156"/>
      <c r="IK148" s="1156"/>
      <c r="IL148" s="1156"/>
      <c r="IM148" s="1156"/>
      <c r="IN148" s="1156"/>
      <c r="IO148" s="1156"/>
      <c r="IP148" s="1157"/>
      <c r="IQ148" s="1156"/>
      <c r="IR148" s="1157"/>
      <c r="IS148" s="1291"/>
      <c r="IT148" s="1156"/>
      <c r="IU148" s="1156"/>
      <c r="IV148" s="1156"/>
      <c r="IW148" s="1156"/>
      <c r="IX148" s="1156"/>
      <c r="IY148" s="1156"/>
      <c r="IZ148" s="1156"/>
      <c r="JA148" s="1156"/>
      <c r="JB148" s="1156"/>
      <c r="JC148" s="1156"/>
      <c r="JD148" s="1156"/>
      <c r="JE148" s="1156"/>
      <c r="JF148" s="1156"/>
      <c r="JG148" s="1156"/>
      <c r="JH148" s="1157"/>
      <c r="JI148" s="1291"/>
      <c r="JJ148" s="1160"/>
      <c r="JK148" s="1156"/>
      <c r="JL148" s="1156"/>
      <c r="JM148" s="1156"/>
      <c r="JN148" s="1156"/>
      <c r="JO148" s="1156"/>
      <c r="JP148" s="1156"/>
      <c r="JQ148" s="1156"/>
      <c r="JR148" s="1156"/>
      <c r="JS148" s="1156"/>
      <c r="JT148" s="1156"/>
      <c r="JU148" s="1156"/>
      <c r="JV148" s="1156"/>
      <c r="JW148" s="1156"/>
      <c r="JX148" s="1156"/>
      <c r="JY148" s="1156"/>
      <c r="JZ148" s="1145"/>
      <c r="KA148" s="533"/>
      <c r="KB148" s="1156"/>
      <c r="KC148" s="1156"/>
      <c r="KD148" s="1156"/>
      <c r="KE148" s="1156"/>
      <c r="KF148" s="1156"/>
      <c r="KG148" s="1156"/>
      <c r="KH148" s="1156"/>
      <c r="KI148" s="533"/>
      <c r="KJ148" s="1145"/>
      <c r="KK148" s="1156"/>
      <c r="KL148" s="1156"/>
      <c r="KM148" s="1156"/>
      <c r="KN148" s="1145"/>
      <c r="KO148" s="1156"/>
      <c r="KP148" s="1156"/>
      <c r="KQ148" s="1157"/>
      <c r="KR148" s="1156"/>
      <c r="KS148" s="1157"/>
      <c r="KT148" s="1099"/>
      <c r="KU148" s="1156"/>
      <c r="KV148" s="1099"/>
      <c r="KW148" s="1157"/>
      <c r="KX148" s="1099"/>
      <c r="KY148" s="1099"/>
      <c r="KZ148" s="1157"/>
      <c r="LA148" s="1156"/>
      <c r="LB148" s="1099"/>
      <c r="LC148" s="1157">
        <v>-100</v>
      </c>
      <c r="LD148" s="1157"/>
      <c r="LE148" s="1161">
        <f>LF148-GR148</f>
        <v>100</v>
      </c>
      <c r="LF148" s="1161">
        <f>LG148-GP148</f>
        <v>50</v>
      </c>
      <c r="LG148" s="1162">
        <v>100</v>
      </c>
    </row>
    <row r="149" spans="1:319" s="532" customFormat="1">
      <c r="A149" s="520"/>
      <c r="B149" s="796" t="s">
        <v>1090</v>
      </c>
      <c r="C149" s="522" t="s">
        <v>428</v>
      </c>
      <c r="D149" s="523"/>
      <c r="E149" s="520"/>
      <c r="F149" s="520"/>
      <c r="G149" s="522"/>
      <c r="H149" s="520"/>
      <c r="I149" s="520"/>
      <c r="J149" s="522"/>
      <c r="K149" s="524"/>
      <c r="L149" s="524"/>
      <c r="M149" s="524"/>
      <c r="N149" s="524"/>
      <c r="O149" s="524"/>
      <c r="P149" s="524"/>
      <c r="Q149" s="524"/>
      <c r="R149" s="524"/>
      <c r="S149" s="525"/>
      <c r="T149" s="524">
        <v>370</v>
      </c>
      <c r="U149" s="524">
        <f>+Y149-T149</f>
        <v>355</v>
      </c>
      <c r="V149" s="524">
        <f>+X149-Y149</f>
        <v>194</v>
      </c>
      <c r="W149" s="524">
        <f>+Z149-V149</f>
        <v>-37</v>
      </c>
      <c r="X149" s="524">
        <v>919</v>
      </c>
      <c r="Y149" s="524">
        <v>725</v>
      </c>
      <c r="Z149" s="524">
        <f>+AA149-Y149</f>
        <v>157</v>
      </c>
      <c r="AA149" s="524">
        <v>882</v>
      </c>
      <c r="AB149" s="525"/>
      <c r="AC149" s="524">
        <v>209</v>
      </c>
      <c r="AD149" s="524">
        <f t="shared" si="418"/>
        <v>145</v>
      </c>
      <c r="AE149" s="524">
        <f t="shared" si="419"/>
        <v>152</v>
      </c>
      <c r="AF149" s="524">
        <f t="shared" si="420"/>
        <v>44</v>
      </c>
      <c r="AG149" s="524">
        <v>506</v>
      </c>
      <c r="AH149" s="524">
        <v>354</v>
      </c>
      <c r="AI149" s="524">
        <f t="shared" si="378"/>
        <v>196</v>
      </c>
      <c r="AJ149" s="524">
        <v>550</v>
      </c>
      <c r="AK149" s="523"/>
      <c r="AL149" s="524">
        <v>359</v>
      </c>
      <c r="AM149" s="524">
        <f t="shared" si="421"/>
        <v>290</v>
      </c>
      <c r="AN149" s="524">
        <f t="shared" si="422"/>
        <v>403</v>
      </c>
      <c r="AO149" s="524">
        <f t="shared" si="423"/>
        <v>100</v>
      </c>
      <c r="AP149" s="524">
        <v>1052</v>
      </c>
      <c r="AQ149" s="524">
        <v>649</v>
      </c>
      <c r="AR149" s="524">
        <f t="shared" si="379"/>
        <v>503</v>
      </c>
      <c r="AS149" s="524">
        <v>1152</v>
      </c>
      <c r="AT149" s="523"/>
      <c r="AU149" s="524">
        <v>388</v>
      </c>
      <c r="AV149" s="524">
        <f t="shared" si="380"/>
        <v>338</v>
      </c>
      <c r="AW149" s="524">
        <f t="shared" si="361"/>
        <v>276</v>
      </c>
      <c r="AX149" s="524">
        <v>274</v>
      </c>
      <c r="AY149" s="524">
        <f t="shared" si="381"/>
        <v>144</v>
      </c>
      <c r="AZ149" s="524">
        <v>1000</v>
      </c>
      <c r="BA149" s="524">
        <v>1002</v>
      </c>
      <c r="BB149" s="526">
        <v>726</v>
      </c>
      <c r="BC149" s="526">
        <f t="shared" si="382"/>
        <v>420</v>
      </c>
      <c r="BD149" s="524">
        <v>1200</v>
      </c>
      <c r="BE149" s="524">
        <v>1146</v>
      </c>
      <c r="BF149" s="523"/>
      <c r="BG149" s="524">
        <f>+BH149-AW149</f>
        <v>-1002</v>
      </c>
      <c r="BH149" s="524">
        <f t="shared" si="383"/>
        <v>-726</v>
      </c>
      <c r="BI149" s="524"/>
      <c r="BJ149" s="523"/>
      <c r="BK149" s="520">
        <v>600</v>
      </c>
      <c r="BL149" s="520">
        <v>680</v>
      </c>
      <c r="BM149" s="520">
        <v>1280</v>
      </c>
      <c r="BN149" s="520"/>
      <c r="BO149" s="523"/>
      <c r="BP149" s="524">
        <v>409</v>
      </c>
      <c r="BQ149" s="524">
        <v>300</v>
      </c>
      <c r="BR149" s="524">
        <f t="shared" si="424"/>
        <v>353</v>
      </c>
      <c r="BS149" s="524">
        <v>250</v>
      </c>
      <c r="BT149" s="526">
        <f t="shared" si="425"/>
        <v>381</v>
      </c>
      <c r="BU149" s="526">
        <v>157</v>
      </c>
      <c r="BV149" s="524">
        <f t="shared" si="406"/>
        <v>81</v>
      </c>
      <c r="BW149" s="524">
        <v>1012</v>
      </c>
      <c r="BX149" s="524">
        <v>1143</v>
      </c>
      <c r="BY149" s="524">
        <v>762</v>
      </c>
      <c r="BZ149" s="524">
        <v>709</v>
      </c>
      <c r="CA149" s="524">
        <v>859</v>
      </c>
      <c r="CB149" s="524">
        <v>538</v>
      </c>
      <c r="CC149" s="524">
        <f t="shared" si="407"/>
        <v>462</v>
      </c>
      <c r="CD149" s="524">
        <v>1300</v>
      </c>
      <c r="CE149" s="524">
        <v>1224</v>
      </c>
      <c r="CF149" s="523"/>
      <c r="CG149" s="527">
        <v>179</v>
      </c>
      <c r="CH149" s="520">
        <v>400</v>
      </c>
      <c r="CI149" s="520">
        <v>400</v>
      </c>
      <c r="CJ149" s="520">
        <f t="shared" si="426"/>
        <v>350</v>
      </c>
      <c r="CK149" s="520">
        <v>450</v>
      </c>
      <c r="CL149" s="528">
        <f t="shared" si="427"/>
        <v>438</v>
      </c>
      <c r="CM149" s="520">
        <v>400</v>
      </c>
      <c r="CN149" s="520">
        <v>233</v>
      </c>
      <c r="CO149" s="520">
        <f t="shared" si="428"/>
        <v>244</v>
      </c>
      <c r="CP149" s="542">
        <v>967</v>
      </c>
      <c r="CQ149" s="542">
        <v>929</v>
      </c>
      <c r="CR149" s="520">
        <v>529</v>
      </c>
      <c r="CS149" s="520">
        <v>629</v>
      </c>
      <c r="CT149" s="520">
        <v>671</v>
      </c>
      <c r="CU149" s="520">
        <f t="shared" si="363"/>
        <v>682</v>
      </c>
      <c r="CV149" s="542">
        <v>1200</v>
      </c>
      <c r="CW149" s="992">
        <v>1211</v>
      </c>
      <c r="CX149" s="542"/>
      <c r="CY149" s="542">
        <v>429</v>
      </c>
      <c r="CZ149" s="542">
        <f t="shared" si="364"/>
        <v>523</v>
      </c>
      <c r="DA149" s="542" t="e">
        <f>+#REF!+CY149</f>
        <v>#REF!</v>
      </c>
      <c r="DB149" s="542">
        <v>952</v>
      </c>
      <c r="DC149" s="542">
        <f t="shared" si="365"/>
        <v>491</v>
      </c>
      <c r="DD149" s="542">
        <v>550</v>
      </c>
      <c r="DE149" s="542">
        <f t="shared" si="299"/>
        <v>212</v>
      </c>
      <c r="DF149" s="542">
        <f>DJ149-DC149</f>
        <v>157</v>
      </c>
      <c r="DG149" s="542">
        <v>1443</v>
      </c>
      <c r="DH149" s="542">
        <f t="shared" si="429"/>
        <v>1502</v>
      </c>
      <c r="DI149" s="542">
        <f t="shared" si="224"/>
        <v>703</v>
      </c>
      <c r="DJ149" s="542">
        <f>DL149-DB149</f>
        <v>648</v>
      </c>
      <c r="DK149" s="542">
        <v>1655</v>
      </c>
      <c r="DL149" s="529">
        <v>1600</v>
      </c>
      <c r="DM149" s="529"/>
      <c r="DN149" s="524"/>
      <c r="DO149" s="524"/>
      <c r="DP149" s="530"/>
      <c r="DQ149" s="530">
        <f t="shared" si="402"/>
        <v>57</v>
      </c>
      <c r="DR149" s="530">
        <f t="shared" si="346"/>
        <v>548</v>
      </c>
      <c r="DS149" s="531">
        <v>1500</v>
      </c>
      <c r="DT149" s="529"/>
      <c r="DU149" s="524"/>
      <c r="DV149" s="524">
        <f t="shared" si="408"/>
        <v>371</v>
      </c>
      <c r="DW149" s="528">
        <v>800</v>
      </c>
      <c r="DX149" s="530">
        <f t="shared" si="409"/>
        <v>448</v>
      </c>
      <c r="DY149" s="530">
        <v>1400</v>
      </c>
      <c r="DZ149" s="523"/>
      <c r="EB149" s="528">
        <f t="shared" si="410"/>
        <v>233</v>
      </c>
      <c r="EC149" s="530">
        <f t="shared" si="411"/>
        <v>671</v>
      </c>
      <c r="ED149" s="529">
        <v>1200</v>
      </c>
      <c r="EE149" s="523"/>
      <c r="EF149" s="520"/>
      <c r="EG149" s="527">
        <v>497</v>
      </c>
      <c r="EH149" s="520">
        <v>300</v>
      </c>
      <c r="EI149" s="520">
        <f t="shared" si="386"/>
        <v>498</v>
      </c>
      <c r="EJ149" s="520">
        <v>500</v>
      </c>
      <c r="EK149" s="520">
        <v>995</v>
      </c>
      <c r="EL149" s="520">
        <f>+EG149+EJ149</f>
        <v>997</v>
      </c>
      <c r="EM149" s="520">
        <f t="shared" si="412"/>
        <v>424</v>
      </c>
      <c r="EN149" s="520">
        <v>600</v>
      </c>
      <c r="EO149" s="520">
        <v>1419</v>
      </c>
      <c r="EP149" s="520">
        <f>+EN149+EK149</f>
        <v>1595</v>
      </c>
      <c r="EQ149" s="520">
        <f t="shared" si="413"/>
        <v>268</v>
      </c>
      <c r="ER149" s="520"/>
      <c r="ES149" s="520">
        <f t="shared" si="430"/>
        <v>692</v>
      </c>
      <c r="ET149" s="520"/>
      <c r="EU149" s="522">
        <v>1687</v>
      </c>
      <c r="EV149" s="533"/>
      <c r="EW149" s="520">
        <v>500</v>
      </c>
      <c r="EX149" s="520">
        <v>602</v>
      </c>
      <c r="EY149" s="520">
        <v>498</v>
      </c>
      <c r="EZ149" s="520">
        <f t="shared" si="388"/>
        <v>586</v>
      </c>
      <c r="FA149" s="520">
        <v>1100</v>
      </c>
      <c r="FB149" s="520">
        <v>1188</v>
      </c>
      <c r="FC149" s="520">
        <f t="shared" si="414"/>
        <v>531</v>
      </c>
      <c r="FD149" s="1036">
        <v>312</v>
      </c>
      <c r="FE149" s="520">
        <v>1719</v>
      </c>
      <c r="FF149" s="757">
        <v>1500</v>
      </c>
      <c r="FG149" s="757">
        <f t="shared" si="431"/>
        <v>315</v>
      </c>
      <c r="FH149" s="520">
        <f>+FL149-FE149</f>
        <v>315</v>
      </c>
      <c r="FI149" s="520">
        <f>FK149-FB149</f>
        <v>846</v>
      </c>
      <c r="FJ149" s="520">
        <f>+FL149-FB149</f>
        <v>846</v>
      </c>
      <c r="FK149" s="522">
        <v>2034</v>
      </c>
      <c r="FL149" s="529">
        <f>Segments!N42</f>
        <v>2034</v>
      </c>
      <c r="FM149" s="524">
        <f t="shared" si="368"/>
        <v>398</v>
      </c>
      <c r="FN149" s="530">
        <v>1000</v>
      </c>
      <c r="FO149" s="530">
        <f>+FQ149-FE149</f>
        <v>481</v>
      </c>
      <c r="FP149" s="530">
        <f t="shared" si="369"/>
        <v>1012</v>
      </c>
      <c r="FQ149" s="531">
        <v>2200</v>
      </c>
      <c r="FR149" s="531"/>
      <c r="FS149" s="520">
        <v>608</v>
      </c>
      <c r="FT149" s="530">
        <v>600</v>
      </c>
      <c r="FU149" s="530">
        <v>600</v>
      </c>
      <c r="FV149" s="520">
        <f>+FY149-FS149</f>
        <v>474</v>
      </c>
      <c r="FW149" s="530">
        <f>FU149+FS149</f>
        <v>1208</v>
      </c>
      <c r="FX149" s="530"/>
      <c r="FY149" s="520">
        <v>1082</v>
      </c>
      <c r="FZ149" s="520">
        <f>+GA149-FY149</f>
        <v>608</v>
      </c>
      <c r="GA149" s="520">
        <v>1690</v>
      </c>
      <c r="GB149" s="520">
        <f>+GD149-GA149</f>
        <v>-81</v>
      </c>
      <c r="GC149" s="520">
        <f>+GD149-FY149</f>
        <v>527</v>
      </c>
      <c r="GD149" s="522">
        <v>1609</v>
      </c>
      <c r="GE149" s="520">
        <v>1500</v>
      </c>
      <c r="GF149" s="520">
        <v>400</v>
      </c>
      <c r="GG149" s="520">
        <f>GH149-FZ149</f>
        <v>-81</v>
      </c>
      <c r="GH149" s="530">
        <f>GI149-FY149</f>
        <v>527</v>
      </c>
      <c r="GI149" s="530">
        <f>Segments!O42</f>
        <v>1609</v>
      </c>
      <c r="GJ149" s="534"/>
      <c r="GK149" s="530">
        <v>600</v>
      </c>
      <c r="GL149" s="530">
        <v>337</v>
      </c>
      <c r="GM149" s="530">
        <v>300</v>
      </c>
      <c r="GN149" s="530">
        <f>GL149+GM149</f>
        <v>637</v>
      </c>
      <c r="GO149" s="530">
        <f>+GP149-GL149</f>
        <v>328</v>
      </c>
      <c r="GP149" s="530">
        <v>665</v>
      </c>
      <c r="GQ149" s="530">
        <v>500</v>
      </c>
      <c r="GR149" s="520">
        <f>+GS149-GP149</f>
        <v>443</v>
      </c>
      <c r="GS149" s="520">
        <v>1108</v>
      </c>
      <c r="GT149" s="520">
        <f>+GU149-GR149</f>
        <v>154</v>
      </c>
      <c r="GU149" s="520">
        <f>+GV149-GP149</f>
        <v>597</v>
      </c>
      <c r="GV149" s="522">
        <v>1262</v>
      </c>
      <c r="GW149" s="520">
        <v>1300</v>
      </c>
      <c r="GX149" s="530">
        <f>GY149-GR149</f>
        <v>154</v>
      </c>
      <c r="GY149" s="530">
        <f>GZ149-GP149</f>
        <v>597</v>
      </c>
      <c r="GZ149" s="530">
        <f>Segments!P42</f>
        <v>1262</v>
      </c>
      <c r="HA149" s="534"/>
      <c r="HB149" s="530"/>
      <c r="HC149" s="530"/>
      <c r="HD149" s="530">
        <v>273</v>
      </c>
      <c r="HE149" s="530">
        <v>273</v>
      </c>
      <c r="HF149" s="530">
        <f>+HI149-HD149</f>
        <v>367</v>
      </c>
      <c r="HG149" s="530">
        <f>+HL149-HE149</f>
        <v>367</v>
      </c>
      <c r="HH149" s="530">
        <f>HM149-HE149</f>
        <v>367</v>
      </c>
      <c r="HI149" s="530">
        <v>640</v>
      </c>
      <c r="HJ149" s="530">
        <v>300</v>
      </c>
      <c r="HK149" s="530">
        <f>HD149+HI149</f>
        <v>913</v>
      </c>
      <c r="HL149" s="530">
        <v>640</v>
      </c>
      <c r="HM149" s="530">
        <v>640</v>
      </c>
      <c r="HN149" s="520">
        <f>+HP149-HI149</f>
        <v>467</v>
      </c>
      <c r="HO149" s="520">
        <f>+HQ149-HM149</f>
        <v>467</v>
      </c>
      <c r="HP149" s="520">
        <v>1107</v>
      </c>
      <c r="HQ149" s="535">
        <v>1107</v>
      </c>
      <c r="HR149" s="520">
        <f>+HT149-HN149</f>
        <v>132</v>
      </c>
      <c r="HS149" s="520">
        <f>HU149-HO149</f>
        <v>132</v>
      </c>
      <c r="HT149" s="520">
        <f>+HV149-HI149</f>
        <v>599</v>
      </c>
      <c r="HU149" s="520">
        <f>HZ149-HM149</f>
        <v>599</v>
      </c>
      <c r="HV149" s="520">
        <v>1239</v>
      </c>
      <c r="HW149" s="530">
        <v>300</v>
      </c>
      <c r="HX149" s="530">
        <f>HY149-HN149</f>
        <v>132</v>
      </c>
      <c r="HY149" s="530">
        <f>IB149-HI149</f>
        <v>599</v>
      </c>
      <c r="HZ149" s="520">
        <v>1239</v>
      </c>
      <c r="IA149" s="530">
        <v>1300</v>
      </c>
      <c r="IB149" s="530">
        <f>Segments!Q42</f>
        <v>1239</v>
      </c>
      <c r="IC149" s="534"/>
      <c r="ID149" s="530">
        <v>300</v>
      </c>
      <c r="IE149" s="536">
        <v>694</v>
      </c>
      <c r="IF149" s="530">
        <f>IG149-IE149</f>
        <v>585</v>
      </c>
      <c r="IG149" s="537">
        <v>1279</v>
      </c>
      <c r="IH149" s="530">
        <f>+IJ149-IG149</f>
        <v>681</v>
      </c>
      <c r="II149" s="538">
        <v>800</v>
      </c>
      <c r="IJ149" s="538">
        <v>1960</v>
      </c>
      <c r="IK149" s="530">
        <f>+IP149-IL149</f>
        <v>1960</v>
      </c>
      <c r="IL149" s="981">
        <f>IN149-IH149</f>
        <v>382</v>
      </c>
      <c r="IM149" s="981">
        <f>+IO149-IH149</f>
        <v>382</v>
      </c>
      <c r="IN149" s="530">
        <f>IP149-IG149</f>
        <v>1063</v>
      </c>
      <c r="IO149" s="530">
        <f>+IR149-IG149</f>
        <v>1063</v>
      </c>
      <c r="IP149" s="531">
        <f>Segments!S42</f>
        <v>2342</v>
      </c>
      <c r="IQ149" s="530">
        <v>2200</v>
      </c>
      <c r="IR149" s="539">
        <v>2342</v>
      </c>
      <c r="IS149" s="1283"/>
      <c r="IT149" s="540">
        <v>600</v>
      </c>
      <c r="IU149" s="540">
        <v>700</v>
      </c>
      <c r="IV149" s="540">
        <f>IX149-IU149</f>
        <v>504</v>
      </c>
      <c r="IW149" s="540">
        <v>500</v>
      </c>
      <c r="IX149" s="981">
        <v>1204</v>
      </c>
      <c r="IY149" s="981">
        <v>1200</v>
      </c>
      <c r="IZ149" s="991">
        <f>JA149-IX149</f>
        <v>558</v>
      </c>
      <c r="JA149" s="981">
        <v>1762</v>
      </c>
      <c r="JB149" s="981">
        <f>+JC149-IZ149</f>
        <v>89</v>
      </c>
      <c r="JC149" s="981">
        <f>+JD149-IX149</f>
        <v>647</v>
      </c>
      <c r="JD149" s="981">
        <v>1851</v>
      </c>
      <c r="JE149" s="981">
        <v>1704</v>
      </c>
      <c r="JF149" s="981">
        <f>JG149-IZ149</f>
        <v>89</v>
      </c>
      <c r="JG149" s="981">
        <f>JH149-IX149</f>
        <v>647</v>
      </c>
      <c r="JH149" s="531">
        <f>Segments!T42</f>
        <v>1851</v>
      </c>
      <c r="JI149" s="1283"/>
      <c r="JJ149" s="1669">
        <f>+ROUND(JJ57*JJ150,-2)</f>
        <v>300</v>
      </c>
      <c r="JK149" s="1138">
        <f>+ROUND(JK57*JK150,-2)</f>
        <v>400</v>
      </c>
      <c r="JL149" s="1138">
        <v>648</v>
      </c>
      <c r="JM149" s="1138">
        <f t="shared" ref="JM149" si="433">+JP149-JL149</f>
        <v>622</v>
      </c>
      <c r="JN149" s="1138">
        <f t="shared" ref="JN149" si="434">JS149-JP149</f>
        <v>681</v>
      </c>
      <c r="JO149" s="1138"/>
      <c r="JP149" s="1138">
        <v>1270</v>
      </c>
      <c r="JQ149" s="1138"/>
      <c r="JR149" s="1138"/>
      <c r="JS149" s="1138">
        <v>1951</v>
      </c>
      <c r="JT149" s="1138">
        <f>+ROUND(JT57*JT150,-2)</f>
        <v>400</v>
      </c>
      <c r="JU149" s="981">
        <f>+JW149-JN149</f>
        <v>149</v>
      </c>
      <c r="JV149" s="1138">
        <f>+JL149+JK149</f>
        <v>1048</v>
      </c>
      <c r="JW149" s="1138">
        <f>+JX149-JP149</f>
        <v>830</v>
      </c>
      <c r="JX149" s="1138">
        <f>+Driver!AL233</f>
        <v>2100</v>
      </c>
      <c r="JY149" s="1138">
        <f>+JP149+JT149</f>
        <v>1670</v>
      </c>
      <c r="JZ149" s="899">
        <f>+JX149-KG149</f>
        <v>300</v>
      </c>
      <c r="KA149" s="1271"/>
      <c r="KB149" s="540">
        <f>+KC149-JL149</f>
        <v>352</v>
      </c>
      <c r="KC149" s="540">
        <v>1000</v>
      </c>
      <c r="KD149" s="540">
        <f>+KH149-KC149</f>
        <v>800</v>
      </c>
      <c r="KE149" s="540">
        <f>+KG149-JP149</f>
        <v>530</v>
      </c>
      <c r="KF149" s="540"/>
      <c r="KG149" s="540">
        <v>1800</v>
      </c>
      <c r="KH149" s="540">
        <v>1800</v>
      </c>
      <c r="KI149" s="1271"/>
      <c r="KJ149" s="899"/>
      <c r="KK149" s="530"/>
      <c r="KL149" s="530">
        <f>KM149-IX149</f>
        <v>896</v>
      </c>
      <c r="KM149" s="540">
        <v>2100</v>
      </c>
      <c r="KN149" s="899"/>
      <c r="KO149" s="540">
        <v>1200</v>
      </c>
      <c r="KP149" s="530">
        <v>900</v>
      </c>
      <c r="KQ149" s="531">
        <v>2100</v>
      </c>
      <c r="KR149" s="530">
        <v>921</v>
      </c>
      <c r="KS149" s="531">
        <v>2200</v>
      </c>
      <c r="KT149" s="530">
        <f>KU149-IE149</f>
        <v>306</v>
      </c>
      <c r="KU149" s="530">
        <v>1000</v>
      </c>
      <c r="KV149" s="530">
        <f>KW149-KU149</f>
        <v>900</v>
      </c>
      <c r="KW149" s="531">
        <v>1900</v>
      </c>
      <c r="KX149" s="530">
        <f>KY149-HN149</f>
        <v>393</v>
      </c>
      <c r="KY149" s="530">
        <f>KZ149-HI149</f>
        <v>860</v>
      </c>
      <c r="KZ149" s="531">
        <v>1500</v>
      </c>
      <c r="LA149" s="530">
        <v>800</v>
      </c>
      <c r="LB149" s="530">
        <f>LC149-LA149</f>
        <v>700</v>
      </c>
      <c r="LC149" s="531">
        <v>1500</v>
      </c>
      <c r="LD149" s="531"/>
      <c r="LE149" s="530">
        <f>LF149-GR149</f>
        <v>92</v>
      </c>
      <c r="LF149" s="530">
        <f>LG149-GP149</f>
        <v>535</v>
      </c>
      <c r="LG149" s="531">
        <v>1200</v>
      </c>
    </row>
    <row r="150" spans="1:319" s="1699" customFormat="1" ht="12">
      <c r="A150" s="712"/>
      <c r="B150" s="863" t="s">
        <v>990</v>
      </c>
      <c r="C150" s="1693" t="s">
        <v>944</v>
      </c>
      <c r="D150" s="1020"/>
      <c r="E150" s="712"/>
      <c r="F150" s="712"/>
      <c r="G150" s="1693"/>
      <c r="H150" s="712"/>
      <c r="I150" s="712"/>
      <c r="J150" s="1693"/>
      <c r="K150" s="709"/>
      <c r="L150" s="709"/>
      <c r="M150" s="709"/>
      <c r="N150" s="709"/>
      <c r="O150" s="709"/>
      <c r="P150" s="709"/>
      <c r="Q150" s="709"/>
      <c r="R150" s="709"/>
      <c r="S150" s="1694"/>
      <c r="T150" s="709"/>
      <c r="U150" s="709"/>
      <c r="V150" s="709"/>
      <c r="W150" s="709"/>
      <c r="X150" s="709"/>
      <c r="Y150" s="709"/>
      <c r="Z150" s="709"/>
      <c r="AA150" s="709"/>
      <c r="AB150" s="1694"/>
      <c r="AC150" s="709"/>
      <c r="AD150" s="709"/>
      <c r="AE150" s="709"/>
      <c r="AF150" s="709"/>
      <c r="AG150" s="709"/>
      <c r="AH150" s="709"/>
      <c r="AI150" s="709"/>
      <c r="AJ150" s="709"/>
      <c r="AK150" s="1020"/>
      <c r="AL150" s="709"/>
      <c r="AM150" s="709"/>
      <c r="AN150" s="709"/>
      <c r="AO150" s="709"/>
      <c r="AP150" s="709"/>
      <c r="AQ150" s="709"/>
      <c r="AR150" s="709"/>
      <c r="AS150" s="709"/>
      <c r="AT150" s="1020"/>
      <c r="AU150" s="709"/>
      <c r="AV150" s="709"/>
      <c r="AW150" s="709"/>
      <c r="AX150" s="709"/>
      <c r="AY150" s="709"/>
      <c r="AZ150" s="709"/>
      <c r="BA150" s="709"/>
      <c r="BB150" s="1012"/>
      <c r="BC150" s="1012"/>
      <c r="BD150" s="709"/>
      <c r="BE150" s="709"/>
      <c r="BF150" s="1020"/>
      <c r="BG150" s="709"/>
      <c r="BH150" s="709"/>
      <c r="BI150" s="709"/>
      <c r="BJ150" s="1020"/>
      <c r="BK150" s="712"/>
      <c r="BL150" s="712"/>
      <c r="BM150" s="712"/>
      <c r="BN150" s="712"/>
      <c r="BO150" s="1020"/>
      <c r="BP150" s="709"/>
      <c r="BQ150" s="709"/>
      <c r="BR150" s="709"/>
      <c r="BS150" s="709"/>
      <c r="BT150" s="1012"/>
      <c r="BU150" s="1012"/>
      <c r="BV150" s="709"/>
      <c r="BW150" s="709"/>
      <c r="BX150" s="709"/>
      <c r="BY150" s="709"/>
      <c r="BZ150" s="709"/>
      <c r="CA150" s="709"/>
      <c r="CB150" s="709"/>
      <c r="CC150" s="709"/>
      <c r="CD150" s="709"/>
      <c r="CE150" s="709"/>
      <c r="CF150" s="1020"/>
      <c r="CG150" s="711"/>
      <c r="CH150" s="712"/>
      <c r="CI150" s="712"/>
      <c r="CJ150" s="712"/>
      <c r="CK150" s="712"/>
      <c r="CL150" s="1765"/>
      <c r="CM150" s="712"/>
      <c r="CN150" s="712"/>
      <c r="CO150" s="712"/>
      <c r="CP150" s="729"/>
      <c r="CQ150" s="729"/>
      <c r="CR150" s="712"/>
      <c r="CS150" s="712"/>
      <c r="CT150" s="712"/>
      <c r="CU150" s="712"/>
      <c r="CV150" s="729"/>
      <c r="CW150" s="1768"/>
      <c r="CX150" s="729"/>
      <c r="CY150" s="729"/>
      <c r="CZ150" s="729"/>
      <c r="DA150" s="729"/>
      <c r="DB150" s="729"/>
      <c r="DC150" s="729"/>
      <c r="DD150" s="729"/>
      <c r="DE150" s="729"/>
      <c r="DF150" s="729"/>
      <c r="DG150" s="729"/>
      <c r="DH150" s="729"/>
      <c r="DI150" s="729"/>
      <c r="DJ150" s="729"/>
      <c r="DK150" s="729"/>
      <c r="DL150" s="1016"/>
      <c r="DM150" s="1016"/>
      <c r="DN150" s="709"/>
      <c r="DO150" s="709"/>
      <c r="DP150" s="1017"/>
      <c r="DQ150" s="1017"/>
      <c r="DR150" s="1017"/>
      <c r="DS150" s="1018"/>
      <c r="DT150" s="1016"/>
      <c r="DU150" s="709"/>
      <c r="DV150" s="709"/>
      <c r="DW150" s="1765"/>
      <c r="DX150" s="1017"/>
      <c r="DY150" s="1017"/>
      <c r="DZ150" s="1020"/>
      <c r="EB150" s="1765"/>
      <c r="EC150" s="1017"/>
      <c r="ED150" s="1016"/>
      <c r="EE150" s="1020"/>
      <c r="EF150" s="712"/>
      <c r="EG150" s="727">
        <f t="shared" ref="EG150:EU150" si="435">EG149/EG57</f>
        <v>0.11746632001890805</v>
      </c>
      <c r="EH150" s="666">
        <f t="shared" si="435"/>
        <v>6.9767441860465115E-2</v>
      </c>
      <c r="EI150" s="666">
        <f t="shared" si="435"/>
        <v>0.11249152925231534</v>
      </c>
      <c r="EJ150" s="666">
        <f t="shared" si="435"/>
        <v>0.1111111111111111</v>
      </c>
      <c r="EK150" s="666">
        <f t="shared" si="435"/>
        <v>0.11492261492261492</v>
      </c>
      <c r="EL150" s="666">
        <f t="shared" si="435"/>
        <v>0.11419081433970908</v>
      </c>
      <c r="EM150" s="666">
        <f t="shared" si="435"/>
        <v>9.7650852141870109E-2</v>
      </c>
      <c r="EN150" s="666">
        <f t="shared" si="435"/>
        <v>0.13043478260869565</v>
      </c>
      <c r="EO150" s="666">
        <f t="shared" si="435"/>
        <v>0.10915384615384616</v>
      </c>
      <c r="EP150" s="666">
        <f t="shared" si="435"/>
        <v>0.12030472167747774</v>
      </c>
      <c r="EQ150" s="666">
        <f t="shared" si="435"/>
        <v>6.9179143004646365E-2</v>
      </c>
      <c r="ER150" s="666" t="e">
        <f t="shared" si="435"/>
        <v>#DIV/0!</v>
      </c>
      <c r="ES150" s="666">
        <f t="shared" si="435"/>
        <v>8.4225900681596882E-2</v>
      </c>
      <c r="ET150" s="666" t="e">
        <f t="shared" si="435"/>
        <v>#DIV/0!</v>
      </c>
      <c r="EU150" s="666">
        <f t="shared" si="435"/>
        <v>9.9976294891549133E-2</v>
      </c>
      <c r="EV150" s="1018"/>
      <c r="EW150" s="712"/>
      <c r="EX150" s="727">
        <f>EX149/EX57</f>
        <v>0.1360144600090375</v>
      </c>
      <c r="EY150" s="712"/>
      <c r="EZ150" s="666">
        <f>EZ149/EZ57</f>
        <v>0.12686728729162156</v>
      </c>
      <c r="FA150" s="712"/>
      <c r="FB150" s="666">
        <f>FB149/FB57</f>
        <v>0.13134328358208955</v>
      </c>
      <c r="FC150" s="666">
        <f>FC149/FC57</f>
        <v>0.11662640017570833</v>
      </c>
      <c r="FD150" s="1056"/>
      <c r="FE150" s="666">
        <f>FE149/FE57</f>
        <v>0.12641564936020003</v>
      </c>
      <c r="FF150" s="1056"/>
      <c r="FG150" s="666">
        <f>FG149/FG57</f>
        <v>7.7624445539674722E-2</v>
      </c>
      <c r="FH150" s="712"/>
      <c r="FI150" s="666">
        <f>FI149/FI57</f>
        <v>9.8246428986180467E-2</v>
      </c>
      <c r="FJ150" s="666">
        <f>FJ149/FJ57</f>
        <v>9.8246428986180467E-2</v>
      </c>
      <c r="FK150" s="1700">
        <f>FK149/FK57</f>
        <v>0.11520163117353874</v>
      </c>
      <c r="FL150" s="666">
        <f>FL149/FL57</f>
        <v>0.11520163117353874</v>
      </c>
      <c r="FM150" s="709"/>
      <c r="FN150" s="1017"/>
      <c r="FO150" s="666"/>
      <c r="FP150" s="727">
        <f>FP149/FP57</f>
        <v>0.11969248965109403</v>
      </c>
      <c r="FQ150" s="666">
        <f>FQ149/FQ57</f>
        <v>0.12571428571428572</v>
      </c>
      <c r="FR150" s="1018"/>
      <c r="FS150" s="666">
        <f>FS149/FS57</f>
        <v>0.1326931470973374</v>
      </c>
      <c r="FT150" s="1017"/>
      <c r="FU150" s="1017"/>
      <c r="FV150" s="666">
        <f>FV149/FV57</f>
        <v>0.10014789773927742</v>
      </c>
      <c r="FW150" s="1017"/>
      <c r="FX150" s="1017"/>
      <c r="FY150" s="666">
        <f t="shared" ref="FY150:GD150" si="436">FY149/FY57</f>
        <v>0.11615673644659152</v>
      </c>
      <c r="FZ150" s="666">
        <f t="shared" si="436"/>
        <v>0.1270637408568443</v>
      </c>
      <c r="GA150" s="666">
        <f t="shared" si="436"/>
        <v>0.1198581560283688</v>
      </c>
      <c r="GB150" s="666">
        <f t="shared" si="436"/>
        <v>-1.8565207426082971E-2</v>
      </c>
      <c r="GC150" s="666">
        <f t="shared" si="436"/>
        <v>5.760822037603848E-2</v>
      </c>
      <c r="GD150" s="1700">
        <f t="shared" si="436"/>
        <v>8.7147267507988957E-2</v>
      </c>
      <c r="GE150" s="666"/>
      <c r="GF150" s="666"/>
      <c r="GG150" s="666"/>
      <c r="GH150" s="1017"/>
      <c r="GI150" s="1017"/>
      <c r="GJ150" s="1021"/>
      <c r="GK150" s="1769">
        <f t="shared" ref="GK150:GP150" si="437">GK149/GK57</f>
        <v>0.1276595744680851</v>
      </c>
      <c r="GL150" s="1769">
        <f t="shared" si="437"/>
        <v>6.713147410358565E-2</v>
      </c>
      <c r="GM150" s="1769">
        <f t="shared" si="437"/>
        <v>0.06</v>
      </c>
      <c r="GN150" s="1769">
        <f t="shared" si="437"/>
        <v>6.3572854291417166E-2</v>
      </c>
      <c r="GO150" s="1769">
        <f t="shared" si="437"/>
        <v>6.1758614196949724E-2</v>
      </c>
      <c r="GP150" s="1769">
        <f t="shared" si="437"/>
        <v>6.4369373729551829E-2</v>
      </c>
      <c r="GQ150" s="1769"/>
      <c r="GR150" s="666">
        <f>GR149/GR57</f>
        <v>8.2326705073406434E-2</v>
      </c>
      <c r="GS150" s="666">
        <f>GS149/GS57</f>
        <v>7.0519348268839099E-2</v>
      </c>
      <c r="GT150" s="666">
        <f>GT149/GT57</f>
        <v>3.1963470319634701E-2</v>
      </c>
      <c r="GU150" s="666">
        <f>GU149/GU57</f>
        <v>5.8535150504951464E-2</v>
      </c>
      <c r="GV150" s="1700">
        <f>GV149/GV57</f>
        <v>6.1471018022406232E-2</v>
      </c>
      <c r="GW150" s="666">
        <v>6.5000000000000002E-2</v>
      </c>
      <c r="GX150" s="1769"/>
      <c r="GY150" s="1769">
        <f>GY149/GY57</f>
        <v>5.8535150504951464E-2</v>
      </c>
      <c r="GZ150" s="1769">
        <f>GZ149/GZ57</f>
        <v>6.1471018022406232E-2</v>
      </c>
      <c r="HA150" s="1021"/>
      <c r="HB150" s="1769">
        <f>HB149/HB57</f>
        <v>0</v>
      </c>
      <c r="HC150" s="1769"/>
      <c r="HD150" s="1769">
        <f t="shared" ref="HD150:HI150" si="438">HD149/HD57</f>
        <v>5.0658749304138058E-2</v>
      </c>
      <c r="HE150" s="1769">
        <f t="shared" si="438"/>
        <v>5.0658749304138058E-2</v>
      </c>
      <c r="HF150" s="1769">
        <f t="shared" si="438"/>
        <v>6.7019722425127826E-2</v>
      </c>
      <c r="HG150" s="1769">
        <f t="shared" si="438"/>
        <v>6.6594084558156408E-2</v>
      </c>
      <c r="HH150" s="1769">
        <f t="shared" si="438"/>
        <v>6.7019722425127826E-2</v>
      </c>
      <c r="HI150" s="1769">
        <f t="shared" si="438"/>
        <v>5.8904739990796137E-2</v>
      </c>
      <c r="HJ150" s="1769">
        <f>HI149/HI57</f>
        <v>5.8904739990796137E-2</v>
      </c>
      <c r="HK150" s="1769">
        <f t="shared" ref="HK150:HR150" si="439">HK149/HK57</f>
        <v>5.6170788728928264E-2</v>
      </c>
      <c r="HL150" s="1769">
        <f t="shared" si="439"/>
        <v>5.8715596330275233E-2</v>
      </c>
      <c r="HM150" s="1769">
        <f t="shared" si="439"/>
        <v>5.8904739990796137E-2</v>
      </c>
      <c r="HN150" s="666">
        <f t="shared" si="439"/>
        <v>8.5940375414059619E-2</v>
      </c>
      <c r="HO150" s="666">
        <f t="shared" si="439"/>
        <v>7.4911774141803014E-2</v>
      </c>
      <c r="HP150" s="666">
        <f t="shared" si="439"/>
        <v>6.791827719491994E-2</v>
      </c>
      <c r="HQ150" s="666">
        <f t="shared" si="439"/>
        <v>6.4740628106906839E-2</v>
      </c>
      <c r="HR150" s="666">
        <f t="shared" si="439"/>
        <v>2.7425722002908787E-2</v>
      </c>
      <c r="HS150" s="712"/>
      <c r="HT150" s="666">
        <f>HT149/HT57</f>
        <v>5.845613350248853E-2</v>
      </c>
      <c r="HU150" s="1769">
        <f>HU149/HU57</f>
        <v>5.8524670249145087E-2</v>
      </c>
      <c r="HV150" s="666">
        <f>HV149/HV57</f>
        <v>5.8687002652519894E-2</v>
      </c>
      <c r="HW150" s="1769">
        <f>HW149/HW57</f>
        <v>5.4545454545454543E-2</v>
      </c>
      <c r="HX150" s="1769"/>
      <c r="HY150" s="1769">
        <f>HY149/HY57</f>
        <v>5.845613350248853E-2</v>
      </c>
      <c r="HZ150" s="666">
        <f>HZ149/HZ57</f>
        <v>5.8720379146919431E-2</v>
      </c>
      <c r="IA150" s="1769">
        <v>6.0465116279069767E-2</v>
      </c>
      <c r="IB150" s="1769">
        <f>IB149/IB57</f>
        <v>5.8687002652519894E-2</v>
      </c>
      <c r="IC150" s="1021"/>
      <c r="ID150" s="1769">
        <f>ID149/ID57</f>
        <v>5.4545454545454543E-2</v>
      </c>
      <c r="IE150" s="1770">
        <f>IE149/IE57</f>
        <v>0.12641165755919853</v>
      </c>
      <c r="IF150" s="1769">
        <f>IF149/IF57</f>
        <v>0.1015625</v>
      </c>
      <c r="IG150" s="1769">
        <f>IG149/IG57</f>
        <v>0.11368888888888889</v>
      </c>
      <c r="IH150" s="1769">
        <f>IH149/IH57</f>
        <v>0.11936897458369851</v>
      </c>
      <c r="II150" s="1769"/>
      <c r="IJ150" s="1769">
        <f>IJ149/IJ57</f>
        <v>0.11560011795930404</v>
      </c>
      <c r="IK150" s="1769">
        <f>IK149/IK57</f>
        <v>0.11560011795930404</v>
      </c>
      <c r="IL150" s="1769"/>
      <c r="IM150" s="1769">
        <f>IM149/IM57</f>
        <v>7.4246841593780366E-2</v>
      </c>
      <c r="IN150" s="1769">
        <f>IN149/IN57</f>
        <v>9.7972350230414743E-2</v>
      </c>
      <c r="IO150" s="1769">
        <f>IO149/IO57</f>
        <v>9.7972350230414743E-2</v>
      </c>
      <c r="IP150" s="1771">
        <f>IP149/IP57</f>
        <v>0.10597285067873304</v>
      </c>
      <c r="IQ150" s="1769">
        <v>9.8654708520179366E-2</v>
      </c>
      <c r="IR150" s="1771">
        <f>IR149/IR57</f>
        <v>0.10597285067873304</v>
      </c>
      <c r="IS150" s="1770"/>
      <c r="IT150" s="1769"/>
      <c r="IU150" s="1769">
        <f>IU149/IU57</f>
        <v>0.1206896551724138</v>
      </c>
      <c r="IV150" s="1772">
        <f>IV149/IV57</f>
        <v>8.6419753086419748E-2</v>
      </c>
      <c r="IW150" s="1769">
        <v>8.6206896551724144E-2</v>
      </c>
      <c r="IX150" s="1769">
        <f>IX149/IX57</f>
        <v>0.10350756533700138</v>
      </c>
      <c r="IY150" s="1769">
        <v>0.10344827586206896</v>
      </c>
      <c r="IZ150" s="1769">
        <f>IZ149/IZ57</f>
        <v>9.3718508565670142E-2</v>
      </c>
      <c r="JA150" s="1769">
        <f>JA149/JA57</f>
        <v>0.1001933356078699</v>
      </c>
      <c r="JB150" s="1769">
        <f>JB149/JB57</f>
        <v>1.6786118445869483E-2</v>
      </c>
      <c r="JC150" s="1769">
        <f>JC149/JC57</f>
        <v>5.7480454868514573E-2</v>
      </c>
      <c r="JD150" s="1769">
        <f>JD149/JD57</f>
        <v>8.0872072701852496E-2</v>
      </c>
      <c r="JE150" s="1769"/>
      <c r="JF150" s="1769">
        <f>JF149/JF57</f>
        <v>1.6786118445869483E-2</v>
      </c>
      <c r="JG150" s="1769">
        <f>JG149/JG57</f>
        <v>5.7480454868514573E-2</v>
      </c>
      <c r="JH150" s="1771">
        <f>JH149/JH57</f>
        <v>8.0872072701852496E-2</v>
      </c>
      <c r="JI150" s="1770"/>
      <c r="JJ150" s="1662">
        <v>0.05</v>
      </c>
      <c r="JK150" s="1663">
        <v>0.06</v>
      </c>
      <c r="JL150" s="1641">
        <f t="shared" ref="JL150:JS150" si="440">JL149/JL57</f>
        <v>0.10867013248364917</v>
      </c>
      <c r="JM150" s="1641">
        <f t="shared" si="440"/>
        <v>0.10099042052281214</v>
      </c>
      <c r="JN150" s="1641">
        <f t="shared" si="440"/>
        <v>0.10927471116816431</v>
      </c>
      <c r="JO150" s="1641" t="e">
        <f t="shared" si="440"/>
        <v>#DIV/0!</v>
      </c>
      <c r="JP150" s="1641">
        <f t="shared" si="440"/>
        <v>0.10476819006764561</v>
      </c>
      <c r="JQ150" s="1641" t="e">
        <f t="shared" si="440"/>
        <v>#DIV/0!</v>
      </c>
      <c r="JR150" s="1641" t="e">
        <f t="shared" si="440"/>
        <v>#DIV/0!</v>
      </c>
      <c r="JS150" s="1641">
        <f t="shared" si="440"/>
        <v>0.10629835458210744</v>
      </c>
      <c r="JT150" s="1663">
        <v>7.0000000000000007E-2</v>
      </c>
      <c r="JU150" s="1663">
        <v>0.08</v>
      </c>
      <c r="JV150" s="1641">
        <f>JV149/JV57</f>
        <v>8.7603443952185903E-2</v>
      </c>
      <c r="JW150" s="1641">
        <f>JW149/JW57</f>
        <v>7.0470368483613516E-2</v>
      </c>
      <c r="JX150" s="1641">
        <f>JX149/JX57</f>
        <v>8.7866108786610872E-2</v>
      </c>
      <c r="JY150" s="1641">
        <f>JY149/JY57</f>
        <v>9.1147254666521127E-2</v>
      </c>
      <c r="JZ150" s="1769"/>
      <c r="KA150" s="1771"/>
      <c r="KB150" s="1641"/>
      <c r="KC150" s="1641">
        <f>KC149/KC57</f>
        <v>8.2644628099173556E-2</v>
      </c>
      <c r="KD150" s="1641">
        <f>KD149/KD57</f>
        <v>6.8376068376068383E-2</v>
      </c>
      <c r="KE150" s="1641">
        <f>KE149/KE57</f>
        <v>4.5384483644459669E-2</v>
      </c>
      <c r="KF150" s="1641"/>
      <c r="KG150" s="1641"/>
      <c r="KH150" s="1641">
        <f>KH149/KH57</f>
        <v>7.5630252100840331E-2</v>
      </c>
      <c r="KI150" s="1771"/>
      <c r="KJ150" s="1769"/>
      <c r="KK150" s="1769"/>
      <c r="KL150" s="1772">
        <f>KL149/KL57</f>
        <v>8.0229226361031525E-2</v>
      </c>
      <c r="KM150" s="1769">
        <f>KM149/KM57</f>
        <v>9.2105263157894732E-2</v>
      </c>
      <c r="KN150" s="1769"/>
      <c r="KO150" s="1769">
        <v>0.10526315789473684</v>
      </c>
      <c r="KP150" s="1769">
        <v>8.2568807339449546E-2</v>
      </c>
      <c r="KQ150" s="1771">
        <v>9.417040358744394E-2</v>
      </c>
      <c r="KR150" s="1769">
        <v>8.7298578199052138E-2</v>
      </c>
      <c r="KS150" s="1771">
        <v>0.10091743119266056</v>
      </c>
      <c r="KT150" s="666">
        <f t="shared" ref="KT150:LG150" si="441">KT149/KT57</f>
        <v>5.6561922365988906E-2</v>
      </c>
      <c r="KU150" s="666">
        <f t="shared" si="441"/>
        <v>9.1743119266055051E-2</v>
      </c>
      <c r="KV150" s="666">
        <f t="shared" si="441"/>
        <v>8.6538461538461536E-2</v>
      </c>
      <c r="KW150" s="1700">
        <f t="shared" si="441"/>
        <v>8.9201877934272297E-2</v>
      </c>
      <c r="KX150" s="666">
        <f t="shared" si="441"/>
        <v>7.4136955291454448E-2</v>
      </c>
      <c r="KY150" s="666">
        <f t="shared" si="441"/>
        <v>8.0111783884489987E-2</v>
      </c>
      <c r="KZ150" s="1700">
        <f t="shared" si="441"/>
        <v>6.9444444444444448E-2</v>
      </c>
      <c r="LA150" s="666">
        <f t="shared" si="441"/>
        <v>7.3394495412844041E-2</v>
      </c>
      <c r="LB150" s="666">
        <f t="shared" si="441"/>
        <v>6.6037735849056603E-2</v>
      </c>
      <c r="LC150" s="1700">
        <f t="shared" si="441"/>
        <v>6.9767441860465115E-2</v>
      </c>
      <c r="LD150" s="1700" t="e">
        <f t="shared" si="441"/>
        <v>#DIV/0!</v>
      </c>
      <c r="LE150" s="666">
        <f t="shared" si="441"/>
        <v>2.0499108734402853E-2</v>
      </c>
      <c r="LF150" s="666">
        <f t="shared" si="441"/>
        <v>5.4210153004357081E-2</v>
      </c>
      <c r="LG150" s="1700">
        <f t="shared" si="441"/>
        <v>5.9405940594059403E-2</v>
      </c>
    </row>
    <row r="151" spans="1:319" s="1757" customFormat="1" ht="12">
      <c r="A151" s="1732"/>
      <c r="B151" s="863" t="s">
        <v>1047</v>
      </c>
      <c r="C151" s="1008" t="s">
        <v>943</v>
      </c>
      <c r="D151" s="1773"/>
      <c r="E151" s="1732"/>
      <c r="F151" s="1732"/>
      <c r="G151" s="1774"/>
      <c r="H151" s="1732"/>
      <c r="I151" s="1732"/>
      <c r="J151" s="1774"/>
      <c r="K151" s="1766"/>
      <c r="L151" s="1766"/>
      <c r="M151" s="1766"/>
      <c r="N151" s="1766"/>
      <c r="O151" s="1766"/>
      <c r="P151" s="1766"/>
      <c r="Q151" s="1766"/>
      <c r="R151" s="1766"/>
      <c r="S151" s="1775"/>
      <c r="T151" s="1766"/>
      <c r="U151" s="1766"/>
      <c r="V151" s="1766"/>
      <c r="W151" s="1766"/>
      <c r="X151" s="1766"/>
      <c r="Y151" s="1766"/>
      <c r="Z151" s="1766"/>
      <c r="AA151" s="1766"/>
      <c r="AB151" s="1775"/>
      <c r="AC151" s="1766"/>
      <c r="AD151" s="1766"/>
      <c r="AE151" s="1766"/>
      <c r="AF151" s="1766"/>
      <c r="AG151" s="1766"/>
      <c r="AH151" s="1766"/>
      <c r="AI151" s="1766"/>
      <c r="AJ151" s="1766"/>
      <c r="AK151" s="1773"/>
      <c r="AL151" s="1766"/>
      <c r="AM151" s="1766"/>
      <c r="AN151" s="1766"/>
      <c r="AO151" s="1766"/>
      <c r="AP151" s="1766"/>
      <c r="AQ151" s="1766"/>
      <c r="AR151" s="1766"/>
      <c r="AS151" s="1766"/>
      <c r="AT151" s="1773"/>
      <c r="AU151" s="1766"/>
      <c r="AV151" s="1766"/>
      <c r="AW151" s="1766"/>
      <c r="AX151" s="1766"/>
      <c r="AY151" s="1766"/>
      <c r="AZ151" s="1766"/>
      <c r="BA151" s="1766"/>
      <c r="BB151" s="1776"/>
      <c r="BC151" s="1776"/>
      <c r="BD151" s="1766"/>
      <c r="BE151" s="1766"/>
      <c r="BF151" s="1773"/>
      <c r="BG151" s="1766"/>
      <c r="BH151" s="1766"/>
      <c r="BI151" s="1766"/>
      <c r="BJ151" s="1773"/>
      <c r="BK151" s="1732"/>
      <c r="BL151" s="1732"/>
      <c r="BM151" s="1732"/>
      <c r="BN151" s="1732"/>
      <c r="BO151" s="1773"/>
      <c r="BP151" s="1766"/>
      <c r="BQ151" s="1766"/>
      <c r="BR151" s="1766"/>
      <c r="BS151" s="1766"/>
      <c r="BT151" s="1776"/>
      <c r="BU151" s="1776"/>
      <c r="BV151" s="1766"/>
      <c r="BW151" s="1766"/>
      <c r="BX151" s="1766"/>
      <c r="BY151" s="1766"/>
      <c r="BZ151" s="1766"/>
      <c r="CA151" s="1766"/>
      <c r="CB151" s="1766"/>
      <c r="CC151" s="1766"/>
      <c r="CD151" s="1766"/>
      <c r="CE151" s="1766"/>
      <c r="CF151" s="1773"/>
      <c r="CG151" s="1777"/>
      <c r="CH151" s="1732"/>
      <c r="CI151" s="1732"/>
      <c r="CJ151" s="1732"/>
      <c r="CK151" s="1732"/>
      <c r="CL151" s="1778"/>
      <c r="CM151" s="1732"/>
      <c r="CN151" s="1732"/>
      <c r="CO151" s="1732"/>
      <c r="CP151" s="1779"/>
      <c r="CQ151" s="1779"/>
      <c r="CR151" s="1732"/>
      <c r="CS151" s="1732"/>
      <c r="CT151" s="1732"/>
      <c r="CU151" s="1732"/>
      <c r="CV151" s="1779"/>
      <c r="CW151" s="1780"/>
      <c r="CX151" s="1779"/>
      <c r="CY151" s="1779"/>
      <c r="CZ151" s="1779"/>
      <c r="DA151" s="1779"/>
      <c r="DB151" s="1779"/>
      <c r="DC151" s="1779"/>
      <c r="DD151" s="1779"/>
      <c r="DE151" s="1779"/>
      <c r="DF151" s="1779"/>
      <c r="DG151" s="1779"/>
      <c r="DH151" s="1779"/>
      <c r="DI151" s="1779"/>
      <c r="DJ151" s="1779"/>
      <c r="DK151" s="1779"/>
      <c r="DL151" s="1781"/>
      <c r="DM151" s="1781"/>
      <c r="DN151" s="1766"/>
      <c r="DO151" s="1766"/>
      <c r="DP151" s="1782"/>
      <c r="DQ151" s="1782"/>
      <c r="DR151" s="1782"/>
      <c r="DS151" s="1783"/>
      <c r="DT151" s="1781"/>
      <c r="DU151" s="1766"/>
      <c r="DV151" s="1766"/>
      <c r="DW151" s="1778"/>
      <c r="DX151" s="1782"/>
      <c r="DY151" s="1782"/>
      <c r="DZ151" s="1773"/>
      <c r="EB151" s="1778"/>
      <c r="EC151" s="1782"/>
      <c r="ED151" s="1781"/>
      <c r="EE151" s="1773"/>
      <c r="EF151" s="1732"/>
      <c r="EG151" s="1784"/>
      <c r="EH151" s="1785"/>
      <c r="EI151" s="1785"/>
      <c r="EJ151" s="1785"/>
      <c r="EK151" s="1785"/>
      <c r="EL151" s="1785"/>
      <c r="EM151" s="1785"/>
      <c r="EN151" s="1785"/>
      <c r="EO151" s="1785"/>
      <c r="EP151" s="1785"/>
      <c r="EQ151" s="1785"/>
      <c r="ER151" s="1785"/>
      <c r="ES151" s="1785"/>
      <c r="ET151" s="1785"/>
      <c r="EU151" s="1785"/>
      <c r="EV151" s="1783"/>
      <c r="EW151" s="1732"/>
      <c r="EX151" s="1785"/>
      <c r="EY151" s="1732"/>
      <c r="EZ151" s="1785"/>
      <c r="FA151" s="1732"/>
      <c r="FB151" s="1785"/>
      <c r="FC151" s="1785"/>
      <c r="FD151" s="1056"/>
      <c r="FE151" s="1785"/>
      <c r="FF151" s="1056"/>
      <c r="FG151" s="1785"/>
      <c r="FH151" s="1732"/>
      <c r="FI151" s="1785"/>
      <c r="FJ151" s="1785"/>
      <c r="FK151" s="1786"/>
      <c r="FL151" s="1785"/>
      <c r="FM151" s="1766"/>
      <c r="FN151" s="1782"/>
      <c r="FO151" s="1785"/>
      <c r="FP151" s="1785"/>
      <c r="FQ151" s="1785"/>
      <c r="FR151" s="1783"/>
      <c r="FS151" s="1007">
        <f>+FS149-EX149</f>
        <v>6</v>
      </c>
      <c r="FT151" s="1017"/>
      <c r="FU151" s="1017"/>
      <c r="FV151" s="1007">
        <f t="shared" ref="FV151" si="442">+FY151-FS151</f>
        <v>-112</v>
      </c>
      <c r="FW151" s="1017"/>
      <c r="FX151" s="1017"/>
      <c r="FY151" s="1007">
        <f>+FY149-FB149</f>
        <v>-106</v>
      </c>
      <c r="FZ151" s="1787">
        <f>FZ149-FC149</f>
        <v>77</v>
      </c>
      <c r="GA151" s="1788">
        <f>GA149-FE149</f>
        <v>-29</v>
      </c>
      <c r="GB151" s="1788">
        <f>GB149-FG149</f>
        <v>-396</v>
      </c>
      <c r="GC151" s="1788">
        <f>GC149-FI149</f>
        <v>-319</v>
      </c>
      <c r="GD151" s="1008">
        <f>+GD149-FK149</f>
        <v>-425</v>
      </c>
      <c r="GE151" s="1787">
        <v>-534</v>
      </c>
      <c r="GF151" s="1007"/>
      <c r="GG151" s="1007"/>
      <c r="GH151" s="1017">
        <f>GI151-FY151</f>
        <v>-319</v>
      </c>
      <c r="GI151" s="1017">
        <f>GI149-FK149</f>
        <v>-425</v>
      </c>
      <c r="GJ151" s="1021"/>
      <c r="GK151" s="1017"/>
      <c r="GL151" s="1017">
        <f>+GL149-FS149</f>
        <v>-271</v>
      </c>
      <c r="GM151" s="1017"/>
      <c r="GN151" s="1017"/>
      <c r="GO151" s="1017">
        <f>+GP151-GL151</f>
        <v>-146</v>
      </c>
      <c r="GP151" s="1017">
        <f>+GP149-FY149</f>
        <v>-417</v>
      </c>
      <c r="GQ151" s="1017"/>
      <c r="GR151" s="1788">
        <f>GR149-FZ149</f>
        <v>-165</v>
      </c>
      <c r="GS151" s="1788">
        <f>GS149-GA149</f>
        <v>-582</v>
      </c>
      <c r="GT151" s="1788">
        <f>GT149-GB149</f>
        <v>235</v>
      </c>
      <c r="GU151" s="1788">
        <f>GU149-GC149</f>
        <v>70</v>
      </c>
      <c r="GV151" s="1789">
        <f>+GV149-GD149</f>
        <v>-347</v>
      </c>
      <c r="GW151" s="1788">
        <v>-309</v>
      </c>
      <c r="GX151" s="1017"/>
      <c r="GY151" s="1017">
        <f>GZ151-GP151</f>
        <v>70</v>
      </c>
      <c r="GZ151" s="1017">
        <f>GZ149-GD149</f>
        <v>-347</v>
      </c>
      <c r="HA151" s="1790"/>
      <c r="HB151" s="1017"/>
      <c r="HC151" s="1017"/>
      <c r="HD151" s="1017">
        <f>+HD149-GL149</f>
        <v>-64</v>
      </c>
      <c r="HE151" s="1017"/>
      <c r="HF151" s="1017">
        <f>+HI151-HD151</f>
        <v>39</v>
      </c>
      <c r="HG151" s="1017"/>
      <c r="HH151" s="1017"/>
      <c r="HI151" s="1017">
        <f>+HI149-GP149</f>
        <v>-25</v>
      </c>
      <c r="HJ151" s="1017"/>
      <c r="HK151" s="1017"/>
      <c r="HL151" s="1017"/>
      <c r="HM151" s="1017"/>
      <c r="HN151" s="1788">
        <f>HN149-GR149</f>
        <v>24</v>
      </c>
      <c r="HO151" s="1788">
        <f>HO149-GS149</f>
        <v>-641</v>
      </c>
      <c r="HP151" s="1788">
        <f>HP149-GS149</f>
        <v>-1</v>
      </c>
      <c r="HQ151" s="1788">
        <f>HQ149-GS149</f>
        <v>-1</v>
      </c>
      <c r="HR151" s="1788">
        <f>HR149-GT149</f>
        <v>-22</v>
      </c>
      <c r="HS151" s="1788"/>
      <c r="HT151" s="1788">
        <f>HT149-GU149</f>
        <v>2</v>
      </c>
      <c r="HU151" s="1788"/>
      <c r="HV151" s="1788">
        <f>+HV149-GV149</f>
        <v>-23</v>
      </c>
      <c r="HW151" s="1017"/>
      <c r="HX151" s="1017"/>
      <c r="HY151" s="1017">
        <f>IB151-HI151</f>
        <v>2</v>
      </c>
      <c r="HZ151" s="1788"/>
      <c r="IA151" s="1017">
        <v>38</v>
      </c>
      <c r="IB151" s="1017">
        <f>IB149-GV149</f>
        <v>-23</v>
      </c>
      <c r="IC151" s="1790"/>
      <c r="ID151" s="1017"/>
      <c r="IE151" s="1022">
        <f>+IE149-HE149</f>
        <v>421</v>
      </c>
      <c r="IF151" s="1017">
        <f>IF149-HH149</f>
        <v>218</v>
      </c>
      <c r="IG151" s="1017">
        <f>IG149-HM149</f>
        <v>639</v>
      </c>
      <c r="IH151" s="1017">
        <f>IH149-HO149</f>
        <v>214</v>
      </c>
      <c r="II151" s="1017"/>
      <c r="IJ151" s="1017">
        <f>IJ149-HQ149</f>
        <v>853</v>
      </c>
      <c r="IK151" s="1017"/>
      <c r="IL151" s="1017"/>
      <c r="IM151" s="1017">
        <f>IM149-HS149</f>
        <v>250</v>
      </c>
      <c r="IN151" s="1017">
        <f>IP151-IG151</f>
        <v>464</v>
      </c>
      <c r="IO151" s="1017">
        <f>IO149-HU149</f>
        <v>464</v>
      </c>
      <c r="IP151" s="1018">
        <f>IP149-HZ149</f>
        <v>1103</v>
      </c>
      <c r="IQ151" s="1017">
        <v>961</v>
      </c>
      <c r="IR151" s="1018">
        <f>+IR149-HZ149</f>
        <v>1103</v>
      </c>
      <c r="IS151" s="1791"/>
      <c r="IT151" s="1017"/>
      <c r="IU151" s="1017">
        <f>+IU149-IE149</f>
        <v>6</v>
      </c>
      <c r="IV151" s="1017">
        <f>IV149-IF149</f>
        <v>-81</v>
      </c>
      <c r="IW151" s="1017"/>
      <c r="IX151" s="1017">
        <f>IX149-IG149</f>
        <v>-75</v>
      </c>
      <c r="IY151" s="1017"/>
      <c r="IZ151" s="1017">
        <f>IZ149-IH149</f>
        <v>-123</v>
      </c>
      <c r="JA151" s="1017">
        <f>JA149-IJ149</f>
        <v>-198</v>
      </c>
      <c r="JB151" s="1017">
        <f>JB149-IM149</f>
        <v>-293</v>
      </c>
      <c r="JC151" s="1017">
        <f>JC149-IO149</f>
        <v>-416</v>
      </c>
      <c r="JD151" s="1017">
        <f>JD149-IR149</f>
        <v>-491</v>
      </c>
      <c r="JE151" s="1017"/>
      <c r="JF151" s="1017"/>
      <c r="JG151" s="1017"/>
      <c r="JH151" s="1018">
        <f>JH149-IR149</f>
        <v>-491</v>
      </c>
      <c r="JI151" s="1791"/>
      <c r="JJ151" s="1798">
        <f>+JJ149-IU149</f>
        <v>-400</v>
      </c>
      <c r="JK151" s="1799">
        <f>+JK149-IV149</f>
        <v>-104</v>
      </c>
      <c r="JL151" s="1017">
        <f>+JL149-IU149</f>
        <v>-52</v>
      </c>
      <c r="JM151" s="1017">
        <f>+JM149-IV149</f>
        <v>118</v>
      </c>
      <c r="JN151" s="1017">
        <f>+JN149-IZ149</f>
        <v>123</v>
      </c>
      <c r="JO151" s="1799"/>
      <c r="JP151" s="1017">
        <f>+JP149-IX149</f>
        <v>66</v>
      </c>
      <c r="JQ151" s="1799"/>
      <c r="JR151" s="1799"/>
      <c r="JS151" s="1799"/>
      <c r="JT151" s="1799">
        <f>+JT149-IZ149</f>
        <v>-158</v>
      </c>
      <c r="JU151" s="1799">
        <f>+JU149-JB149</f>
        <v>60</v>
      </c>
      <c r="JV151" s="1799">
        <f>+JV149-IX149</f>
        <v>-156</v>
      </c>
      <c r="JW151" s="1799">
        <f>+JW149-JC149</f>
        <v>183</v>
      </c>
      <c r="JX151" s="1799">
        <f>+JX149-JD149</f>
        <v>249</v>
      </c>
      <c r="JY151" s="1799">
        <f>+JP151+JT151</f>
        <v>-92</v>
      </c>
      <c r="JZ151" s="1792"/>
      <c r="KA151" s="1793"/>
      <c r="KB151" s="1792">
        <f>+KC151-JL151</f>
        <v>-152</v>
      </c>
      <c r="KC151" s="1792">
        <f>+KC149-IX149</f>
        <v>-204</v>
      </c>
      <c r="KD151" s="1792">
        <f>+KD149-JC149</f>
        <v>153</v>
      </c>
      <c r="KE151" s="1792">
        <f>+KE149-JC149</f>
        <v>-117</v>
      </c>
      <c r="KF151" s="1792"/>
      <c r="KG151" s="1792"/>
      <c r="KH151" s="1792">
        <f>+KH149-JD149</f>
        <v>-51</v>
      </c>
      <c r="KI151" s="1793"/>
      <c r="KJ151" s="1792"/>
      <c r="KK151" s="1017"/>
      <c r="KL151" s="1792">
        <f>KL149-HX149</f>
        <v>764</v>
      </c>
      <c r="KM151" s="1792"/>
      <c r="KN151" s="1792"/>
      <c r="KO151" s="1792"/>
      <c r="KP151" s="1779">
        <v>768</v>
      </c>
      <c r="KQ151" s="1780"/>
      <c r="KR151" s="1779"/>
      <c r="KS151" s="1780"/>
      <c r="KT151" s="1779">
        <f>KT149-HG149</f>
        <v>-61</v>
      </c>
      <c r="KU151" s="1779">
        <f>KU149-HL149</f>
        <v>360</v>
      </c>
      <c r="KV151" s="1779" t="e">
        <f>KV149-#REF!</f>
        <v>#REF!</v>
      </c>
      <c r="KW151" s="1780">
        <f>KW149-HZ149</f>
        <v>661</v>
      </c>
      <c r="KX151" s="1779">
        <f>KX149-GT149</f>
        <v>239</v>
      </c>
      <c r="KY151" s="1779">
        <f>KY149-GU149</f>
        <v>263</v>
      </c>
      <c r="KZ151" s="1780">
        <f>KZ149-GV149</f>
        <v>238</v>
      </c>
      <c r="LA151" s="1779">
        <f>LA149-GP149</f>
        <v>135</v>
      </c>
      <c r="LB151" s="1779">
        <f>LB149-GU149</f>
        <v>103</v>
      </c>
      <c r="LC151" s="1780">
        <f>LC149-GV149</f>
        <v>238</v>
      </c>
      <c r="LD151" s="1780">
        <f>LD149-LC149</f>
        <v>-1500</v>
      </c>
      <c r="LE151" s="1779">
        <f>LE149-GB149</f>
        <v>173</v>
      </c>
      <c r="LF151" s="1779">
        <f>LF149-GC149</f>
        <v>8</v>
      </c>
      <c r="LG151" s="1780">
        <f>LG149-GD149</f>
        <v>-409</v>
      </c>
    </row>
    <row r="152" spans="1:319" s="1158" customFormat="1">
      <c r="A152" s="1146"/>
      <c r="B152" s="1147" t="s">
        <v>1277</v>
      </c>
      <c r="C152" s="1040" t="s">
        <v>1260</v>
      </c>
      <c r="D152" s="1148"/>
      <c r="E152" s="1146"/>
      <c r="F152" s="1146"/>
      <c r="G152" s="1149"/>
      <c r="H152" s="1146"/>
      <c r="I152" s="1146"/>
      <c r="J152" s="1149"/>
      <c r="K152" s="1053"/>
      <c r="L152" s="1053"/>
      <c r="M152" s="1053"/>
      <c r="N152" s="1053"/>
      <c r="O152" s="1053"/>
      <c r="P152" s="1053"/>
      <c r="Q152" s="1053"/>
      <c r="R152" s="1053"/>
      <c r="S152" s="1150"/>
      <c r="T152" s="1053"/>
      <c r="U152" s="1053"/>
      <c r="V152" s="1053"/>
      <c r="W152" s="1053"/>
      <c r="X152" s="1053"/>
      <c r="Y152" s="1053"/>
      <c r="Z152" s="1053"/>
      <c r="AA152" s="1053"/>
      <c r="AB152" s="1150"/>
      <c r="AC152" s="1053"/>
      <c r="AD152" s="1053"/>
      <c r="AE152" s="1053"/>
      <c r="AF152" s="1053"/>
      <c r="AG152" s="1053"/>
      <c r="AH152" s="1053"/>
      <c r="AI152" s="1053"/>
      <c r="AJ152" s="1053"/>
      <c r="AK152" s="1148"/>
      <c r="AL152" s="1053"/>
      <c r="AM152" s="1053"/>
      <c r="AN152" s="1053"/>
      <c r="AO152" s="1053"/>
      <c r="AP152" s="1053"/>
      <c r="AQ152" s="1053"/>
      <c r="AR152" s="1053"/>
      <c r="AS152" s="1053"/>
      <c r="AT152" s="1148"/>
      <c r="AU152" s="1053"/>
      <c r="AV152" s="1053"/>
      <c r="AW152" s="1053"/>
      <c r="AX152" s="1053"/>
      <c r="AY152" s="1053"/>
      <c r="AZ152" s="1053"/>
      <c r="BA152" s="1053"/>
      <c r="BB152" s="1151"/>
      <c r="BC152" s="1151"/>
      <c r="BD152" s="1053"/>
      <c r="BE152" s="1053"/>
      <c r="BF152" s="1148"/>
      <c r="BG152" s="1053"/>
      <c r="BH152" s="1053"/>
      <c r="BI152" s="1053"/>
      <c r="BJ152" s="1148"/>
      <c r="BK152" s="1146"/>
      <c r="BL152" s="1146"/>
      <c r="BM152" s="1146"/>
      <c r="BN152" s="1146"/>
      <c r="BO152" s="1148"/>
      <c r="BP152" s="1053"/>
      <c r="BQ152" s="1053"/>
      <c r="BR152" s="1053"/>
      <c r="BS152" s="1053"/>
      <c r="BT152" s="1151"/>
      <c r="BU152" s="1151"/>
      <c r="BV152" s="1053"/>
      <c r="BW152" s="1053"/>
      <c r="BX152" s="1053"/>
      <c r="BY152" s="1053"/>
      <c r="BZ152" s="1053"/>
      <c r="CA152" s="1053"/>
      <c r="CB152" s="1053"/>
      <c r="CC152" s="1053"/>
      <c r="CD152" s="1053"/>
      <c r="CE152" s="1053"/>
      <c r="CF152" s="1148"/>
      <c r="CG152" s="1152"/>
      <c r="CH152" s="1146"/>
      <c r="CI152" s="1146"/>
      <c r="CJ152" s="1146"/>
      <c r="CK152" s="1146"/>
      <c r="CL152" s="1153"/>
      <c r="CM152" s="1146"/>
      <c r="CN152" s="1146"/>
      <c r="CO152" s="1146"/>
      <c r="CP152" s="1154"/>
      <c r="CQ152" s="1154"/>
      <c r="CR152" s="1146"/>
      <c r="CS152" s="1146"/>
      <c r="CT152" s="1146"/>
      <c r="CU152" s="1146"/>
      <c r="CV152" s="1154"/>
      <c r="CW152" s="1163"/>
      <c r="CX152" s="1154"/>
      <c r="CY152" s="1154"/>
      <c r="CZ152" s="1154"/>
      <c r="DA152" s="1154"/>
      <c r="DB152" s="1154"/>
      <c r="DC152" s="1154"/>
      <c r="DD152" s="1154"/>
      <c r="DE152" s="1154"/>
      <c r="DF152" s="1154"/>
      <c r="DG152" s="1154"/>
      <c r="DH152" s="1154"/>
      <c r="DI152" s="1154"/>
      <c r="DJ152" s="1154"/>
      <c r="DK152" s="1154"/>
      <c r="DL152" s="1155"/>
      <c r="DM152" s="1155"/>
      <c r="DN152" s="1053"/>
      <c r="DO152" s="1053"/>
      <c r="DP152" s="1156"/>
      <c r="DQ152" s="1156"/>
      <c r="DR152" s="1156"/>
      <c r="DS152" s="1157"/>
      <c r="DT152" s="1155"/>
      <c r="DU152" s="1053"/>
      <c r="DV152" s="1053"/>
      <c r="DW152" s="1153"/>
      <c r="DX152" s="1156"/>
      <c r="DY152" s="1156"/>
      <c r="DZ152" s="1148"/>
      <c r="EB152" s="1153"/>
      <c r="EC152" s="1156"/>
      <c r="ED152" s="1155"/>
      <c r="EE152" s="1148"/>
      <c r="EF152" s="1146"/>
      <c r="EG152" s="1164"/>
      <c r="EH152" s="1165"/>
      <c r="EI152" s="1165"/>
      <c r="EJ152" s="1165"/>
      <c r="EK152" s="1165"/>
      <c r="EL152" s="1165"/>
      <c r="EM152" s="1165"/>
      <c r="EN152" s="1165"/>
      <c r="EO152" s="1165"/>
      <c r="EP152" s="1165"/>
      <c r="EQ152" s="1165"/>
      <c r="ER152" s="1165"/>
      <c r="ES152" s="1165"/>
      <c r="ET152" s="1165"/>
      <c r="EU152" s="1165"/>
      <c r="EV152" s="1157"/>
      <c r="EW152" s="1146"/>
      <c r="EX152" s="1165"/>
      <c r="EY152" s="1146"/>
      <c r="EZ152" s="1165"/>
      <c r="FA152" s="1146"/>
      <c r="FB152" s="1165"/>
      <c r="FC152" s="1165"/>
      <c r="FD152" s="1036"/>
      <c r="FE152" s="1165"/>
      <c r="FF152" s="1036"/>
      <c r="FG152" s="1165"/>
      <c r="FH152" s="1146"/>
      <c r="FI152" s="1165"/>
      <c r="FJ152" s="1165"/>
      <c r="FK152" s="1166"/>
      <c r="FL152" s="1165"/>
      <c r="FM152" s="1053"/>
      <c r="FN152" s="1156"/>
      <c r="FO152" s="1165"/>
      <c r="FP152" s="1165"/>
      <c r="FQ152" s="1165"/>
      <c r="FR152" s="1157"/>
      <c r="FS152" s="1165"/>
      <c r="FT152" s="1156"/>
      <c r="FU152" s="1156"/>
      <c r="FV152" s="1165"/>
      <c r="FW152" s="1156"/>
      <c r="FX152" s="1156"/>
      <c r="FY152" s="1165"/>
      <c r="FZ152" s="1165"/>
      <c r="GA152" s="1165"/>
      <c r="GB152" s="1165"/>
      <c r="GC152" s="1165"/>
      <c r="GD152" s="1166"/>
      <c r="GE152" s="1165"/>
      <c r="GF152" s="1165"/>
      <c r="GG152" s="1165"/>
      <c r="GH152" s="1156"/>
      <c r="GI152" s="1156"/>
      <c r="GJ152" s="1159"/>
      <c r="GK152" s="1156"/>
      <c r="GL152" s="1094">
        <v>200</v>
      </c>
      <c r="GM152" s="1156"/>
      <c r="GN152" s="1156"/>
      <c r="GO152" s="1156">
        <f>GP152-GL152</f>
        <v>500</v>
      </c>
      <c r="GP152" s="1156">
        <v>700</v>
      </c>
      <c r="GQ152" s="1156"/>
      <c r="GR152" s="1154">
        <f>GS152-GP152</f>
        <v>100</v>
      </c>
      <c r="GS152" s="1154">
        <v>800</v>
      </c>
      <c r="GT152" s="1146">
        <f>GU152-GR152</f>
        <v>400</v>
      </c>
      <c r="GU152" s="1146">
        <f>GV152-GP152</f>
        <v>500</v>
      </c>
      <c r="GV152" s="1163">
        <v>1200</v>
      </c>
      <c r="GW152" s="1154"/>
      <c r="GX152" s="1156"/>
      <c r="GY152" s="1156"/>
      <c r="GZ152" s="1156"/>
      <c r="HA152" s="1159"/>
      <c r="HB152" s="1156"/>
      <c r="HC152" s="1156"/>
      <c r="HD152" s="1156"/>
      <c r="HE152" s="1156"/>
      <c r="HF152" s="1156"/>
      <c r="HG152" s="1156"/>
      <c r="HH152" s="1156"/>
      <c r="HI152" s="1156"/>
      <c r="HJ152" s="1156"/>
      <c r="HK152" s="1156"/>
      <c r="HL152" s="1156"/>
      <c r="HM152" s="1156"/>
      <c r="HN152" s="1154"/>
      <c r="HO152" s="1154"/>
      <c r="HP152" s="1154"/>
      <c r="HQ152" s="1154"/>
      <c r="HR152" s="1146"/>
      <c r="HS152" s="1146"/>
      <c r="HT152" s="1146"/>
      <c r="HU152" s="1146"/>
      <c r="HV152" s="1154"/>
      <c r="HW152" s="1156"/>
      <c r="HX152" s="1156"/>
      <c r="HY152" s="1156"/>
      <c r="HZ152" s="1154"/>
      <c r="IA152" s="1156"/>
      <c r="IB152" s="1156"/>
      <c r="IC152" s="1159"/>
      <c r="ID152" s="1156"/>
      <c r="IE152" s="1160"/>
      <c r="IF152" s="1156"/>
      <c r="IG152" s="1156"/>
      <c r="IH152" s="1156"/>
      <c r="II152" s="1156"/>
      <c r="IJ152" s="1156"/>
      <c r="IK152" s="1156"/>
      <c r="IL152" s="1156"/>
      <c r="IM152" s="1156"/>
      <c r="IN152" s="1156"/>
      <c r="IO152" s="1156"/>
      <c r="IP152" s="1157"/>
      <c r="IQ152" s="1156"/>
      <c r="IR152" s="1157"/>
      <c r="IS152" s="1295"/>
      <c r="IT152" s="1156"/>
      <c r="IU152" s="1156"/>
      <c r="IV152" s="1156"/>
      <c r="IW152" s="1156"/>
      <c r="IX152" s="1156"/>
      <c r="IY152" s="1156"/>
      <c r="IZ152" s="1156"/>
      <c r="JA152" s="1156"/>
      <c r="JB152" s="1156"/>
      <c r="JC152" s="1156"/>
      <c r="JD152" s="1093"/>
      <c r="JE152" s="1156"/>
      <c r="JF152" s="1156"/>
      <c r="JG152" s="1156"/>
      <c r="JH152" s="1157"/>
      <c r="JI152" s="1295"/>
      <c r="JJ152" s="1306"/>
      <c r="JK152" s="1167"/>
      <c r="JL152" s="2243"/>
      <c r="JM152" s="2243"/>
      <c r="JN152" s="2243"/>
      <c r="JO152" s="2243"/>
      <c r="JP152" s="2243"/>
      <c r="JQ152" s="2243"/>
      <c r="JR152" s="2243"/>
      <c r="JS152" s="2243"/>
      <c r="JT152" s="1167"/>
      <c r="JU152" s="1167"/>
      <c r="JV152" s="1167"/>
      <c r="JW152" s="1167"/>
      <c r="JX152" s="1167"/>
      <c r="JY152" s="1167"/>
      <c r="JZ152" s="48"/>
      <c r="KA152" s="1278"/>
      <c r="KB152" s="1167"/>
      <c r="KC152" s="1167"/>
      <c r="KD152" s="1167"/>
      <c r="KE152" s="1167"/>
      <c r="KF152" s="1167"/>
      <c r="KG152" s="1167"/>
      <c r="KH152" s="1167"/>
      <c r="KI152" s="1278"/>
      <c r="KJ152" s="48"/>
      <c r="KK152" s="1156"/>
      <c r="KL152" s="1167"/>
      <c r="KM152" s="1167"/>
      <c r="KN152" s="48"/>
      <c r="KO152" s="1167"/>
      <c r="KP152" s="1165"/>
      <c r="KQ152" s="1166"/>
      <c r="KR152" s="1165"/>
      <c r="KS152" s="1166"/>
      <c r="KT152" s="1099"/>
      <c r="KU152" s="1165"/>
      <c r="KV152" s="1099"/>
      <c r="KW152" s="1163">
        <v>350</v>
      </c>
      <c r="KX152" s="1099"/>
      <c r="KY152" s="1099"/>
      <c r="KZ152" s="1163"/>
      <c r="LA152" s="1165"/>
      <c r="LB152" s="1099"/>
      <c r="LC152" s="1163" t="s">
        <v>1328</v>
      </c>
      <c r="LD152" s="1163"/>
      <c r="LE152" s="1099">
        <f t="shared" ref="LE152:LE159" si="443">LF152-GR152</f>
        <v>400</v>
      </c>
      <c r="LF152" s="1099">
        <f t="shared" ref="LF152:LF159" si="444">LG152-GP152</f>
        <v>500</v>
      </c>
      <c r="LG152" s="1163">
        <v>1200</v>
      </c>
    </row>
    <row r="153" spans="1:319" s="1158" customFormat="1">
      <c r="A153" s="1146"/>
      <c r="B153" s="1147" t="s">
        <v>170</v>
      </c>
      <c r="C153" s="1040" t="s">
        <v>1262</v>
      </c>
      <c r="D153" s="1148"/>
      <c r="E153" s="1146"/>
      <c r="F153" s="1146"/>
      <c r="G153" s="1149"/>
      <c r="H153" s="1146"/>
      <c r="I153" s="1146"/>
      <c r="J153" s="1149"/>
      <c r="K153" s="1053"/>
      <c r="L153" s="1053"/>
      <c r="M153" s="1053"/>
      <c r="N153" s="1053"/>
      <c r="O153" s="1053"/>
      <c r="P153" s="1053"/>
      <c r="Q153" s="1053"/>
      <c r="R153" s="1053"/>
      <c r="S153" s="1150"/>
      <c r="T153" s="1053"/>
      <c r="U153" s="1053"/>
      <c r="V153" s="1053"/>
      <c r="W153" s="1053"/>
      <c r="X153" s="1053"/>
      <c r="Y153" s="1053"/>
      <c r="Z153" s="1053"/>
      <c r="AA153" s="1053"/>
      <c r="AB153" s="1150"/>
      <c r="AC153" s="1053"/>
      <c r="AD153" s="1053"/>
      <c r="AE153" s="1053"/>
      <c r="AF153" s="1053"/>
      <c r="AG153" s="1053"/>
      <c r="AH153" s="1053"/>
      <c r="AI153" s="1053"/>
      <c r="AJ153" s="1053"/>
      <c r="AK153" s="1148"/>
      <c r="AL153" s="1053"/>
      <c r="AM153" s="1053"/>
      <c r="AN153" s="1053"/>
      <c r="AO153" s="1053"/>
      <c r="AP153" s="1053"/>
      <c r="AQ153" s="1053"/>
      <c r="AR153" s="1053"/>
      <c r="AS153" s="1053"/>
      <c r="AT153" s="1148"/>
      <c r="AU153" s="1053"/>
      <c r="AV153" s="1053"/>
      <c r="AW153" s="1053"/>
      <c r="AX153" s="1053"/>
      <c r="AY153" s="1053"/>
      <c r="AZ153" s="1053"/>
      <c r="BA153" s="1053"/>
      <c r="BB153" s="1151"/>
      <c r="BC153" s="1151"/>
      <c r="BD153" s="1053"/>
      <c r="BE153" s="1053"/>
      <c r="BF153" s="1148"/>
      <c r="BG153" s="1053"/>
      <c r="BH153" s="1053"/>
      <c r="BI153" s="1053"/>
      <c r="BJ153" s="1148"/>
      <c r="BK153" s="1146"/>
      <c r="BL153" s="1146"/>
      <c r="BM153" s="1146"/>
      <c r="BN153" s="1146"/>
      <c r="BO153" s="1148"/>
      <c r="BP153" s="1053"/>
      <c r="BQ153" s="1053"/>
      <c r="BR153" s="1053"/>
      <c r="BS153" s="1053"/>
      <c r="BT153" s="1151"/>
      <c r="BU153" s="1151"/>
      <c r="BV153" s="1053"/>
      <c r="BW153" s="1053"/>
      <c r="BX153" s="1053"/>
      <c r="BY153" s="1053"/>
      <c r="BZ153" s="1053"/>
      <c r="CA153" s="1053"/>
      <c r="CB153" s="1053"/>
      <c r="CC153" s="1053"/>
      <c r="CD153" s="1053"/>
      <c r="CE153" s="1053"/>
      <c r="CF153" s="1148"/>
      <c r="CG153" s="1152"/>
      <c r="CH153" s="1146"/>
      <c r="CI153" s="1146"/>
      <c r="CJ153" s="1146"/>
      <c r="CK153" s="1146"/>
      <c r="CL153" s="1153"/>
      <c r="CM153" s="1146"/>
      <c r="CN153" s="1146"/>
      <c r="CO153" s="1146"/>
      <c r="CP153" s="1154"/>
      <c r="CQ153" s="1154"/>
      <c r="CR153" s="1146"/>
      <c r="CS153" s="1146"/>
      <c r="CT153" s="1146"/>
      <c r="CU153" s="1146"/>
      <c r="CV153" s="1154"/>
      <c r="CW153" s="1163"/>
      <c r="CX153" s="1154"/>
      <c r="CY153" s="1154"/>
      <c r="CZ153" s="1154"/>
      <c r="DA153" s="1154"/>
      <c r="DB153" s="1154"/>
      <c r="DC153" s="1154"/>
      <c r="DD153" s="1154"/>
      <c r="DE153" s="1154"/>
      <c r="DF153" s="1154"/>
      <c r="DG153" s="1154"/>
      <c r="DH153" s="1154"/>
      <c r="DI153" s="1154"/>
      <c r="DJ153" s="1154"/>
      <c r="DK153" s="1154"/>
      <c r="DL153" s="1155"/>
      <c r="DM153" s="1155"/>
      <c r="DN153" s="1053"/>
      <c r="DO153" s="1053"/>
      <c r="DP153" s="1156"/>
      <c r="DQ153" s="1156"/>
      <c r="DR153" s="1156"/>
      <c r="DS153" s="1157"/>
      <c r="DT153" s="1155"/>
      <c r="DU153" s="1053"/>
      <c r="DV153" s="1053"/>
      <c r="DW153" s="1153"/>
      <c r="DX153" s="1156"/>
      <c r="DY153" s="1156"/>
      <c r="DZ153" s="1148"/>
      <c r="EB153" s="1153"/>
      <c r="EC153" s="1156"/>
      <c r="ED153" s="1155"/>
      <c r="EE153" s="1148"/>
      <c r="EF153" s="1146"/>
      <c r="EG153" s="1164"/>
      <c r="EH153" s="1165"/>
      <c r="EI153" s="1165"/>
      <c r="EJ153" s="1165"/>
      <c r="EK153" s="1165"/>
      <c r="EL153" s="1165"/>
      <c r="EM153" s="1165"/>
      <c r="EN153" s="1165"/>
      <c r="EO153" s="1165"/>
      <c r="EP153" s="1165"/>
      <c r="EQ153" s="1165"/>
      <c r="ER153" s="1165"/>
      <c r="ES153" s="1165"/>
      <c r="ET153" s="1165"/>
      <c r="EU153" s="1165"/>
      <c r="EV153" s="1157"/>
      <c r="EW153" s="1146"/>
      <c r="EX153" s="1165"/>
      <c r="EY153" s="1146"/>
      <c r="EZ153" s="1165"/>
      <c r="FA153" s="1146"/>
      <c r="FB153" s="1165"/>
      <c r="FC153" s="1165"/>
      <c r="FD153" s="1036"/>
      <c r="FE153" s="1165"/>
      <c r="FF153" s="1036"/>
      <c r="FG153" s="1165"/>
      <c r="FH153" s="1146"/>
      <c r="FI153" s="1165"/>
      <c r="FJ153" s="1165"/>
      <c r="FK153" s="1166"/>
      <c r="FL153" s="1165"/>
      <c r="FM153" s="1053"/>
      <c r="FN153" s="1156"/>
      <c r="FO153" s="1165"/>
      <c r="FP153" s="1165"/>
      <c r="FQ153" s="1165"/>
      <c r="FR153" s="1157"/>
      <c r="FS153" s="1165"/>
      <c r="FT153" s="1156"/>
      <c r="FU153" s="1156"/>
      <c r="FV153" s="1165"/>
      <c r="FW153" s="1156"/>
      <c r="FX153" s="1156"/>
      <c r="FY153" s="1165"/>
      <c r="FZ153" s="1165"/>
      <c r="GA153" s="1165"/>
      <c r="GB153" s="1165"/>
      <c r="GC153" s="1165"/>
      <c r="GD153" s="1166"/>
      <c r="GE153" s="1165"/>
      <c r="GF153" s="1165"/>
      <c r="GG153" s="1165"/>
      <c r="GH153" s="1156"/>
      <c r="GI153" s="1156"/>
      <c r="GJ153" s="1159"/>
      <c r="GK153" s="1156"/>
      <c r="GL153" s="1094">
        <v>-300</v>
      </c>
      <c r="GM153" s="1156"/>
      <c r="GN153" s="1156"/>
      <c r="GO153" s="1156">
        <f>GP153-GL153</f>
        <v>-200</v>
      </c>
      <c r="GP153" s="1156">
        <v>-500</v>
      </c>
      <c r="GQ153" s="1156"/>
      <c r="GR153" s="1154">
        <f>GS153-GP153</f>
        <v>-200</v>
      </c>
      <c r="GS153" s="1154">
        <v>-700</v>
      </c>
      <c r="GT153" s="1146">
        <f>GU153-GR153</f>
        <v>0</v>
      </c>
      <c r="GU153" s="1146">
        <f>GV153-GP153</f>
        <v>-200</v>
      </c>
      <c r="GV153" s="1163">
        <v>-700</v>
      </c>
      <c r="GW153" s="1154"/>
      <c r="GX153" s="1156"/>
      <c r="GY153" s="1156"/>
      <c r="GZ153" s="1156"/>
      <c r="HA153" s="1159"/>
      <c r="HB153" s="1156"/>
      <c r="HC153" s="1156"/>
      <c r="HD153" s="1156"/>
      <c r="HE153" s="1156"/>
      <c r="HF153" s="1156"/>
      <c r="HG153" s="1156"/>
      <c r="HH153" s="1156"/>
      <c r="HI153" s="1156"/>
      <c r="HJ153" s="1156"/>
      <c r="HK153" s="1156"/>
      <c r="HL153" s="1156"/>
      <c r="HM153" s="1156"/>
      <c r="HN153" s="1154"/>
      <c r="HO153" s="1154"/>
      <c r="HP153" s="1154"/>
      <c r="HQ153" s="1154"/>
      <c r="HR153" s="1146"/>
      <c r="HS153" s="1146"/>
      <c r="HT153" s="1146"/>
      <c r="HU153" s="1146"/>
      <c r="HV153" s="1154"/>
      <c r="HW153" s="1156"/>
      <c r="HX153" s="1156"/>
      <c r="HY153" s="1156"/>
      <c r="HZ153" s="1154"/>
      <c r="IA153" s="1156"/>
      <c r="IB153" s="1156"/>
      <c r="IC153" s="1159"/>
      <c r="ID153" s="1156"/>
      <c r="IE153" s="1160"/>
      <c r="IF153" s="1156"/>
      <c r="IG153" s="1156"/>
      <c r="IH153" s="1156"/>
      <c r="II153" s="1156"/>
      <c r="IJ153" s="1156"/>
      <c r="IK153" s="1156"/>
      <c r="IL153" s="1156"/>
      <c r="IM153" s="1156"/>
      <c r="IN153" s="1156"/>
      <c r="IO153" s="1156"/>
      <c r="IP153" s="1157"/>
      <c r="IQ153" s="1156"/>
      <c r="IR153" s="1157"/>
      <c r="IS153" s="1295"/>
      <c r="IT153" s="1156"/>
      <c r="IU153" s="1156"/>
      <c r="IV153" s="1156"/>
      <c r="IW153" s="1156"/>
      <c r="IX153" s="1156"/>
      <c r="IY153" s="1156"/>
      <c r="IZ153" s="1156"/>
      <c r="JA153" s="1156"/>
      <c r="JB153" s="1156"/>
      <c r="JC153" s="1156"/>
      <c r="JD153" s="1093"/>
      <c r="JE153" s="1156"/>
      <c r="JF153" s="1156"/>
      <c r="JG153" s="1156"/>
      <c r="JH153" s="1157"/>
      <c r="JI153" s="1295"/>
      <c r="JJ153" s="1306"/>
      <c r="JK153" s="1167"/>
      <c r="JL153" s="2243"/>
      <c r="JM153" s="2243"/>
      <c r="JN153" s="2243"/>
      <c r="JO153" s="2243"/>
      <c r="JP153" s="2243"/>
      <c r="JQ153" s="2243"/>
      <c r="JR153" s="2243"/>
      <c r="JS153" s="2243"/>
      <c r="JT153" s="1167"/>
      <c r="JU153" s="1167"/>
      <c r="JV153" s="1167"/>
      <c r="JW153" s="1167"/>
      <c r="JX153" s="1167"/>
      <c r="JY153" s="1167"/>
      <c r="JZ153" s="48"/>
      <c r="KA153" s="1278"/>
      <c r="KB153" s="1167"/>
      <c r="KC153" s="1167"/>
      <c r="KD153" s="1167"/>
      <c r="KE153" s="1167"/>
      <c r="KF153" s="1167"/>
      <c r="KG153" s="1167"/>
      <c r="KH153" s="1167"/>
      <c r="KI153" s="1278"/>
      <c r="KJ153" s="48"/>
      <c r="KK153" s="1156"/>
      <c r="KL153" s="1167"/>
      <c r="KM153" s="1167"/>
      <c r="KN153" s="48"/>
      <c r="KO153" s="1167"/>
      <c r="KP153" s="1165"/>
      <c r="KQ153" s="1166"/>
      <c r="KR153" s="1165"/>
      <c r="KS153" s="1166"/>
      <c r="KT153" s="1099"/>
      <c r="KU153" s="1165"/>
      <c r="KV153" s="1099"/>
      <c r="KW153" s="1163"/>
      <c r="KX153" s="1099"/>
      <c r="KY153" s="1099"/>
      <c r="KZ153" s="1163"/>
      <c r="LA153" s="1165"/>
      <c r="LB153" s="1099"/>
      <c r="LC153" s="1163">
        <v>-400</v>
      </c>
      <c r="LD153" s="1163"/>
      <c r="LE153" s="1099">
        <f t="shared" si="443"/>
        <v>-50</v>
      </c>
      <c r="LF153" s="1099">
        <f t="shared" si="444"/>
        <v>-250</v>
      </c>
      <c r="LG153" s="1163">
        <v>-750</v>
      </c>
    </row>
    <row r="154" spans="1:319" s="1158" customFormat="1">
      <c r="A154" s="1146"/>
      <c r="B154" s="1147" t="s">
        <v>1079</v>
      </c>
      <c r="C154" s="1040" t="s">
        <v>1267</v>
      </c>
      <c r="D154" s="1148"/>
      <c r="E154" s="1146"/>
      <c r="F154" s="1146"/>
      <c r="G154" s="1149"/>
      <c r="H154" s="1146"/>
      <c r="I154" s="1146"/>
      <c r="J154" s="1149"/>
      <c r="K154" s="1053"/>
      <c r="L154" s="1053"/>
      <c r="M154" s="1053"/>
      <c r="N154" s="1053"/>
      <c r="O154" s="1053"/>
      <c r="P154" s="1053"/>
      <c r="Q154" s="1053"/>
      <c r="R154" s="1053"/>
      <c r="S154" s="1150"/>
      <c r="T154" s="1053"/>
      <c r="U154" s="1053"/>
      <c r="V154" s="1053"/>
      <c r="W154" s="1053"/>
      <c r="X154" s="1053"/>
      <c r="Y154" s="1053"/>
      <c r="Z154" s="1053"/>
      <c r="AA154" s="1053"/>
      <c r="AB154" s="1150"/>
      <c r="AC154" s="1053"/>
      <c r="AD154" s="1053"/>
      <c r="AE154" s="1053"/>
      <c r="AF154" s="1053"/>
      <c r="AG154" s="1053"/>
      <c r="AH154" s="1053"/>
      <c r="AI154" s="1053"/>
      <c r="AJ154" s="1053"/>
      <c r="AK154" s="1148"/>
      <c r="AL154" s="1053"/>
      <c r="AM154" s="1053"/>
      <c r="AN154" s="1053"/>
      <c r="AO154" s="1053"/>
      <c r="AP154" s="1053"/>
      <c r="AQ154" s="1053"/>
      <c r="AR154" s="1053"/>
      <c r="AS154" s="1053"/>
      <c r="AT154" s="1148"/>
      <c r="AU154" s="1053"/>
      <c r="AV154" s="1053"/>
      <c r="AW154" s="1053"/>
      <c r="AX154" s="1053"/>
      <c r="AY154" s="1053"/>
      <c r="AZ154" s="1053"/>
      <c r="BA154" s="1053"/>
      <c r="BB154" s="1151"/>
      <c r="BC154" s="1151"/>
      <c r="BD154" s="1053"/>
      <c r="BE154" s="1053"/>
      <c r="BF154" s="1148"/>
      <c r="BG154" s="1053"/>
      <c r="BH154" s="1053"/>
      <c r="BI154" s="1053"/>
      <c r="BJ154" s="1148"/>
      <c r="BK154" s="1146"/>
      <c r="BL154" s="1146"/>
      <c r="BM154" s="1146"/>
      <c r="BN154" s="1146"/>
      <c r="BO154" s="1148"/>
      <c r="BP154" s="1053"/>
      <c r="BQ154" s="1053"/>
      <c r="BR154" s="1053"/>
      <c r="BS154" s="1053"/>
      <c r="BT154" s="1151"/>
      <c r="BU154" s="1151"/>
      <c r="BV154" s="1053"/>
      <c r="BW154" s="1053"/>
      <c r="BX154" s="1053"/>
      <c r="BY154" s="1053"/>
      <c r="BZ154" s="1053"/>
      <c r="CA154" s="1053"/>
      <c r="CB154" s="1053"/>
      <c r="CC154" s="1053"/>
      <c r="CD154" s="1053"/>
      <c r="CE154" s="1053"/>
      <c r="CF154" s="1148"/>
      <c r="CG154" s="1152"/>
      <c r="CH154" s="1146"/>
      <c r="CI154" s="1146"/>
      <c r="CJ154" s="1146"/>
      <c r="CK154" s="1146"/>
      <c r="CL154" s="1153"/>
      <c r="CM154" s="1146"/>
      <c r="CN154" s="1146"/>
      <c r="CO154" s="1146"/>
      <c r="CP154" s="1154"/>
      <c r="CQ154" s="1154"/>
      <c r="CR154" s="1146"/>
      <c r="CS154" s="1146"/>
      <c r="CT154" s="1146"/>
      <c r="CU154" s="1146"/>
      <c r="CV154" s="1154"/>
      <c r="CW154" s="1163"/>
      <c r="CX154" s="1154"/>
      <c r="CY154" s="1154"/>
      <c r="CZ154" s="1154"/>
      <c r="DA154" s="1154"/>
      <c r="DB154" s="1154"/>
      <c r="DC154" s="1154"/>
      <c r="DD154" s="1154"/>
      <c r="DE154" s="1154"/>
      <c r="DF154" s="1154"/>
      <c r="DG154" s="1154"/>
      <c r="DH154" s="1154"/>
      <c r="DI154" s="1154"/>
      <c r="DJ154" s="1154"/>
      <c r="DK154" s="1154"/>
      <c r="DL154" s="1155"/>
      <c r="DM154" s="1155"/>
      <c r="DN154" s="1053"/>
      <c r="DO154" s="1053"/>
      <c r="DP154" s="1156"/>
      <c r="DQ154" s="1156"/>
      <c r="DR154" s="1156"/>
      <c r="DS154" s="1157"/>
      <c r="DT154" s="1155"/>
      <c r="DU154" s="1053"/>
      <c r="DV154" s="1053"/>
      <c r="DW154" s="1153"/>
      <c r="DX154" s="1156"/>
      <c r="DY154" s="1156"/>
      <c r="DZ154" s="1148"/>
      <c r="EB154" s="1153"/>
      <c r="EC154" s="1156"/>
      <c r="ED154" s="1155"/>
      <c r="EE154" s="1148"/>
      <c r="EF154" s="1146"/>
      <c r="EG154" s="1164"/>
      <c r="EH154" s="1165"/>
      <c r="EI154" s="1165"/>
      <c r="EJ154" s="1165"/>
      <c r="EK154" s="1165"/>
      <c r="EL154" s="1165"/>
      <c r="EM154" s="1165"/>
      <c r="EN154" s="1165"/>
      <c r="EO154" s="1165"/>
      <c r="EP154" s="1165"/>
      <c r="EQ154" s="1165"/>
      <c r="ER154" s="1165"/>
      <c r="ES154" s="1165"/>
      <c r="ET154" s="1165"/>
      <c r="EU154" s="1165"/>
      <c r="EV154" s="1157"/>
      <c r="EW154" s="1146"/>
      <c r="EX154" s="1165"/>
      <c r="EY154" s="1146"/>
      <c r="EZ154" s="1165"/>
      <c r="FA154" s="1146"/>
      <c r="FB154" s="1165"/>
      <c r="FC154" s="1165"/>
      <c r="FD154" s="1036"/>
      <c r="FE154" s="1165"/>
      <c r="FF154" s="1036"/>
      <c r="FG154" s="1165"/>
      <c r="FH154" s="1146"/>
      <c r="FI154" s="1165"/>
      <c r="FJ154" s="1165"/>
      <c r="FK154" s="1166"/>
      <c r="FL154" s="1165"/>
      <c r="FM154" s="1053"/>
      <c r="FN154" s="1156"/>
      <c r="FO154" s="1165"/>
      <c r="FP154" s="1165"/>
      <c r="FQ154" s="1165"/>
      <c r="FR154" s="1157"/>
      <c r="FS154" s="1165"/>
      <c r="FT154" s="1156"/>
      <c r="FU154" s="1156"/>
      <c r="FV154" s="1165"/>
      <c r="FW154" s="1156"/>
      <c r="FX154" s="1156"/>
      <c r="FY154" s="1165"/>
      <c r="FZ154" s="1165"/>
      <c r="GA154" s="1165"/>
      <c r="GB154" s="1165"/>
      <c r="GC154" s="1165"/>
      <c r="GD154" s="1166"/>
      <c r="GE154" s="1165"/>
      <c r="GF154" s="1165"/>
      <c r="GG154" s="1165"/>
      <c r="GH154" s="1156"/>
      <c r="GI154" s="1156"/>
      <c r="GJ154" s="1159"/>
      <c r="GK154" s="1156"/>
      <c r="GL154" s="1094">
        <v>-100</v>
      </c>
      <c r="GM154" s="1156"/>
      <c r="GN154" s="1156"/>
      <c r="GO154" s="1156">
        <f>GP154-GL154</f>
        <v>-350</v>
      </c>
      <c r="GP154" s="1156">
        <v>-450</v>
      </c>
      <c r="GQ154" s="1156"/>
      <c r="GR154" s="1154">
        <f>GS154-GP154</f>
        <v>-250</v>
      </c>
      <c r="GS154" s="1154">
        <v>-700</v>
      </c>
      <c r="GT154" s="1146">
        <f>GU154-GR154</f>
        <v>-100</v>
      </c>
      <c r="GU154" s="1146">
        <f>GV154-GP154</f>
        <v>-350</v>
      </c>
      <c r="GV154" s="1163">
        <v>-800</v>
      </c>
      <c r="GW154" s="1154"/>
      <c r="GX154" s="1156"/>
      <c r="GY154" s="1156"/>
      <c r="GZ154" s="1156"/>
      <c r="HA154" s="1159"/>
      <c r="HB154" s="1156"/>
      <c r="HC154" s="1156"/>
      <c r="HD154" s="1156"/>
      <c r="HE154" s="1156"/>
      <c r="HF154" s="1156"/>
      <c r="HG154" s="1156"/>
      <c r="HH154" s="1156"/>
      <c r="HI154" s="1156"/>
      <c r="HJ154" s="1156"/>
      <c r="HK154" s="1156"/>
      <c r="HL154" s="1156"/>
      <c r="HM154" s="1156"/>
      <c r="HN154" s="1154"/>
      <c r="HO154" s="1154"/>
      <c r="HP154" s="1154"/>
      <c r="HQ154" s="1154"/>
      <c r="HR154" s="1146"/>
      <c r="HS154" s="1146"/>
      <c r="HT154" s="1146"/>
      <c r="HU154" s="1146"/>
      <c r="HV154" s="1154"/>
      <c r="HW154" s="1156"/>
      <c r="HX154" s="1156"/>
      <c r="HY154" s="1156"/>
      <c r="HZ154" s="1154"/>
      <c r="IA154" s="1156"/>
      <c r="IB154" s="1156"/>
      <c r="IC154" s="1159"/>
      <c r="ID154" s="1156"/>
      <c r="IE154" s="1160"/>
      <c r="IF154" s="1156"/>
      <c r="IG154" s="1156"/>
      <c r="IH154" s="1156"/>
      <c r="II154" s="1156"/>
      <c r="IJ154" s="1156"/>
      <c r="IK154" s="1156"/>
      <c r="IL154" s="1156"/>
      <c r="IM154" s="1156"/>
      <c r="IN154" s="1156"/>
      <c r="IO154" s="1156"/>
      <c r="IP154" s="1157"/>
      <c r="IQ154" s="1156"/>
      <c r="IR154" s="1157"/>
      <c r="IS154" s="1295"/>
      <c r="IT154" s="1156"/>
      <c r="IU154" s="1156"/>
      <c r="IV154" s="1156"/>
      <c r="IW154" s="1156"/>
      <c r="IX154" s="1156"/>
      <c r="IY154" s="1156"/>
      <c r="IZ154" s="1156"/>
      <c r="JA154" s="1156"/>
      <c r="JB154" s="1156"/>
      <c r="JC154" s="1156"/>
      <c r="JD154" s="1093"/>
      <c r="JE154" s="1156"/>
      <c r="JF154" s="1156"/>
      <c r="JG154" s="1156"/>
      <c r="JH154" s="1157"/>
      <c r="JI154" s="1295"/>
      <c r="JJ154" s="1306"/>
      <c r="JK154" s="1167"/>
      <c r="JL154" s="2243"/>
      <c r="JM154" s="2243"/>
      <c r="JN154" s="2243"/>
      <c r="JO154" s="2243"/>
      <c r="JP154" s="2243"/>
      <c r="JQ154" s="2243"/>
      <c r="JR154" s="2243"/>
      <c r="JS154" s="2243"/>
      <c r="JT154" s="1167"/>
      <c r="JU154" s="1167"/>
      <c r="JV154" s="1167"/>
      <c r="JW154" s="1167"/>
      <c r="JX154" s="1167"/>
      <c r="JY154" s="1167"/>
      <c r="JZ154" s="48"/>
      <c r="KA154" s="1278"/>
      <c r="KB154" s="1167"/>
      <c r="KC154" s="1167"/>
      <c r="KD154" s="1167"/>
      <c r="KE154" s="1167"/>
      <c r="KF154" s="1167"/>
      <c r="KG154" s="1167"/>
      <c r="KH154" s="1167"/>
      <c r="KI154" s="1278"/>
      <c r="KJ154" s="48"/>
      <c r="KK154" s="1156"/>
      <c r="KL154" s="1167"/>
      <c r="KM154" s="1167"/>
      <c r="KN154" s="48"/>
      <c r="KO154" s="1167"/>
      <c r="KP154" s="1165"/>
      <c r="KQ154" s="1166"/>
      <c r="KR154" s="1165"/>
      <c r="KS154" s="1166"/>
      <c r="KT154" s="1099"/>
      <c r="KU154" s="1165"/>
      <c r="KV154" s="1099"/>
      <c r="KW154" s="1163"/>
      <c r="KX154" s="1099"/>
      <c r="KY154" s="1099"/>
      <c r="KZ154" s="1163"/>
      <c r="LA154" s="1165"/>
      <c r="LB154" s="1099"/>
      <c r="LC154" s="1163"/>
      <c r="LD154" s="1163"/>
      <c r="LE154" s="1099">
        <f t="shared" si="443"/>
        <v>50</v>
      </c>
      <c r="LF154" s="1099">
        <f t="shared" si="444"/>
        <v>-200</v>
      </c>
      <c r="LG154" s="1163">
        <v>-650</v>
      </c>
    </row>
    <row r="155" spans="1:319" s="1158" customFormat="1">
      <c r="A155" s="1146"/>
      <c r="B155" s="1147" t="s">
        <v>178</v>
      </c>
      <c r="C155" s="1168" t="s">
        <v>1311</v>
      </c>
      <c r="D155" s="1148"/>
      <c r="E155" s="1146"/>
      <c r="F155" s="1146"/>
      <c r="G155" s="1149"/>
      <c r="H155" s="1146"/>
      <c r="I155" s="1146"/>
      <c r="J155" s="1149"/>
      <c r="K155" s="1053"/>
      <c r="L155" s="1053"/>
      <c r="M155" s="1053"/>
      <c r="N155" s="1053"/>
      <c r="O155" s="1053"/>
      <c r="P155" s="1053"/>
      <c r="Q155" s="1053"/>
      <c r="R155" s="1053"/>
      <c r="S155" s="1150"/>
      <c r="T155" s="1053"/>
      <c r="U155" s="1053"/>
      <c r="V155" s="1053"/>
      <c r="W155" s="1053"/>
      <c r="X155" s="1053"/>
      <c r="Y155" s="1053"/>
      <c r="Z155" s="1053"/>
      <c r="AA155" s="1053"/>
      <c r="AB155" s="1150"/>
      <c r="AC155" s="1053"/>
      <c r="AD155" s="1053"/>
      <c r="AE155" s="1053"/>
      <c r="AF155" s="1053"/>
      <c r="AG155" s="1053"/>
      <c r="AH155" s="1053"/>
      <c r="AI155" s="1053"/>
      <c r="AJ155" s="1053"/>
      <c r="AK155" s="1148"/>
      <c r="AL155" s="1053"/>
      <c r="AM155" s="1053"/>
      <c r="AN155" s="1053"/>
      <c r="AO155" s="1053"/>
      <c r="AP155" s="1053"/>
      <c r="AQ155" s="1053"/>
      <c r="AR155" s="1053"/>
      <c r="AS155" s="1053"/>
      <c r="AT155" s="1148"/>
      <c r="AU155" s="1053"/>
      <c r="AV155" s="1053"/>
      <c r="AW155" s="1053"/>
      <c r="AX155" s="1053"/>
      <c r="AY155" s="1053"/>
      <c r="AZ155" s="1053"/>
      <c r="BA155" s="1053"/>
      <c r="BB155" s="1151"/>
      <c r="BC155" s="1151"/>
      <c r="BD155" s="1053"/>
      <c r="BE155" s="1053"/>
      <c r="BF155" s="1148"/>
      <c r="BG155" s="1053"/>
      <c r="BH155" s="1053"/>
      <c r="BI155" s="1053"/>
      <c r="BJ155" s="1148"/>
      <c r="BK155" s="1146"/>
      <c r="BL155" s="1146"/>
      <c r="BM155" s="1146"/>
      <c r="BN155" s="1146"/>
      <c r="BO155" s="1148"/>
      <c r="BP155" s="1053"/>
      <c r="BQ155" s="1053"/>
      <c r="BR155" s="1053"/>
      <c r="BS155" s="1053"/>
      <c r="BT155" s="1151"/>
      <c r="BU155" s="1151"/>
      <c r="BV155" s="1053"/>
      <c r="BW155" s="1053"/>
      <c r="BX155" s="1053"/>
      <c r="BY155" s="1053"/>
      <c r="BZ155" s="1053"/>
      <c r="CA155" s="1053"/>
      <c r="CB155" s="1053"/>
      <c r="CC155" s="1053"/>
      <c r="CD155" s="1053"/>
      <c r="CE155" s="1053"/>
      <c r="CF155" s="1148"/>
      <c r="CG155" s="1152"/>
      <c r="CH155" s="1146"/>
      <c r="CI155" s="1146"/>
      <c r="CJ155" s="1146"/>
      <c r="CK155" s="1146"/>
      <c r="CL155" s="1153"/>
      <c r="CM155" s="1146"/>
      <c r="CN155" s="1146"/>
      <c r="CO155" s="1146"/>
      <c r="CP155" s="1154"/>
      <c r="CQ155" s="1154"/>
      <c r="CR155" s="1146"/>
      <c r="CS155" s="1146"/>
      <c r="CT155" s="1146"/>
      <c r="CU155" s="1146"/>
      <c r="CV155" s="1154"/>
      <c r="CW155" s="1163"/>
      <c r="CX155" s="1154"/>
      <c r="CY155" s="1154"/>
      <c r="CZ155" s="1154"/>
      <c r="DA155" s="1154"/>
      <c r="DB155" s="1154"/>
      <c r="DC155" s="1154"/>
      <c r="DD155" s="1154"/>
      <c r="DE155" s="1154"/>
      <c r="DF155" s="1154"/>
      <c r="DG155" s="1154"/>
      <c r="DH155" s="1154"/>
      <c r="DI155" s="1154"/>
      <c r="DJ155" s="1154"/>
      <c r="DK155" s="1154"/>
      <c r="DL155" s="1155"/>
      <c r="DM155" s="1155"/>
      <c r="DN155" s="1053"/>
      <c r="DO155" s="1053"/>
      <c r="DP155" s="1156"/>
      <c r="DQ155" s="1156"/>
      <c r="DR155" s="1156"/>
      <c r="DS155" s="1157"/>
      <c r="DT155" s="1155"/>
      <c r="DU155" s="1053"/>
      <c r="DV155" s="1053"/>
      <c r="DW155" s="1153"/>
      <c r="DX155" s="1156"/>
      <c r="DY155" s="1156"/>
      <c r="DZ155" s="1148"/>
      <c r="EB155" s="1153"/>
      <c r="EC155" s="1156"/>
      <c r="ED155" s="1155"/>
      <c r="EE155" s="1148"/>
      <c r="EF155" s="1146"/>
      <c r="EG155" s="1164"/>
      <c r="EH155" s="1165"/>
      <c r="EI155" s="1165"/>
      <c r="EJ155" s="1165"/>
      <c r="EK155" s="1165"/>
      <c r="EL155" s="1165"/>
      <c r="EM155" s="1165"/>
      <c r="EN155" s="1165"/>
      <c r="EO155" s="1165"/>
      <c r="EP155" s="1165"/>
      <c r="EQ155" s="1165"/>
      <c r="ER155" s="1165"/>
      <c r="ES155" s="1165"/>
      <c r="ET155" s="1165"/>
      <c r="EU155" s="1165"/>
      <c r="EV155" s="1157"/>
      <c r="EW155" s="1146"/>
      <c r="EX155" s="1165"/>
      <c r="EY155" s="1146"/>
      <c r="EZ155" s="1165"/>
      <c r="FA155" s="1146"/>
      <c r="FB155" s="1165"/>
      <c r="FC155" s="1165"/>
      <c r="FD155" s="1036"/>
      <c r="FE155" s="1165"/>
      <c r="FF155" s="1036"/>
      <c r="FG155" s="1165"/>
      <c r="FH155" s="1146"/>
      <c r="FI155" s="1165"/>
      <c r="FJ155" s="1165"/>
      <c r="FK155" s="1166"/>
      <c r="FL155" s="1165"/>
      <c r="FM155" s="1053"/>
      <c r="FN155" s="1156"/>
      <c r="FO155" s="1165"/>
      <c r="FP155" s="1165"/>
      <c r="FQ155" s="1165"/>
      <c r="FR155" s="1157"/>
      <c r="FS155" s="1165"/>
      <c r="FT155" s="1156"/>
      <c r="FU155" s="1156"/>
      <c r="FV155" s="1165"/>
      <c r="FW155" s="1156"/>
      <c r="FX155" s="1156"/>
      <c r="FY155" s="1165"/>
      <c r="FZ155" s="1165"/>
      <c r="GA155" s="1165"/>
      <c r="GB155" s="1165"/>
      <c r="GC155" s="1165"/>
      <c r="GD155" s="1166"/>
      <c r="GE155" s="1165"/>
      <c r="GF155" s="1165"/>
      <c r="GG155" s="1165"/>
      <c r="GH155" s="1156"/>
      <c r="GI155" s="1156"/>
      <c r="GJ155" s="1159"/>
      <c r="GK155" s="1156"/>
      <c r="GL155" s="1156"/>
      <c r="GM155" s="1156"/>
      <c r="GN155" s="1156"/>
      <c r="GO155" s="1156"/>
      <c r="GP155" s="1156">
        <v>-100</v>
      </c>
      <c r="GQ155" s="1156"/>
      <c r="GR155" s="1165"/>
      <c r="GS155" s="1154"/>
      <c r="GT155" s="1146">
        <f>GU155-GR155</f>
        <v>100</v>
      </c>
      <c r="GU155" s="1146">
        <f>GV155-GP155</f>
        <v>100</v>
      </c>
      <c r="GV155" s="1163"/>
      <c r="GW155" s="1154"/>
      <c r="GX155" s="1156"/>
      <c r="GY155" s="1156"/>
      <c r="GZ155" s="1156"/>
      <c r="HA155" s="1159"/>
      <c r="HB155" s="1156"/>
      <c r="HC155" s="1156"/>
      <c r="HD155" s="1156"/>
      <c r="HE155" s="1156"/>
      <c r="HF155" s="1156"/>
      <c r="HG155" s="1156"/>
      <c r="HH155" s="1156"/>
      <c r="HI155" s="1156"/>
      <c r="HJ155" s="1156"/>
      <c r="HK155" s="1156"/>
      <c r="HL155" s="1156"/>
      <c r="HM155" s="1156"/>
      <c r="HN155" s="1165"/>
      <c r="HO155" s="1165"/>
      <c r="HP155" s="1154"/>
      <c r="HQ155" s="1154"/>
      <c r="HR155" s="1146"/>
      <c r="HS155" s="1146"/>
      <c r="HT155" s="1146"/>
      <c r="HU155" s="1146"/>
      <c r="HV155" s="1154"/>
      <c r="HW155" s="1156"/>
      <c r="HX155" s="1156"/>
      <c r="HY155" s="1156"/>
      <c r="HZ155" s="1154"/>
      <c r="IA155" s="1156"/>
      <c r="IB155" s="1156"/>
      <c r="IC155" s="1159"/>
      <c r="ID155" s="1156"/>
      <c r="IE155" s="1160"/>
      <c r="IF155" s="1156"/>
      <c r="IG155" s="1156"/>
      <c r="IH155" s="1156"/>
      <c r="II155" s="1156"/>
      <c r="IJ155" s="1156"/>
      <c r="IK155" s="1156"/>
      <c r="IL155" s="1156"/>
      <c r="IM155" s="1156"/>
      <c r="IN155" s="1156"/>
      <c r="IO155" s="1156"/>
      <c r="IP155" s="1157"/>
      <c r="IQ155" s="1156"/>
      <c r="IR155" s="1157"/>
      <c r="IS155" s="1295"/>
      <c r="IT155" s="1156"/>
      <c r="IU155" s="1156"/>
      <c r="IV155" s="1156"/>
      <c r="IW155" s="1156"/>
      <c r="IX155" s="1156"/>
      <c r="IY155" s="1156"/>
      <c r="IZ155" s="1156"/>
      <c r="JA155" s="1156"/>
      <c r="JB155" s="1156"/>
      <c r="JC155" s="1156"/>
      <c r="JD155" s="1093"/>
      <c r="JE155" s="1156"/>
      <c r="JF155" s="1156"/>
      <c r="JG155" s="1156"/>
      <c r="JH155" s="1157"/>
      <c r="JI155" s="1295"/>
      <c r="JJ155" s="1306"/>
      <c r="JK155" s="1167"/>
      <c r="JL155" s="2243"/>
      <c r="JM155" s="2243"/>
      <c r="JN155" s="2243"/>
      <c r="JO155" s="2243"/>
      <c r="JP155" s="2243"/>
      <c r="JQ155" s="2243"/>
      <c r="JR155" s="2243"/>
      <c r="JS155" s="2243"/>
      <c r="JT155" s="1167"/>
      <c r="JU155" s="1167"/>
      <c r="JV155" s="1167"/>
      <c r="JW155" s="1167"/>
      <c r="JX155" s="1167"/>
      <c r="JY155" s="1167"/>
      <c r="JZ155" s="48"/>
      <c r="KA155" s="1278"/>
      <c r="KB155" s="1167"/>
      <c r="KC155" s="1167"/>
      <c r="KD155" s="1167"/>
      <c r="KE155" s="1167"/>
      <c r="KF155" s="1167"/>
      <c r="KG155" s="1167"/>
      <c r="KH155" s="1167"/>
      <c r="KI155" s="1278"/>
      <c r="KJ155" s="48"/>
      <c r="KK155" s="1156"/>
      <c r="KL155" s="1167"/>
      <c r="KM155" s="1167"/>
      <c r="KN155" s="48"/>
      <c r="KO155" s="1167"/>
      <c r="KP155" s="1165"/>
      <c r="KQ155" s="1166"/>
      <c r="KR155" s="1165"/>
      <c r="KS155" s="1166"/>
      <c r="KT155" s="1099"/>
      <c r="KU155" s="1165"/>
      <c r="KV155" s="1099"/>
      <c r="KW155" s="1163"/>
      <c r="KX155" s="1099"/>
      <c r="KY155" s="1099"/>
      <c r="KZ155" s="1163"/>
      <c r="LA155" s="1165"/>
      <c r="LB155" s="1099"/>
      <c r="LC155" s="1163"/>
      <c r="LD155" s="1163"/>
      <c r="LE155" s="1099">
        <f t="shared" si="443"/>
        <v>-100</v>
      </c>
      <c r="LF155" s="1099">
        <f t="shared" si="444"/>
        <v>-100</v>
      </c>
      <c r="LG155" s="1163">
        <v>-200</v>
      </c>
    </row>
    <row r="156" spans="1:319" s="1158" customFormat="1">
      <c r="A156" s="1146"/>
      <c r="B156" s="1147" t="s">
        <v>196</v>
      </c>
      <c r="C156" s="1040" t="s">
        <v>1263</v>
      </c>
      <c r="D156" s="1148"/>
      <c r="E156" s="1146"/>
      <c r="F156" s="1146"/>
      <c r="G156" s="1149"/>
      <c r="H156" s="1146"/>
      <c r="I156" s="1146"/>
      <c r="J156" s="1149"/>
      <c r="K156" s="1053"/>
      <c r="L156" s="1053"/>
      <c r="M156" s="1053"/>
      <c r="N156" s="1053"/>
      <c r="O156" s="1053"/>
      <c r="P156" s="1053"/>
      <c r="Q156" s="1053"/>
      <c r="R156" s="1053"/>
      <c r="S156" s="1150"/>
      <c r="T156" s="1053"/>
      <c r="U156" s="1053"/>
      <c r="V156" s="1053"/>
      <c r="W156" s="1053"/>
      <c r="X156" s="1053"/>
      <c r="Y156" s="1053"/>
      <c r="Z156" s="1053"/>
      <c r="AA156" s="1053"/>
      <c r="AB156" s="1150"/>
      <c r="AC156" s="1053"/>
      <c r="AD156" s="1053"/>
      <c r="AE156" s="1053"/>
      <c r="AF156" s="1053"/>
      <c r="AG156" s="1053"/>
      <c r="AH156" s="1053"/>
      <c r="AI156" s="1053"/>
      <c r="AJ156" s="1053"/>
      <c r="AK156" s="1148"/>
      <c r="AL156" s="1053"/>
      <c r="AM156" s="1053"/>
      <c r="AN156" s="1053"/>
      <c r="AO156" s="1053"/>
      <c r="AP156" s="1053"/>
      <c r="AQ156" s="1053"/>
      <c r="AR156" s="1053"/>
      <c r="AS156" s="1053"/>
      <c r="AT156" s="1148"/>
      <c r="AU156" s="1053"/>
      <c r="AV156" s="1053"/>
      <c r="AW156" s="1053"/>
      <c r="AX156" s="1053"/>
      <c r="AY156" s="1053"/>
      <c r="AZ156" s="1053"/>
      <c r="BA156" s="1053"/>
      <c r="BB156" s="1151"/>
      <c r="BC156" s="1151"/>
      <c r="BD156" s="1053"/>
      <c r="BE156" s="1053"/>
      <c r="BF156" s="1148"/>
      <c r="BG156" s="1053"/>
      <c r="BH156" s="1053"/>
      <c r="BI156" s="1053"/>
      <c r="BJ156" s="1148"/>
      <c r="BK156" s="1146"/>
      <c r="BL156" s="1146"/>
      <c r="BM156" s="1146"/>
      <c r="BN156" s="1146"/>
      <c r="BO156" s="1148"/>
      <c r="BP156" s="1053"/>
      <c r="BQ156" s="1053"/>
      <c r="BR156" s="1053"/>
      <c r="BS156" s="1053"/>
      <c r="BT156" s="1151"/>
      <c r="BU156" s="1151"/>
      <c r="BV156" s="1053"/>
      <c r="BW156" s="1053"/>
      <c r="BX156" s="1053"/>
      <c r="BY156" s="1053"/>
      <c r="BZ156" s="1053"/>
      <c r="CA156" s="1053"/>
      <c r="CB156" s="1053"/>
      <c r="CC156" s="1053"/>
      <c r="CD156" s="1053"/>
      <c r="CE156" s="1053"/>
      <c r="CF156" s="1148"/>
      <c r="CG156" s="1152"/>
      <c r="CH156" s="1146"/>
      <c r="CI156" s="1146"/>
      <c r="CJ156" s="1146"/>
      <c r="CK156" s="1146"/>
      <c r="CL156" s="1153"/>
      <c r="CM156" s="1146"/>
      <c r="CN156" s="1146"/>
      <c r="CO156" s="1146"/>
      <c r="CP156" s="1154"/>
      <c r="CQ156" s="1154"/>
      <c r="CR156" s="1146"/>
      <c r="CS156" s="1146"/>
      <c r="CT156" s="1146"/>
      <c r="CU156" s="1146"/>
      <c r="CV156" s="1154"/>
      <c r="CW156" s="1163"/>
      <c r="CX156" s="1154"/>
      <c r="CY156" s="1154"/>
      <c r="CZ156" s="1154"/>
      <c r="DA156" s="1154"/>
      <c r="DB156" s="1154"/>
      <c r="DC156" s="1154"/>
      <c r="DD156" s="1154"/>
      <c r="DE156" s="1154"/>
      <c r="DF156" s="1154"/>
      <c r="DG156" s="1154"/>
      <c r="DH156" s="1154"/>
      <c r="DI156" s="1154"/>
      <c r="DJ156" s="1154"/>
      <c r="DK156" s="1154"/>
      <c r="DL156" s="1155"/>
      <c r="DM156" s="1155"/>
      <c r="DN156" s="1053"/>
      <c r="DO156" s="1053"/>
      <c r="DP156" s="1156"/>
      <c r="DQ156" s="1156"/>
      <c r="DR156" s="1156"/>
      <c r="DS156" s="1157"/>
      <c r="DT156" s="1155"/>
      <c r="DU156" s="1053"/>
      <c r="DV156" s="1053"/>
      <c r="DW156" s="1153"/>
      <c r="DX156" s="1156"/>
      <c r="DY156" s="1156"/>
      <c r="DZ156" s="1148"/>
      <c r="EB156" s="1153"/>
      <c r="EC156" s="1156"/>
      <c r="ED156" s="1155"/>
      <c r="EE156" s="1148"/>
      <c r="EF156" s="1146"/>
      <c r="EG156" s="1164"/>
      <c r="EH156" s="1165"/>
      <c r="EI156" s="1165"/>
      <c r="EJ156" s="1165"/>
      <c r="EK156" s="1165"/>
      <c r="EL156" s="1165"/>
      <c r="EM156" s="1165"/>
      <c r="EN156" s="1165"/>
      <c r="EO156" s="1165"/>
      <c r="EP156" s="1165"/>
      <c r="EQ156" s="1165"/>
      <c r="ER156" s="1165"/>
      <c r="ES156" s="1165"/>
      <c r="ET156" s="1165"/>
      <c r="EU156" s="1165"/>
      <c r="EV156" s="1157"/>
      <c r="EW156" s="1146"/>
      <c r="EX156" s="1165"/>
      <c r="EY156" s="1146"/>
      <c r="EZ156" s="1165"/>
      <c r="FA156" s="1146"/>
      <c r="FB156" s="1165"/>
      <c r="FC156" s="1165"/>
      <c r="FD156" s="1036"/>
      <c r="FE156" s="1165"/>
      <c r="FF156" s="1036"/>
      <c r="FG156" s="1165"/>
      <c r="FH156" s="1146"/>
      <c r="FI156" s="1165"/>
      <c r="FJ156" s="1165"/>
      <c r="FK156" s="1166"/>
      <c r="FL156" s="1165"/>
      <c r="FM156" s="1053"/>
      <c r="FN156" s="1156"/>
      <c r="FO156" s="1165"/>
      <c r="FP156" s="1165"/>
      <c r="FQ156" s="1165"/>
      <c r="FR156" s="1157"/>
      <c r="FS156" s="1165"/>
      <c r="FT156" s="1156"/>
      <c r="FU156" s="1156"/>
      <c r="FV156" s="1165"/>
      <c r="FW156" s="1156"/>
      <c r="FX156" s="1156"/>
      <c r="FY156" s="1165"/>
      <c r="FZ156" s="1165"/>
      <c r="GA156" s="1165"/>
      <c r="GB156" s="1165"/>
      <c r="GC156" s="1165"/>
      <c r="GD156" s="1166"/>
      <c r="GE156" s="1165"/>
      <c r="GF156" s="1165"/>
      <c r="GG156" s="1165"/>
      <c r="GH156" s="1156"/>
      <c r="GI156" s="1156"/>
      <c r="GJ156" s="1159"/>
      <c r="GK156" s="1156"/>
      <c r="GL156" s="1156"/>
      <c r="GM156" s="1156"/>
      <c r="GN156" s="1156"/>
      <c r="GO156" s="1156"/>
      <c r="GP156" s="1156">
        <v>-50</v>
      </c>
      <c r="GQ156" s="1156"/>
      <c r="GR156" s="1165"/>
      <c r="GS156" s="1154"/>
      <c r="GT156" s="1165"/>
      <c r="GU156" s="1165"/>
      <c r="GV156" s="1163"/>
      <c r="GW156" s="1154"/>
      <c r="GX156" s="1156"/>
      <c r="GY156" s="1156"/>
      <c r="GZ156" s="1156"/>
      <c r="HA156" s="1159"/>
      <c r="HB156" s="1156"/>
      <c r="HC156" s="1156"/>
      <c r="HD156" s="1156"/>
      <c r="HE156" s="1156"/>
      <c r="HF156" s="1156"/>
      <c r="HG156" s="1156"/>
      <c r="HH156" s="1156"/>
      <c r="HI156" s="1156"/>
      <c r="HJ156" s="1156"/>
      <c r="HK156" s="1156"/>
      <c r="HL156" s="1156"/>
      <c r="HM156" s="1156"/>
      <c r="HN156" s="1165"/>
      <c r="HO156" s="1165"/>
      <c r="HP156" s="1154"/>
      <c r="HQ156" s="1154"/>
      <c r="HR156" s="1165"/>
      <c r="HS156" s="1165"/>
      <c r="HT156" s="1165"/>
      <c r="HU156" s="1165"/>
      <c r="HV156" s="1154"/>
      <c r="HW156" s="1156"/>
      <c r="HX156" s="1156"/>
      <c r="HY156" s="1156"/>
      <c r="HZ156" s="1154"/>
      <c r="IA156" s="1156"/>
      <c r="IB156" s="1156"/>
      <c r="IC156" s="1159"/>
      <c r="ID156" s="1156"/>
      <c r="IE156" s="1160"/>
      <c r="IF156" s="1156"/>
      <c r="IG156" s="1156"/>
      <c r="IH156" s="1156"/>
      <c r="II156" s="1156"/>
      <c r="IJ156" s="1156"/>
      <c r="IK156" s="1156"/>
      <c r="IL156" s="1156"/>
      <c r="IM156" s="1156"/>
      <c r="IN156" s="1156"/>
      <c r="IO156" s="1156"/>
      <c r="IP156" s="1157"/>
      <c r="IQ156" s="1156"/>
      <c r="IR156" s="1157"/>
      <c r="IS156" s="1295"/>
      <c r="IT156" s="1156"/>
      <c r="IU156" s="1156"/>
      <c r="IV156" s="1156"/>
      <c r="IW156" s="1156"/>
      <c r="IX156" s="1156"/>
      <c r="IY156" s="1156"/>
      <c r="IZ156" s="1156"/>
      <c r="JA156" s="1156"/>
      <c r="JB156" s="1156"/>
      <c r="JC156" s="1156"/>
      <c r="JD156" s="1093"/>
      <c r="JE156" s="1156"/>
      <c r="JF156" s="1156"/>
      <c r="JG156" s="1156"/>
      <c r="JH156" s="1157"/>
      <c r="JI156" s="1295"/>
      <c r="JJ156" s="1306"/>
      <c r="JK156" s="1167"/>
      <c r="JL156" s="2243"/>
      <c r="JM156" s="2243"/>
      <c r="JN156" s="2243"/>
      <c r="JO156" s="2243"/>
      <c r="JP156" s="2243"/>
      <c r="JQ156" s="2243"/>
      <c r="JR156" s="2243"/>
      <c r="JS156" s="2243"/>
      <c r="JT156" s="1167"/>
      <c r="JU156" s="1167"/>
      <c r="JV156" s="1167"/>
      <c r="JW156" s="1167"/>
      <c r="JX156" s="1167"/>
      <c r="JY156" s="1167"/>
      <c r="JZ156" s="48"/>
      <c r="KA156" s="1278"/>
      <c r="KB156" s="1167"/>
      <c r="KC156" s="1167"/>
      <c r="KD156" s="1167"/>
      <c r="KE156" s="1167"/>
      <c r="KF156" s="1167"/>
      <c r="KG156" s="1167"/>
      <c r="KH156" s="1167"/>
      <c r="KI156" s="1278"/>
      <c r="KJ156" s="48"/>
      <c r="KK156" s="1156"/>
      <c r="KL156" s="1167"/>
      <c r="KM156" s="1167"/>
      <c r="KN156" s="48"/>
      <c r="KO156" s="1167"/>
      <c r="KP156" s="1165"/>
      <c r="KQ156" s="1166"/>
      <c r="KR156" s="1165"/>
      <c r="KS156" s="1166"/>
      <c r="KT156" s="1099"/>
      <c r="KU156" s="1165"/>
      <c r="KV156" s="1099"/>
      <c r="KW156" s="1163">
        <v>350</v>
      </c>
      <c r="KX156" s="1099"/>
      <c r="KY156" s="1099"/>
      <c r="KZ156" s="1163"/>
      <c r="LA156" s="1165"/>
      <c r="LB156" s="1099"/>
      <c r="LC156" s="1163"/>
      <c r="LD156" s="1163"/>
      <c r="LE156" s="1099">
        <f t="shared" si="443"/>
        <v>50</v>
      </c>
      <c r="LF156" s="1099">
        <f t="shared" si="444"/>
        <v>50</v>
      </c>
      <c r="LG156" s="1163">
        <v>0</v>
      </c>
    </row>
    <row r="157" spans="1:319" s="520" customFormat="1">
      <c r="A157" s="1169"/>
      <c r="B157" s="796" t="s">
        <v>196</v>
      </c>
      <c r="C157" s="522" t="s">
        <v>939</v>
      </c>
      <c r="D157" s="523"/>
      <c r="G157" s="522"/>
      <c r="J157" s="522"/>
      <c r="K157" s="1170"/>
      <c r="L157" s="1170"/>
      <c r="M157" s="1170"/>
      <c r="N157" s="1170"/>
      <c r="O157" s="1170"/>
      <c r="P157" s="1170"/>
      <c r="Q157" s="1170"/>
      <c r="R157" s="1170"/>
      <c r="S157" s="525"/>
      <c r="T157" s="1170"/>
      <c r="U157" s="1170"/>
      <c r="V157" s="1170">
        <v>48</v>
      </c>
      <c r="W157" s="524">
        <f>+Z157-V157</f>
        <v>-200</v>
      </c>
      <c r="X157" s="1170">
        <v>765</v>
      </c>
      <c r="Y157" s="1170">
        <v>717</v>
      </c>
      <c r="Z157" s="524">
        <f>+AA157-Y157</f>
        <v>-152</v>
      </c>
      <c r="AA157" s="1170">
        <v>565</v>
      </c>
      <c r="AB157" s="525"/>
      <c r="AC157" s="1170">
        <v>118</v>
      </c>
      <c r="AD157" s="524">
        <f t="shared" si="418"/>
        <v>571</v>
      </c>
      <c r="AE157" s="524">
        <f t="shared" si="419"/>
        <v>59</v>
      </c>
      <c r="AF157" s="524">
        <f t="shared" si="420"/>
        <v>-113</v>
      </c>
      <c r="AG157" s="1170">
        <v>748</v>
      </c>
      <c r="AH157" s="1170">
        <v>689</v>
      </c>
      <c r="AI157" s="524">
        <f t="shared" si="378"/>
        <v>-54</v>
      </c>
      <c r="AJ157" s="1170">
        <v>635</v>
      </c>
      <c r="AK157" s="523"/>
      <c r="AL157" s="1170">
        <v>146</v>
      </c>
      <c r="AM157" s="524">
        <f t="shared" si="421"/>
        <v>403</v>
      </c>
      <c r="AN157" s="524">
        <f t="shared" si="422"/>
        <v>146</v>
      </c>
      <c r="AO157" s="524">
        <f t="shared" si="423"/>
        <v>-376</v>
      </c>
      <c r="AP157" s="1170">
        <v>695</v>
      </c>
      <c r="AQ157" s="1170">
        <v>549</v>
      </c>
      <c r="AR157" s="524">
        <f t="shared" si="379"/>
        <v>-230</v>
      </c>
      <c r="AS157" s="1170">
        <v>319</v>
      </c>
      <c r="AT157" s="523"/>
      <c r="AU157" s="1170">
        <f>+AU158+AU159</f>
        <v>274</v>
      </c>
      <c r="AV157" s="524">
        <f t="shared" si="380"/>
        <v>407</v>
      </c>
      <c r="AW157" s="524">
        <f t="shared" si="361"/>
        <v>-443</v>
      </c>
      <c r="AX157" s="524">
        <v>119</v>
      </c>
      <c r="AY157" s="524">
        <f t="shared" si="381"/>
        <v>-477</v>
      </c>
      <c r="AZ157" s="1170">
        <v>800</v>
      </c>
      <c r="BA157" s="1170">
        <f>1328-1090</f>
        <v>238</v>
      </c>
      <c r="BB157" s="526">
        <f>BB158+BB159</f>
        <v>681</v>
      </c>
      <c r="BC157" s="526">
        <f t="shared" si="382"/>
        <v>-920</v>
      </c>
      <c r="BD157" s="524">
        <v>0</v>
      </c>
      <c r="BE157" s="524">
        <f>+BE158+BE159</f>
        <v>-239</v>
      </c>
      <c r="BF157" s="523"/>
      <c r="BG157" s="524">
        <f>+BH157-AW157</f>
        <v>-238</v>
      </c>
      <c r="BH157" s="524">
        <f t="shared" si="383"/>
        <v>-681</v>
      </c>
      <c r="BI157" s="1170"/>
      <c r="BJ157" s="523"/>
      <c r="BK157" s="1169">
        <v>1200</v>
      </c>
      <c r="BL157" s="1169">
        <v>550</v>
      </c>
      <c r="BM157" s="1169">
        <v>1750</v>
      </c>
      <c r="BN157" s="1169"/>
      <c r="BO157" s="523"/>
      <c r="BP157" s="524">
        <f>+BP158+BP159</f>
        <v>454</v>
      </c>
      <c r="BQ157" s="1170">
        <v>150</v>
      </c>
      <c r="BR157" s="524">
        <f t="shared" si="424"/>
        <v>350</v>
      </c>
      <c r="BS157" s="1170">
        <v>300</v>
      </c>
      <c r="BT157" s="526">
        <f t="shared" si="425"/>
        <v>14</v>
      </c>
      <c r="BU157" s="526">
        <v>182</v>
      </c>
      <c r="BV157" s="524">
        <f t="shared" si="406"/>
        <v>-106</v>
      </c>
      <c r="BW157" s="524">
        <v>1104</v>
      </c>
      <c r="BX157" s="526">
        <f>BX158+BX159</f>
        <v>818</v>
      </c>
      <c r="BY157" s="526">
        <f>BY158+BY159</f>
        <v>804</v>
      </c>
      <c r="BZ157" s="524">
        <v>954</v>
      </c>
      <c r="CA157" s="524">
        <v>854</v>
      </c>
      <c r="CB157" s="524">
        <v>196</v>
      </c>
      <c r="CC157" s="524">
        <f t="shared" si="407"/>
        <v>-92</v>
      </c>
      <c r="CD157" s="524">
        <v>1000</v>
      </c>
      <c r="CE157" s="524">
        <f>1303-591</f>
        <v>712</v>
      </c>
      <c r="CF157" s="523"/>
      <c r="CG157" s="527">
        <f>CG159+CG158</f>
        <v>55</v>
      </c>
      <c r="CH157" s="520">
        <v>300</v>
      </c>
      <c r="CI157" s="520">
        <f>CI159+CI158</f>
        <v>300</v>
      </c>
      <c r="CJ157" s="520">
        <f t="shared" si="426"/>
        <v>-154</v>
      </c>
      <c r="CK157" s="520">
        <v>150</v>
      </c>
      <c r="CL157" s="528">
        <f t="shared" si="427"/>
        <v>-157</v>
      </c>
      <c r="CM157" s="520">
        <v>100</v>
      </c>
      <c r="CN157" s="520">
        <v>-44</v>
      </c>
      <c r="CO157" s="520">
        <f t="shared" si="428"/>
        <v>-505</v>
      </c>
      <c r="CP157" s="1171">
        <f>CP158+CP159</f>
        <v>-256</v>
      </c>
      <c r="CQ157" s="542">
        <v>1</v>
      </c>
      <c r="CR157" s="520">
        <f>CR158+CR159</f>
        <v>-99</v>
      </c>
      <c r="CS157" s="520">
        <v>205</v>
      </c>
      <c r="CT157" s="520">
        <v>-201</v>
      </c>
      <c r="CU157" s="520">
        <f t="shared" si="363"/>
        <v>-662</v>
      </c>
      <c r="CV157" s="520">
        <v>-300</v>
      </c>
      <c r="CW157" s="522">
        <f>CW158+CW159</f>
        <v>-761</v>
      </c>
      <c r="CY157" s="520">
        <f>CY158+CY159</f>
        <v>-104</v>
      </c>
      <c r="CZ157" s="520">
        <f t="shared" si="364"/>
        <v>189</v>
      </c>
      <c r="DA157" s="520">
        <v>0</v>
      </c>
      <c r="DB157" s="520">
        <f>DB158+DB159</f>
        <v>85</v>
      </c>
      <c r="DC157" s="520">
        <f t="shared" si="365"/>
        <v>215</v>
      </c>
      <c r="DD157" s="520">
        <f>DD158+DD159</f>
        <v>-50</v>
      </c>
      <c r="DE157" s="520">
        <f t="shared" si="299"/>
        <v>-360</v>
      </c>
      <c r="DF157" s="542">
        <f>DJ157-DC157</f>
        <v>-300</v>
      </c>
      <c r="DG157" s="520">
        <f>DG158+DG159</f>
        <v>300</v>
      </c>
      <c r="DH157" s="542">
        <f t="shared" si="429"/>
        <v>35</v>
      </c>
      <c r="DI157" s="520">
        <f t="shared" si="224"/>
        <v>-145</v>
      </c>
      <c r="DJ157" s="520">
        <f>DL157-DB157</f>
        <v>-85</v>
      </c>
      <c r="DK157" s="520">
        <f>+DK158+DK159</f>
        <v>-60</v>
      </c>
      <c r="DL157" s="1172">
        <v>0</v>
      </c>
      <c r="DM157" s="1172"/>
      <c r="DN157" s="1170"/>
      <c r="DO157" s="1170"/>
      <c r="DP157" s="530"/>
      <c r="DQ157" s="530">
        <f t="shared" si="402"/>
        <v>-600</v>
      </c>
      <c r="DR157" s="530">
        <f t="shared" si="346"/>
        <v>-385</v>
      </c>
      <c r="DS157" s="531">
        <f>DS158+DS159</f>
        <v>-300</v>
      </c>
      <c r="DT157" s="1172"/>
      <c r="DU157" s="1170"/>
      <c r="DV157" s="524">
        <f t="shared" si="408"/>
        <v>104</v>
      </c>
      <c r="DW157" s="528">
        <v>0</v>
      </c>
      <c r="DX157" s="530">
        <f t="shared" si="409"/>
        <v>-85</v>
      </c>
      <c r="DY157" s="530">
        <f>DY158+DY159</f>
        <v>0</v>
      </c>
      <c r="DZ157" s="523"/>
      <c r="EB157" s="528">
        <f t="shared" si="410"/>
        <v>356</v>
      </c>
      <c r="EC157" s="530">
        <f t="shared" si="411"/>
        <v>199</v>
      </c>
      <c r="ED157" s="1172">
        <f>ED158+ED159</f>
        <v>100</v>
      </c>
      <c r="EE157" s="523"/>
      <c r="EF157" s="1169"/>
      <c r="EG157" s="527">
        <f>EG158+EG159</f>
        <v>215</v>
      </c>
      <c r="EH157" s="520">
        <v>-100</v>
      </c>
      <c r="EI157" s="520">
        <f t="shared" si="386"/>
        <v>321</v>
      </c>
      <c r="EJ157" s="520">
        <v>200</v>
      </c>
      <c r="EK157" s="520">
        <f>EK158+EK159</f>
        <v>536</v>
      </c>
      <c r="EL157" s="520">
        <f>+EG157+EJ157</f>
        <v>415</v>
      </c>
      <c r="EM157" s="520">
        <f t="shared" si="412"/>
        <v>-267</v>
      </c>
      <c r="EN157" s="520">
        <v>100</v>
      </c>
      <c r="EO157" s="520">
        <f>EO158+EO159</f>
        <v>269</v>
      </c>
      <c r="EP157" s="520">
        <f>+EN157+EK157</f>
        <v>636</v>
      </c>
      <c r="EQ157" s="520">
        <f t="shared" si="413"/>
        <v>-192</v>
      </c>
      <c r="ES157" s="520">
        <f t="shared" si="430"/>
        <v>-459</v>
      </c>
      <c r="EU157" s="522">
        <f>+EU158+EU159</f>
        <v>77</v>
      </c>
      <c r="EV157" s="533"/>
      <c r="EW157" s="520">
        <v>200</v>
      </c>
      <c r="EX157" s="520">
        <f>+EX158+EX159</f>
        <v>425</v>
      </c>
      <c r="EY157" s="520">
        <v>275</v>
      </c>
      <c r="EZ157" s="520">
        <f t="shared" si="388"/>
        <v>180</v>
      </c>
      <c r="FA157" s="520">
        <v>700</v>
      </c>
      <c r="FB157" s="520">
        <f>+FB158+FB159</f>
        <v>605</v>
      </c>
      <c r="FC157" s="520">
        <v>-50</v>
      </c>
      <c r="FD157" s="520">
        <v>-50</v>
      </c>
      <c r="FE157" s="520">
        <f>+FE158+FE159</f>
        <v>625</v>
      </c>
      <c r="FF157" s="520">
        <v>555</v>
      </c>
      <c r="FG157" s="520">
        <f>FK157-FE157</f>
        <v>10</v>
      </c>
      <c r="FH157" s="520">
        <f>FJ157-FC157</f>
        <v>80</v>
      </c>
      <c r="FI157" s="520">
        <f t="shared" ref="FI157:FI162" si="445">FK157-FB157</f>
        <v>30</v>
      </c>
      <c r="FJ157" s="520">
        <f>+FL157-FB157</f>
        <v>30</v>
      </c>
      <c r="FK157" s="522">
        <f>+FK158+FK159</f>
        <v>635</v>
      </c>
      <c r="FL157" s="1172">
        <f>Segments!N43</f>
        <v>635</v>
      </c>
      <c r="FM157" s="1170">
        <f t="shared" ref="FM157:FM164" si="446">+FN157-EX157</f>
        <v>175</v>
      </c>
      <c r="FN157" s="530">
        <f>+FN158+FN159</f>
        <v>600</v>
      </c>
      <c r="FO157" s="530">
        <f>+FQ157-FE157</f>
        <v>-25</v>
      </c>
      <c r="FP157" s="530">
        <f>+FQ157-FB157</f>
        <v>-5</v>
      </c>
      <c r="FQ157" s="531">
        <f>+FQ158+FQ159</f>
        <v>600</v>
      </c>
      <c r="FR157" s="531"/>
      <c r="FS157" s="520">
        <f>663-76</f>
        <v>587</v>
      </c>
      <c r="FT157" s="530">
        <v>300</v>
      </c>
      <c r="FU157" s="530">
        <f>FW157-FS157</f>
        <v>213</v>
      </c>
      <c r="FV157" s="520">
        <f t="shared" ref="FV157:FV162" si="447">+FY157-FS157</f>
        <v>337</v>
      </c>
      <c r="FW157" s="530">
        <v>800</v>
      </c>
      <c r="FX157" s="530"/>
      <c r="FY157" s="520">
        <f>+FY158+FY159</f>
        <v>924</v>
      </c>
      <c r="FZ157" s="520">
        <f>GA157-FY157</f>
        <v>245</v>
      </c>
      <c r="GA157" s="520">
        <f>+GA158+GA159</f>
        <v>1169</v>
      </c>
      <c r="GB157" s="520">
        <f t="shared" ref="GB157:GB162" si="448">+GD157-GA157</f>
        <v>-285</v>
      </c>
      <c r="GC157" s="520">
        <f>GD157-FY157</f>
        <v>-40</v>
      </c>
      <c r="GD157" s="522">
        <f>+GD158+GD159</f>
        <v>884</v>
      </c>
      <c r="GE157" s="520">
        <v>800</v>
      </c>
      <c r="GF157" s="520">
        <v>-100</v>
      </c>
      <c r="GG157" s="520">
        <f>GH157-FZ157</f>
        <v>-285</v>
      </c>
      <c r="GH157" s="530">
        <f>GI157-FY157</f>
        <v>-40</v>
      </c>
      <c r="GI157" s="530">
        <f>Segments!O43</f>
        <v>884</v>
      </c>
      <c r="GJ157" s="534"/>
      <c r="GK157" s="530">
        <v>500</v>
      </c>
      <c r="GL157" s="530">
        <f>GL158+GL159</f>
        <v>299</v>
      </c>
      <c r="GM157" s="530">
        <v>200</v>
      </c>
      <c r="GN157" s="530">
        <f>GM157+GL157</f>
        <v>499</v>
      </c>
      <c r="GO157" s="530">
        <f t="shared" ref="GO157:GO162" si="449">+GP157-GL157</f>
        <v>258</v>
      </c>
      <c r="GP157" s="530">
        <f>+GP158+GP159</f>
        <v>557</v>
      </c>
      <c r="GQ157" s="530">
        <v>200</v>
      </c>
      <c r="GR157" s="520">
        <f>GS157-GP157</f>
        <v>-40</v>
      </c>
      <c r="GS157" s="542">
        <f>+GS158+GS159</f>
        <v>517</v>
      </c>
      <c r="GT157" s="520">
        <f t="shared" ref="GT157:GT162" si="450">+GU157-GR157</f>
        <v>-317</v>
      </c>
      <c r="GU157" s="520">
        <f>GV157-GP157</f>
        <v>-357</v>
      </c>
      <c r="GV157" s="522">
        <f>+GV158+GV159</f>
        <v>200</v>
      </c>
      <c r="GW157" s="542">
        <v>300</v>
      </c>
      <c r="GX157" s="530">
        <f>GY157-GR157</f>
        <v>-317</v>
      </c>
      <c r="GY157" s="530">
        <f>GZ157-GP157</f>
        <v>-357</v>
      </c>
      <c r="GZ157" s="530">
        <f>Segments!P43</f>
        <v>200</v>
      </c>
      <c r="HA157" s="534"/>
      <c r="HB157" s="530"/>
      <c r="HC157" s="530"/>
      <c r="HD157" s="542">
        <f>+HD158+HD159</f>
        <v>-29</v>
      </c>
      <c r="HE157" s="542">
        <f>+HE158+HE159</f>
        <v>-29</v>
      </c>
      <c r="HF157" s="530">
        <f t="shared" ref="HF157:HF162" si="451">+HI157-HD157</f>
        <v>148</v>
      </c>
      <c r="HG157" s="530">
        <f t="shared" ref="HG157:HG162" si="452">+HL157-HE157</f>
        <v>148</v>
      </c>
      <c r="HH157" s="530">
        <f t="shared" ref="HH157:HH162" si="453">HM157-HE157</f>
        <v>148</v>
      </c>
      <c r="HI157" s="530">
        <f>+HI158+HI159</f>
        <v>119</v>
      </c>
      <c r="HJ157" s="530">
        <v>0</v>
      </c>
      <c r="HK157" s="530">
        <f>HI157+HD157</f>
        <v>90</v>
      </c>
      <c r="HL157" s="530">
        <f>+HL158+HL159</f>
        <v>119</v>
      </c>
      <c r="HM157" s="530">
        <f>+HM158+HM159</f>
        <v>119</v>
      </c>
      <c r="HN157" s="520">
        <f>HP157-HI157</f>
        <v>31</v>
      </c>
      <c r="HO157" s="520">
        <f>HQ157-HM157</f>
        <v>31</v>
      </c>
      <c r="HP157" s="542">
        <f>+HP158+HP159</f>
        <v>150</v>
      </c>
      <c r="HQ157" s="542">
        <f>+HQ158+HQ159</f>
        <v>150</v>
      </c>
      <c r="HR157" s="520">
        <f t="shared" ref="HR157:HR162" si="454">+HT157-HN157</f>
        <v>-517</v>
      </c>
      <c r="HS157" s="520">
        <f>HU157-HO157</f>
        <v>-517</v>
      </c>
      <c r="HT157" s="520">
        <f>HV157-HI157</f>
        <v>-486</v>
      </c>
      <c r="HU157" s="520">
        <f t="shared" ref="HU157:HU162" si="455">HZ157-HM157</f>
        <v>-486</v>
      </c>
      <c r="HV157" s="542">
        <f>+HV158+HV159</f>
        <v>-367</v>
      </c>
      <c r="HW157" s="530">
        <v>-200</v>
      </c>
      <c r="HX157" s="530">
        <f>HY157-HN157</f>
        <v>-517</v>
      </c>
      <c r="HY157" s="530">
        <f>IB157-HI157</f>
        <v>-486</v>
      </c>
      <c r="HZ157" s="542">
        <f>+HZ158+HZ159</f>
        <v>-367</v>
      </c>
      <c r="IA157" s="530">
        <v>-300</v>
      </c>
      <c r="IB157" s="530">
        <f>Segments!Q43</f>
        <v>-367</v>
      </c>
      <c r="IC157" s="534"/>
      <c r="ID157" s="530">
        <v>100</v>
      </c>
      <c r="IE157" s="1173">
        <f>+IE158+IE159</f>
        <v>219</v>
      </c>
      <c r="IF157" s="542">
        <f>+IF158+IF159</f>
        <v>175</v>
      </c>
      <c r="IG157" s="542">
        <f>+IG158+IG159</f>
        <v>394</v>
      </c>
      <c r="IH157" s="542">
        <f>IJ157-IG157</f>
        <v>-175</v>
      </c>
      <c r="II157" s="1174">
        <v>50</v>
      </c>
      <c r="IJ157" s="542">
        <f>+IJ158+IJ159</f>
        <v>219</v>
      </c>
      <c r="IK157" s="991">
        <f t="shared" ref="IK157:IK162" si="456">+IP157-IL157</f>
        <v>219</v>
      </c>
      <c r="IL157" s="981">
        <f>IN157-IH157</f>
        <v>-496</v>
      </c>
      <c r="IM157" s="981">
        <f t="shared" ref="IM157:IM162" si="457">+IO157-IH157</f>
        <v>-496</v>
      </c>
      <c r="IN157" s="530">
        <f>IP157-IG157</f>
        <v>-671</v>
      </c>
      <c r="IO157" s="530">
        <f>IR157-IG157</f>
        <v>-671</v>
      </c>
      <c r="IP157" s="531">
        <f>Segments!S43</f>
        <v>-277</v>
      </c>
      <c r="IQ157" s="1175">
        <v>100</v>
      </c>
      <c r="IR157" s="991">
        <f>+IR158+IR159</f>
        <v>-277</v>
      </c>
      <c r="IS157" s="1283"/>
      <c r="IT157" s="1176">
        <v>200</v>
      </c>
      <c r="IU157" s="542">
        <f>+IU158+IU159</f>
        <v>184</v>
      </c>
      <c r="IV157" s="540">
        <f t="shared" ref="IV157:IV162" si="458">IX157-IU157</f>
        <v>171</v>
      </c>
      <c r="IW157" s="1176">
        <v>150</v>
      </c>
      <c r="IX157" s="991">
        <f>IX158+IX159</f>
        <v>355</v>
      </c>
      <c r="IY157" s="991">
        <v>334</v>
      </c>
      <c r="IZ157" s="991">
        <f>JA157-IX157</f>
        <v>436</v>
      </c>
      <c r="JA157" s="981">
        <f>JA158+JA159</f>
        <v>791</v>
      </c>
      <c r="JB157" s="981">
        <f>+JC157-IZ157</f>
        <v>-364</v>
      </c>
      <c r="JC157" s="981">
        <f>+JD157-IX157</f>
        <v>72</v>
      </c>
      <c r="JD157" s="981">
        <f>652-225</f>
        <v>427</v>
      </c>
      <c r="JE157" s="981">
        <v>355</v>
      </c>
      <c r="JF157" s="981">
        <f>JG157-IZ157</f>
        <v>-364</v>
      </c>
      <c r="JG157" s="991">
        <f>JH157-IX157</f>
        <v>72</v>
      </c>
      <c r="JH157" s="531">
        <f>Segments!T43</f>
        <v>427</v>
      </c>
      <c r="JI157" s="1283"/>
      <c r="JJ157" s="1794">
        <v>0</v>
      </c>
      <c r="JK157" s="1795">
        <v>0</v>
      </c>
      <c r="JL157" s="1795">
        <f>+JL158+JL159</f>
        <v>187</v>
      </c>
      <c r="JM157" s="1138">
        <f t="shared" ref="JM157:JM166" si="459">+JP157-JL157</f>
        <v>139</v>
      </c>
      <c r="JN157" s="1138">
        <f t="shared" ref="JN157:JN166" si="460">JS157-JP157</f>
        <v>-14</v>
      </c>
      <c r="JO157" s="1795"/>
      <c r="JP157" s="1795">
        <f>+JP158+JP159</f>
        <v>326</v>
      </c>
      <c r="JQ157" s="1795"/>
      <c r="JR157" s="1795"/>
      <c r="JS157" s="1795">
        <f>+JS158+JS159</f>
        <v>312</v>
      </c>
      <c r="JT157" s="1795">
        <v>0</v>
      </c>
      <c r="JU157" s="1138">
        <f>+JW157-JN157</f>
        <v>-312</v>
      </c>
      <c r="JV157" s="1138">
        <f>+JL157+JK157</f>
        <v>187</v>
      </c>
      <c r="JW157" s="1138">
        <f>+JX157-JP157</f>
        <v>-326</v>
      </c>
      <c r="JX157" s="1138">
        <f>+Driver!AL237</f>
        <v>0</v>
      </c>
      <c r="JY157" s="1138">
        <f>+JP157+JT157</f>
        <v>326</v>
      </c>
      <c r="JZ157" s="899">
        <f>+JX157-KG157</f>
        <v>0</v>
      </c>
      <c r="KA157" s="1271"/>
      <c r="KB157" s="540">
        <f>+KC157-JL157</f>
        <v>13</v>
      </c>
      <c r="KC157" s="540">
        <f>+KC158+KC159</f>
        <v>200</v>
      </c>
      <c r="KD157" s="540">
        <f>+KH157-KC157</f>
        <v>-200</v>
      </c>
      <c r="KE157" s="540">
        <f>+KG157-JP157</f>
        <v>-326</v>
      </c>
      <c r="KF157" s="540"/>
      <c r="KG157" s="540">
        <v>0</v>
      </c>
      <c r="KH157" s="540">
        <f>600-600</f>
        <v>0</v>
      </c>
      <c r="KI157" s="1271"/>
      <c r="KJ157" s="899"/>
      <c r="KK157" s="530"/>
      <c r="KL157" s="530">
        <f t="shared" ref="KL157:KL162" si="461">KM157-IX157</f>
        <v>-455</v>
      </c>
      <c r="KM157" s="540">
        <f>KM158+KM159</f>
        <v>-100</v>
      </c>
      <c r="KN157" s="899"/>
      <c r="KO157" s="540">
        <v>500</v>
      </c>
      <c r="KP157" s="530">
        <v>-500</v>
      </c>
      <c r="KQ157" s="531">
        <v>0</v>
      </c>
      <c r="KR157" s="530">
        <v>-294</v>
      </c>
      <c r="KS157" s="531">
        <v>100</v>
      </c>
      <c r="KT157" s="530">
        <f>KU157-IE157</f>
        <v>-19</v>
      </c>
      <c r="KU157" s="530">
        <f>KU158+KU159</f>
        <v>200</v>
      </c>
      <c r="KV157" s="530">
        <f>KW157-KU157</f>
        <v>-200</v>
      </c>
      <c r="KW157" s="531">
        <f>KW158+KW159</f>
        <v>0</v>
      </c>
      <c r="KX157" s="530">
        <f>KY157-HN157</f>
        <v>-550</v>
      </c>
      <c r="KY157" s="530">
        <f>KZ157-HI157</f>
        <v>-519</v>
      </c>
      <c r="KZ157" s="531">
        <f>KZ158+KZ159</f>
        <v>-400</v>
      </c>
      <c r="LA157" s="530">
        <f>LA158+LA159</f>
        <v>700</v>
      </c>
      <c r="LB157" s="530">
        <f>LC157-LA157</f>
        <v>-500</v>
      </c>
      <c r="LC157" s="531">
        <f>LC158+LC159</f>
        <v>200</v>
      </c>
      <c r="LD157" s="531">
        <f>LD158+LD159</f>
        <v>0</v>
      </c>
      <c r="LE157" s="530">
        <f t="shared" si="443"/>
        <v>-117</v>
      </c>
      <c r="LF157" s="530">
        <f t="shared" si="444"/>
        <v>-157</v>
      </c>
      <c r="LG157" s="531">
        <f>LG158+LG159</f>
        <v>400</v>
      </c>
    </row>
    <row r="158" spans="1:319" s="510" customFormat="1">
      <c r="B158" s="1064" t="s">
        <v>196</v>
      </c>
      <c r="C158" s="699" t="s">
        <v>647</v>
      </c>
      <c r="D158" s="497"/>
      <c r="G158" s="699"/>
      <c r="J158" s="699"/>
      <c r="K158" s="1177"/>
      <c r="L158" s="1177"/>
      <c r="M158" s="1177"/>
      <c r="N158" s="1177"/>
      <c r="O158" s="1177"/>
      <c r="P158" s="1177"/>
      <c r="Q158" s="1177"/>
      <c r="R158" s="1177"/>
      <c r="S158" s="700"/>
      <c r="T158" s="1177">
        <v>460</v>
      </c>
      <c r="U158" s="584">
        <f>+Y158-T158</f>
        <v>240</v>
      </c>
      <c r="V158" s="584"/>
      <c r="W158" s="584"/>
      <c r="X158" s="1177">
        <v>1417</v>
      </c>
      <c r="Y158" s="1177">
        <v>700</v>
      </c>
      <c r="Z158" s="584">
        <f>+AA158-Y158</f>
        <v>663</v>
      </c>
      <c r="AA158" s="1177">
        <v>1363</v>
      </c>
      <c r="AB158" s="700"/>
      <c r="AC158" s="1177">
        <v>330</v>
      </c>
      <c r="AD158" s="584">
        <f t="shared" si="418"/>
        <v>617</v>
      </c>
      <c r="AE158" s="584">
        <f t="shared" si="419"/>
        <v>323</v>
      </c>
      <c r="AF158" s="584">
        <f t="shared" si="420"/>
        <v>-68</v>
      </c>
      <c r="AG158" s="1177">
        <v>1270</v>
      </c>
      <c r="AH158" s="1177">
        <v>947</v>
      </c>
      <c r="AI158" s="584">
        <f t="shared" si="378"/>
        <v>255</v>
      </c>
      <c r="AJ158" s="1177">
        <v>1202</v>
      </c>
      <c r="AK158" s="497"/>
      <c r="AL158" s="1177">
        <v>424</v>
      </c>
      <c r="AM158" s="584">
        <f t="shared" si="421"/>
        <v>538</v>
      </c>
      <c r="AN158" s="584">
        <f t="shared" si="422"/>
        <v>377</v>
      </c>
      <c r="AO158" s="584">
        <f t="shared" si="423"/>
        <v>121</v>
      </c>
      <c r="AP158" s="1177">
        <v>1339</v>
      </c>
      <c r="AQ158" s="1177">
        <v>962</v>
      </c>
      <c r="AR158" s="584">
        <f t="shared" si="379"/>
        <v>498</v>
      </c>
      <c r="AS158" s="1177">
        <v>1460</v>
      </c>
      <c r="AT158" s="497"/>
      <c r="AU158" s="1177">
        <v>489</v>
      </c>
      <c r="AV158" s="584">
        <f t="shared" si="380"/>
        <v>562</v>
      </c>
      <c r="AW158" s="584">
        <f t="shared" si="361"/>
        <v>277</v>
      </c>
      <c r="AX158" s="584">
        <v>-1051</v>
      </c>
      <c r="AY158" s="584">
        <f t="shared" si="381"/>
        <v>38</v>
      </c>
      <c r="AZ158" s="1177"/>
      <c r="BA158" s="1177">
        <v>1328</v>
      </c>
      <c r="BB158" s="625">
        <v>1051</v>
      </c>
      <c r="BC158" s="625">
        <f t="shared" si="382"/>
        <v>315</v>
      </c>
      <c r="BD158" s="759"/>
      <c r="BE158" s="510">
        <v>1366</v>
      </c>
      <c r="BF158" s="497"/>
      <c r="BG158" s="584"/>
      <c r="BH158" s="584">
        <f t="shared" si="383"/>
        <v>-1051</v>
      </c>
      <c r="BI158" s="1177"/>
      <c r="BJ158" s="497"/>
      <c r="BK158" s="510">
        <v>-800</v>
      </c>
      <c r="BL158" s="510">
        <v>-100</v>
      </c>
      <c r="BM158" s="510">
        <v>-900</v>
      </c>
      <c r="BO158" s="497"/>
      <c r="BP158" s="1177">
        <v>505</v>
      </c>
      <c r="BQ158" s="1177"/>
      <c r="BR158" s="1177">
        <f t="shared" si="424"/>
        <v>450</v>
      </c>
      <c r="BS158" s="1177"/>
      <c r="BT158" s="1144">
        <f t="shared" si="425"/>
        <v>446</v>
      </c>
      <c r="BU158" s="1144">
        <v>199</v>
      </c>
      <c r="BV158" s="759">
        <f t="shared" si="406"/>
        <v>-98</v>
      </c>
      <c r="BW158" s="759"/>
      <c r="BX158" s="759">
        <v>1401</v>
      </c>
      <c r="BY158" s="1177">
        <v>955</v>
      </c>
      <c r="BZ158" s="1177"/>
      <c r="CA158" s="1177"/>
      <c r="CB158" s="584">
        <v>645</v>
      </c>
      <c r="CC158" s="584">
        <f t="shared" si="407"/>
        <v>348</v>
      </c>
      <c r="CD158" s="584">
        <v>1600</v>
      </c>
      <c r="CE158" s="1177">
        <v>1303</v>
      </c>
      <c r="CF158" s="497"/>
      <c r="CG158" s="714">
        <v>154</v>
      </c>
      <c r="CH158" s="510">
        <v>400</v>
      </c>
      <c r="CI158" s="510">
        <v>400</v>
      </c>
      <c r="CJ158" s="510">
        <f t="shared" si="426"/>
        <v>48</v>
      </c>
      <c r="CK158" s="510">
        <v>300</v>
      </c>
      <c r="CL158" s="455">
        <f t="shared" si="427"/>
        <v>254</v>
      </c>
      <c r="CO158" s="510">
        <f t="shared" si="428"/>
        <v>-404</v>
      </c>
      <c r="CP158" s="510">
        <v>456</v>
      </c>
      <c r="CR158" s="180">
        <v>202</v>
      </c>
      <c r="CS158" s="180">
        <v>454</v>
      </c>
      <c r="CU158" s="510">
        <f t="shared" si="363"/>
        <v>-150</v>
      </c>
      <c r="CW158" s="699">
        <v>52</v>
      </c>
      <c r="CY158" s="510">
        <v>78</v>
      </c>
      <c r="CZ158" s="510">
        <f t="shared" si="364"/>
        <v>286</v>
      </c>
      <c r="DA158" s="510">
        <v>300</v>
      </c>
      <c r="DB158" s="510">
        <v>364</v>
      </c>
      <c r="DC158" s="510">
        <f t="shared" si="365"/>
        <v>336</v>
      </c>
      <c r="DD158" s="510">
        <v>350</v>
      </c>
      <c r="DE158" s="510">
        <f t="shared" si="299"/>
        <v>-329</v>
      </c>
      <c r="DG158" s="510">
        <v>700</v>
      </c>
      <c r="DI158" s="510">
        <f t="shared" si="224"/>
        <v>7</v>
      </c>
      <c r="DK158" s="510">
        <v>371</v>
      </c>
      <c r="DL158" s="1178"/>
      <c r="DM158" s="1178"/>
      <c r="DN158" s="1177"/>
      <c r="DO158" s="1177"/>
      <c r="DP158" s="713"/>
      <c r="DQ158" s="713">
        <f t="shared" si="402"/>
        <v>-200</v>
      </c>
      <c r="DR158" s="713">
        <f t="shared" si="346"/>
        <v>136</v>
      </c>
      <c r="DS158" s="517">
        <v>500</v>
      </c>
      <c r="DT158" s="1178"/>
      <c r="DU158" s="1177"/>
      <c r="DV158" s="759">
        <f t="shared" si="408"/>
        <v>322</v>
      </c>
      <c r="DW158" s="710">
        <v>400</v>
      </c>
      <c r="DX158" s="713">
        <f t="shared" si="409"/>
        <v>136</v>
      </c>
      <c r="DY158" s="713">
        <v>500</v>
      </c>
      <c r="DZ158" s="497"/>
      <c r="EB158" s="710">
        <f t="shared" si="410"/>
        <v>-356</v>
      </c>
      <c r="EC158" s="713">
        <f t="shared" si="411"/>
        <v>-102</v>
      </c>
      <c r="ED158" s="1178">
        <v>100</v>
      </c>
      <c r="EE158" s="497"/>
      <c r="EG158" s="714">
        <v>393</v>
      </c>
      <c r="EI158" s="510">
        <f t="shared" si="386"/>
        <v>493</v>
      </c>
      <c r="EK158" s="510">
        <v>886</v>
      </c>
      <c r="EM158" s="734">
        <f t="shared" si="412"/>
        <v>279</v>
      </c>
      <c r="EO158" s="510">
        <v>1165</v>
      </c>
      <c r="EQ158" s="510">
        <f t="shared" si="413"/>
        <v>-107</v>
      </c>
      <c r="ES158" s="510">
        <f t="shared" si="430"/>
        <v>172</v>
      </c>
      <c r="EU158" s="699">
        <v>1058</v>
      </c>
      <c r="EV158" s="517"/>
      <c r="EX158" s="510">
        <v>549</v>
      </c>
      <c r="EY158" s="510">
        <v>-549</v>
      </c>
      <c r="EZ158" s="510">
        <f t="shared" si="388"/>
        <v>440</v>
      </c>
      <c r="FB158" s="510">
        <v>989</v>
      </c>
      <c r="FC158" s="510">
        <f t="shared" si="414"/>
        <v>314</v>
      </c>
      <c r="FD158" s="180">
        <v>-989</v>
      </c>
      <c r="FE158" s="510">
        <v>1303</v>
      </c>
      <c r="FF158" s="180"/>
      <c r="FG158" s="180">
        <f>FI158-FC158</f>
        <v>-130</v>
      </c>
      <c r="FH158" s="510">
        <f>+FL158-FE158</f>
        <v>-130</v>
      </c>
      <c r="FI158" s="510">
        <f t="shared" si="445"/>
        <v>184</v>
      </c>
      <c r="FJ158" s="510">
        <f>+FL158-FB158</f>
        <v>184</v>
      </c>
      <c r="FK158" s="699">
        <v>1173</v>
      </c>
      <c r="FL158" s="1178">
        <f>+Driver!AD239</f>
        <v>1173</v>
      </c>
      <c r="FM158" s="1177">
        <f t="shared" si="446"/>
        <v>451</v>
      </c>
      <c r="FN158" s="713">
        <v>1000</v>
      </c>
      <c r="FO158" s="713">
        <f>+FQ158-FE158</f>
        <v>-3</v>
      </c>
      <c r="FP158" s="713">
        <f>+FQ158-FB158</f>
        <v>311</v>
      </c>
      <c r="FQ158" s="517">
        <v>1300</v>
      </c>
      <c r="FR158" s="517"/>
      <c r="FS158" s="510">
        <v>663</v>
      </c>
      <c r="FT158" s="713"/>
      <c r="FU158" s="713"/>
      <c r="FV158" s="510">
        <f t="shared" si="447"/>
        <v>570</v>
      </c>
      <c r="FW158" s="713"/>
      <c r="FX158" s="713"/>
      <c r="FY158" s="510">
        <v>1233</v>
      </c>
      <c r="FZ158" s="510">
        <f>+GA158-FY158</f>
        <v>415</v>
      </c>
      <c r="GA158" s="510">
        <v>1648</v>
      </c>
      <c r="GB158" s="510">
        <f t="shared" si="448"/>
        <v>-164</v>
      </c>
      <c r="GC158" s="510">
        <f>+GD158-FY158</f>
        <v>251</v>
      </c>
      <c r="GD158" s="699">
        <v>1484</v>
      </c>
      <c r="GE158" s="510">
        <v>1500</v>
      </c>
      <c r="GH158" s="713">
        <f>GI158-FY158</f>
        <v>267</v>
      </c>
      <c r="GI158" s="713">
        <f>Driver!AE239</f>
        <v>1500</v>
      </c>
      <c r="GJ158" s="715"/>
      <c r="GK158" s="713"/>
      <c r="GL158" s="713">
        <v>448</v>
      </c>
      <c r="GM158" s="713"/>
      <c r="GN158" s="713"/>
      <c r="GO158" s="713">
        <f t="shared" si="449"/>
        <v>392</v>
      </c>
      <c r="GP158" s="713">
        <v>840</v>
      </c>
      <c r="GQ158" s="713"/>
      <c r="GR158" s="510">
        <f>+GS158-GP158</f>
        <v>250</v>
      </c>
      <c r="GS158" s="510">
        <v>1090</v>
      </c>
      <c r="GT158" s="510">
        <f t="shared" si="450"/>
        <v>-218</v>
      </c>
      <c r="GU158" s="510">
        <f>+GV158-GP158</f>
        <v>32</v>
      </c>
      <c r="GV158" s="699">
        <v>872</v>
      </c>
      <c r="GW158" s="510">
        <v>1000</v>
      </c>
      <c r="GX158" s="713"/>
      <c r="GY158" s="713">
        <f>GZ158-GP158</f>
        <v>60</v>
      </c>
      <c r="GZ158" s="713">
        <f>Driver!AF239</f>
        <v>900</v>
      </c>
      <c r="HA158" s="715"/>
      <c r="HB158" s="713"/>
      <c r="HC158" s="713"/>
      <c r="HD158" s="713">
        <v>208</v>
      </c>
      <c r="HE158" s="713">
        <v>208</v>
      </c>
      <c r="HF158" s="713">
        <f t="shared" si="451"/>
        <v>324</v>
      </c>
      <c r="HG158" s="713">
        <f t="shared" si="452"/>
        <v>324</v>
      </c>
      <c r="HH158" s="713">
        <f t="shared" si="453"/>
        <v>324</v>
      </c>
      <c r="HI158" s="713">
        <v>532</v>
      </c>
      <c r="HJ158" s="713"/>
      <c r="HK158" s="713"/>
      <c r="HL158" s="713">
        <v>532</v>
      </c>
      <c r="HM158" s="713">
        <v>532</v>
      </c>
      <c r="HN158" s="510">
        <f>+HP158-HI158</f>
        <v>224</v>
      </c>
      <c r="HO158" s="510">
        <f>+HQ158-HM158</f>
        <v>224</v>
      </c>
      <c r="HP158" s="510">
        <v>756</v>
      </c>
      <c r="HQ158" s="510">
        <v>756</v>
      </c>
      <c r="HR158" s="510">
        <f t="shared" si="454"/>
        <v>-237</v>
      </c>
      <c r="HS158" s="510">
        <f>HZ158-HQ158</f>
        <v>-237</v>
      </c>
      <c r="HT158" s="510">
        <f>+HV158-HI158</f>
        <v>-13</v>
      </c>
      <c r="HU158" s="510">
        <f t="shared" si="455"/>
        <v>-13</v>
      </c>
      <c r="HV158" s="510">
        <v>519</v>
      </c>
      <c r="HW158" s="713"/>
      <c r="HX158" s="713"/>
      <c r="HY158" s="713">
        <f>IB158-HI158</f>
        <v>-32</v>
      </c>
      <c r="HZ158" s="510">
        <v>519</v>
      </c>
      <c r="IA158" s="713">
        <v>500</v>
      </c>
      <c r="IB158" s="713">
        <f>Driver!AG239</f>
        <v>500</v>
      </c>
      <c r="IC158" s="715"/>
      <c r="ID158" s="713"/>
      <c r="IE158" s="784">
        <v>384</v>
      </c>
      <c r="IF158" s="713">
        <f>IG158-IE158</f>
        <v>359</v>
      </c>
      <c r="IG158" s="1134">
        <v>743</v>
      </c>
      <c r="IH158" s="713">
        <f>+IJ158-IG158</f>
        <v>208</v>
      </c>
      <c r="II158" s="713"/>
      <c r="IJ158" s="1135">
        <v>951</v>
      </c>
      <c r="IK158" s="713">
        <f t="shared" si="456"/>
        <v>800</v>
      </c>
      <c r="IL158" s="713"/>
      <c r="IM158" s="713">
        <f t="shared" si="457"/>
        <v>-185</v>
      </c>
      <c r="IN158" s="713">
        <f>IP158-IG158</f>
        <v>57</v>
      </c>
      <c r="IO158" s="713">
        <f>+IR158-IG158</f>
        <v>23</v>
      </c>
      <c r="IP158" s="517">
        <f>Driver!AI239</f>
        <v>800</v>
      </c>
      <c r="IQ158" s="713">
        <v>900</v>
      </c>
      <c r="IR158" s="746">
        <v>766</v>
      </c>
      <c r="IS158" s="1289"/>
      <c r="IT158" s="713"/>
      <c r="IU158" s="713">
        <v>351</v>
      </c>
      <c r="IV158" s="713">
        <f t="shared" si="458"/>
        <v>455</v>
      </c>
      <c r="IW158" s="713"/>
      <c r="IX158" s="713">
        <v>806</v>
      </c>
      <c r="IY158" s="713"/>
      <c r="IZ158" s="713">
        <f>JA158-IX158</f>
        <v>143</v>
      </c>
      <c r="JA158" s="713">
        <v>949</v>
      </c>
      <c r="JB158" s="713">
        <f t="shared" ref="JB158:JB159" si="462">+JC158-IZ158</f>
        <v>-297</v>
      </c>
      <c r="JC158" s="713">
        <f t="shared" ref="JC158:JC159" si="463">+JD158-IX158</f>
        <v>-154</v>
      </c>
      <c r="JD158" s="713">
        <v>652</v>
      </c>
      <c r="JE158" s="713"/>
      <c r="JF158" s="713"/>
      <c r="JG158" s="713"/>
      <c r="JH158" s="517">
        <f>Driver!AT239</f>
        <v>800</v>
      </c>
      <c r="JI158" s="1289"/>
      <c r="JJ158" s="1289"/>
      <c r="JK158" s="603"/>
      <c r="JL158" s="603">
        <v>225</v>
      </c>
      <c r="JM158" s="603">
        <f t="shared" si="459"/>
        <v>363</v>
      </c>
      <c r="JN158" s="713">
        <f t="shared" si="460"/>
        <v>35</v>
      </c>
      <c r="JO158" s="603"/>
      <c r="JP158" s="603">
        <v>588</v>
      </c>
      <c r="JQ158" s="603"/>
      <c r="JR158" s="603"/>
      <c r="JS158" s="603">
        <v>623</v>
      </c>
      <c r="JT158" s="603"/>
      <c r="JU158" s="603"/>
      <c r="JV158" s="603"/>
      <c r="JW158" s="603"/>
      <c r="JX158" s="603"/>
      <c r="JY158" s="603"/>
      <c r="JZ158" s="603"/>
      <c r="KA158" s="746"/>
      <c r="KB158" s="603">
        <f>+KC158-JL158</f>
        <v>375</v>
      </c>
      <c r="KC158" s="603">
        <v>600</v>
      </c>
      <c r="KD158" s="603">
        <f t="shared" ref="KD158:KD159" si="464">+KH158-KC158</f>
        <v>0</v>
      </c>
      <c r="KE158" s="603">
        <f>+KG158-JP158</f>
        <v>-588</v>
      </c>
      <c r="KF158" s="603"/>
      <c r="KG158" s="603"/>
      <c r="KH158" s="603">
        <v>600</v>
      </c>
      <c r="KI158" s="746"/>
      <c r="KJ158" s="603"/>
      <c r="KK158" s="713"/>
      <c r="KL158" s="713">
        <f t="shared" si="461"/>
        <v>-6</v>
      </c>
      <c r="KM158" s="603">
        <v>800</v>
      </c>
      <c r="KN158" s="603"/>
      <c r="KO158" s="603"/>
      <c r="KP158" s="713">
        <v>700</v>
      </c>
      <c r="KQ158" s="517">
        <v>700</v>
      </c>
      <c r="KR158" s="713">
        <v>57</v>
      </c>
      <c r="KS158" s="517">
        <v>800</v>
      </c>
      <c r="KT158" s="713">
        <f>KU158-IE158</f>
        <v>316</v>
      </c>
      <c r="KU158" s="713">
        <v>700</v>
      </c>
      <c r="KV158" s="713">
        <f>KW158-KU158</f>
        <v>100</v>
      </c>
      <c r="KW158" s="517">
        <v>800</v>
      </c>
      <c r="KX158" s="713">
        <f>KY158-HN158</f>
        <v>-356</v>
      </c>
      <c r="KY158" s="713">
        <f>KZ158-HI158</f>
        <v>-132</v>
      </c>
      <c r="KZ158" s="517">
        <v>400</v>
      </c>
      <c r="LA158" s="713">
        <v>800</v>
      </c>
      <c r="LB158" s="713">
        <f>LC158-LA158</f>
        <v>100</v>
      </c>
      <c r="LC158" s="517">
        <v>900</v>
      </c>
      <c r="LD158" s="517"/>
      <c r="LE158" s="713">
        <f t="shared" si="443"/>
        <v>-90</v>
      </c>
      <c r="LF158" s="713">
        <f t="shared" si="444"/>
        <v>160</v>
      </c>
      <c r="LG158" s="517">
        <v>1000</v>
      </c>
    </row>
    <row r="159" spans="1:319" s="705" customFormat="1">
      <c r="A159" s="510"/>
      <c r="B159" s="1064" t="s">
        <v>1028</v>
      </c>
      <c r="C159" s="699" t="s">
        <v>938</v>
      </c>
      <c r="D159" s="497"/>
      <c r="E159" s="510"/>
      <c r="F159" s="510"/>
      <c r="G159" s="699"/>
      <c r="H159" s="510"/>
      <c r="I159" s="510"/>
      <c r="J159" s="699"/>
      <c r="K159" s="584"/>
      <c r="L159" s="584"/>
      <c r="M159" s="584"/>
      <c r="N159" s="584"/>
      <c r="O159" s="584"/>
      <c r="P159" s="584"/>
      <c r="Q159" s="584"/>
      <c r="R159" s="584"/>
      <c r="S159" s="700"/>
      <c r="T159" s="584"/>
      <c r="U159" s="584"/>
      <c r="V159" s="584"/>
      <c r="W159" s="584"/>
      <c r="X159" s="584">
        <v>-652</v>
      </c>
      <c r="Y159" s="584">
        <v>17</v>
      </c>
      <c r="Z159" s="584">
        <f>+AA159-Y159</f>
        <v>-815</v>
      </c>
      <c r="AA159" s="584">
        <v>-798</v>
      </c>
      <c r="AB159" s="700"/>
      <c r="AC159" s="584">
        <v>-212</v>
      </c>
      <c r="AD159" s="584">
        <f t="shared" si="418"/>
        <v>-46</v>
      </c>
      <c r="AE159" s="584">
        <f t="shared" si="419"/>
        <v>-264</v>
      </c>
      <c r="AF159" s="584">
        <f t="shared" si="420"/>
        <v>-45</v>
      </c>
      <c r="AG159" s="584">
        <v>-522</v>
      </c>
      <c r="AH159" s="584">
        <v>-258</v>
      </c>
      <c r="AI159" s="584">
        <f t="shared" si="378"/>
        <v>-309</v>
      </c>
      <c r="AJ159" s="584">
        <v>-567</v>
      </c>
      <c r="AK159" s="497"/>
      <c r="AL159" s="584">
        <v>-278</v>
      </c>
      <c r="AM159" s="584">
        <f t="shared" si="421"/>
        <v>-135</v>
      </c>
      <c r="AN159" s="584">
        <f t="shared" si="422"/>
        <v>-231</v>
      </c>
      <c r="AO159" s="584">
        <f t="shared" si="423"/>
        <v>-497</v>
      </c>
      <c r="AP159" s="584">
        <v>-644</v>
      </c>
      <c r="AQ159" s="584">
        <v>-413</v>
      </c>
      <c r="AR159" s="584">
        <f t="shared" si="379"/>
        <v>-728</v>
      </c>
      <c r="AS159" s="584">
        <v>-1141</v>
      </c>
      <c r="AT159" s="497"/>
      <c r="AU159" s="584">
        <v>-215</v>
      </c>
      <c r="AV159" s="584">
        <f t="shared" si="380"/>
        <v>-155</v>
      </c>
      <c r="AW159" s="584">
        <f t="shared" si="361"/>
        <v>-720</v>
      </c>
      <c r="AX159" s="584">
        <v>370</v>
      </c>
      <c r="AY159" s="584">
        <f t="shared" si="381"/>
        <v>-515</v>
      </c>
      <c r="AZ159" s="584"/>
      <c r="BA159" s="584">
        <v>-1090</v>
      </c>
      <c r="BB159" s="625">
        <f>BB160+BB161+BB162</f>
        <v>-370</v>
      </c>
      <c r="BC159" s="625">
        <f t="shared" si="382"/>
        <v>-1235</v>
      </c>
      <c r="BD159" s="584"/>
      <c r="BE159" s="584">
        <v>-1605</v>
      </c>
      <c r="BF159" s="497"/>
      <c r="BG159" s="584"/>
      <c r="BH159" s="584"/>
      <c r="BI159" s="584"/>
      <c r="BJ159" s="497"/>
      <c r="BK159" s="510"/>
      <c r="BL159" s="510"/>
      <c r="BM159" s="510"/>
      <c r="BN159" s="510"/>
      <c r="BO159" s="497"/>
      <c r="BP159" s="584">
        <v>-51</v>
      </c>
      <c r="BQ159" s="584"/>
      <c r="BR159" s="584">
        <f t="shared" si="424"/>
        <v>-100</v>
      </c>
      <c r="BS159" s="584"/>
      <c r="BT159" s="584">
        <f t="shared" si="425"/>
        <v>-432</v>
      </c>
      <c r="BU159" s="584">
        <v>-17</v>
      </c>
      <c r="BV159" s="759">
        <f t="shared" si="406"/>
        <v>-8</v>
      </c>
      <c r="BW159" s="584"/>
      <c r="BX159" s="584">
        <v>-583</v>
      </c>
      <c r="BY159" s="584">
        <v>-151</v>
      </c>
      <c r="BZ159" s="584"/>
      <c r="CA159" s="584"/>
      <c r="CB159" s="584">
        <v>-449</v>
      </c>
      <c r="CC159" s="584">
        <f t="shared" si="407"/>
        <v>-440</v>
      </c>
      <c r="CD159" s="584">
        <v>-600</v>
      </c>
      <c r="CE159" s="1177">
        <v>-591</v>
      </c>
      <c r="CF159" s="497"/>
      <c r="CG159" s="714">
        <v>-99</v>
      </c>
      <c r="CH159" s="510">
        <v>-100</v>
      </c>
      <c r="CI159" s="510">
        <v>-100</v>
      </c>
      <c r="CJ159" s="510">
        <f t="shared" si="426"/>
        <v>-202</v>
      </c>
      <c r="CK159" s="510">
        <v>-150</v>
      </c>
      <c r="CL159" s="455">
        <f t="shared" si="427"/>
        <v>-411</v>
      </c>
      <c r="CM159" s="510"/>
      <c r="CN159" s="510"/>
      <c r="CO159" s="510">
        <f t="shared" si="428"/>
        <v>-101</v>
      </c>
      <c r="CP159" s="510">
        <v>-712</v>
      </c>
      <c r="CQ159" s="510"/>
      <c r="CR159" s="180">
        <v>-301</v>
      </c>
      <c r="CS159" s="180">
        <v>-249</v>
      </c>
      <c r="CT159" s="510"/>
      <c r="CU159" s="510">
        <f t="shared" si="363"/>
        <v>-512</v>
      </c>
      <c r="CV159" s="510"/>
      <c r="CW159" s="699">
        <v>-813</v>
      </c>
      <c r="CX159" s="510"/>
      <c r="CY159" s="510">
        <f>CY160+CY161+CY162</f>
        <v>-182</v>
      </c>
      <c r="CZ159" s="510">
        <f t="shared" si="364"/>
        <v>-97</v>
      </c>
      <c r="DA159" s="510">
        <v>-300</v>
      </c>
      <c r="DB159" s="510">
        <v>-279</v>
      </c>
      <c r="DC159" s="510">
        <f t="shared" si="365"/>
        <v>-121</v>
      </c>
      <c r="DD159" s="510">
        <v>-400</v>
      </c>
      <c r="DE159" s="510">
        <f t="shared" si="299"/>
        <v>-31</v>
      </c>
      <c r="DF159" s="510"/>
      <c r="DG159" s="510">
        <v>-400</v>
      </c>
      <c r="DH159" s="510"/>
      <c r="DI159" s="510">
        <f t="shared" si="224"/>
        <v>-152</v>
      </c>
      <c r="DJ159" s="510"/>
      <c r="DK159" s="510">
        <v>-431</v>
      </c>
      <c r="DL159" s="512"/>
      <c r="DM159" s="512"/>
      <c r="DN159" s="584"/>
      <c r="DO159" s="584"/>
      <c r="DP159" s="713"/>
      <c r="DQ159" s="713">
        <f t="shared" si="402"/>
        <v>-400</v>
      </c>
      <c r="DR159" s="713">
        <f t="shared" si="346"/>
        <v>-521</v>
      </c>
      <c r="DS159" s="517">
        <v>-800</v>
      </c>
      <c r="DT159" s="512"/>
      <c r="DU159" s="584"/>
      <c r="DV159" s="759">
        <f t="shared" si="408"/>
        <v>-18</v>
      </c>
      <c r="DW159" s="710">
        <v>-200</v>
      </c>
      <c r="DX159" s="713">
        <f t="shared" si="409"/>
        <v>-221</v>
      </c>
      <c r="DY159" s="713">
        <v>-500</v>
      </c>
      <c r="DZ159" s="497"/>
      <c r="EB159" s="710">
        <f t="shared" si="410"/>
        <v>712</v>
      </c>
      <c r="EC159" s="713">
        <f t="shared" si="411"/>
        <v>301</v>
      </c>
      <c r="ED159" s="512">
        <v>0</v>
      </c>
      <c r="EE159" s="497"/>
      <c r="EF159" s="510"/>
      <c r="EG159" s="714">
        <v>-178</v>
      </c>
      <c r="EH159" s="510"/>
      <c r="EI159" s="510">
        <f t="shared" si="386"/>
        <v>-172</v>
      </c>
      <c r="EJ159" s="510"/>
      <c r="EK159" s="510">
        <v>-350</v>
      </c>
      <c r="EL159" s="510"/>
      <c r="EM159" s="510">
        <f t="shared" si="412"/>
        <v>-546</v>
      </c>
      <c r="EN159" s="510"/>
      <c r="EO159" s="510">
        <v>-896</v>
      </c>
      <c r="EQ159" s="510">
        <f t="shared" si="413"/>
        <v>-85</v>
      </c>
      <c r="ES159" s="510">
        <f t="shared" si="430"/>
        <v>-631</v>
      </c>
      <c r="EU159" s="699">
        <v>-981</v>
      </c>
      <c r="EV159" s="517"/>
      <c r="EW159" s="510"/>
      <c r="EX159" s="510">
        <v>-124</v>
      </c>
      <c r="EY159" s="510">
        <v>124</v>
      </c>
      <c r="EZ159" s="510">
        <f t="shared" si="388"/>
        <v>-260</v>
      </c>
      <c r="FA159" s="510"/>
      <c r="FB159" s="510">
        <v>-384</v>
      </c>
      <c r="FC159" s="510">
        <f t="shared" si="414"/>
        <v>-294</v>
      </c>
      <c r="FD159" s="180">
        <v>384</v>
      </c>
      <c r="FE159" s="510">
        <v>-678</v>
      </c>
      <c r="FF159" s="180"/>
      <c r="FG159" s="180">
        <f>FI159-FC159</f>
        <v>140</v>
      </c>
      <c r="FH159" s="510">
        <f>+FL159-FE159</f>
        <v>140</v>
      </c>
      <c r="FI159" s="510">
        <f t="shared" si="445"/>
        <v>-154</v>
      </c>
      <c r="FJ159" s="510">
        <f>+FL159-FB159</f>
        <v>-154</v>
      </c>
      <c r="FK159" s="699">
        <v>-538</v>
      </c>
      <c r="FL159" s="512">
        <f>+Driver!AD240</f>
        <v>-538</v>
      </c>
      <c r="FM159" s="584">
        <f t="shared" si="446"/>
        <v>-276</v>
      </c>
      <c r="FN159" s="713">
        <v>-400</v>
      </c>
      <c r="FO159" s="713">
        <f>+FQ159-FE159</f>
        <v>-22</v>
      </c>
      <c r="FP159" s="713">
        <f>+FQ159-FB159</f>
        <v>-316</v>
      </c>
      <c r="FQ159" s="517">
        <v>-700</v>
      </c>
      <c r="FR159" s="517"/>
      <c r="FS159" s="510">
        <v>-76</v>
      </c>
      <c r="FT159" s="713"/>
      <c r="FU159" s="713"/>
      <c r="FV159" s="510">
        <f t="shared" si="447"/>
        <v>-233</v>
      </c>
      <c r="FW159" s="713"/>
      <c r="FX159" s="713"/>
      <c r="FY159" s="510">
        <v>-309</v>
      </c>
      <c r="FZ159" s="510">
        <f>+GA159-FY159</f>
        <v>-170</v>
      </c>
      <c r="GA159" s="510">
        <v>-479</v>
      </c>
      <c r="GB159" s="510">
        <f t="shared" si="448"/>
        <v>-121</v>
      </c>
      <c r="GC159" s="510">
        <f>+GD159-FY159</f>
        <v>-291</v>
      </c>
      <c r="GD159" s="699">
        <v>-600</v>
      </c>
      <c r="GE159" s="510">
        <v>-700</v>
      </c>
      <c r="GF159" s="510"/>
      <c r="GG159" s="510"/>
      <c r="GH159" s="713">
        <f>GI159-FY159</f>
        <v>-391</v>
      </c>
      <c r="GI159" s="713">
        <f>Driver!AE240</f>
        <v>-700</v>
      </c>
      <c r="GJ159" s="715"/>
      <c r="GK159" s="713"/>
      <c r="GL159" s="713">
        <v>-149</v>
      </c>
      <c r="GM159" s="713"/>
      <c r="GN159" s="713"/>
      <c r="GO159" s="713">
        <f t="shared" si="449"/>
        <v>-134</v>
      </c>
      <c r="GP159" s="713">
        <v>-283</v>
      </c>
      <c r="GQ159" s="713"/>
      <c r="GR159" s="510">
        <f>+GS159-GP159</f>
        <v>-290</v>
      </c>
      <c r="GS159" s="510">
        <v>-573</v>
      </c>
      <c r="GT159" s="510">
        <f t="shared" si="450"/>
        <v>-99</v>
      </c>
      <c r="GU159" s="510">
        <f>+GV159-GP159</f>
        <v>-389</v>
      </c>
      <c r="GV159" s="699">
        <v>-672</v>
      </c>
      <c r="GW159" s="510">
        <v>-700</v>
      </c>
      <c r="GX159" s="713"/>
      <c r="GY159" s="713">
        <f>GZ159-GP159</f>
        <v>-517</v>
      </c>
      <c r="GZ159" s="713">
        <f>Driver!AF240</f>
        <v>-800</v>
      </c>
      <c r="HA159" s="715"/>
      <c r="HB159" s="713"/>
      <c r="HC159" s="713"/>
      <c r="HD159" s="713">
        <v>-237</v>
      </c>
      <c r="HE159" s="713">
        <v>-237</v>
      </c>
      <c r="HF159" s="713">
        <f t="shared" si="451"/>
        <v>-176</v>
      </c>
      <c r="HG159" s="713">
        <f t="shared" si="452"/>
        <v>-176</v>
      </c>
      <c r="HH159" s="713">
        <f t="shared" si="453"/>
        <v>-176</v>
      </c>
      <c r="HI159" s="713">
        <v>-413</v>
      </c>
      <c r="HJ159" s="713"/>
      <c r="HK159" s="713"/>
      <c r="HL159" s="713">
        <v>-413</v>
      </c>
      <c r="HM159" s="713">
        <v>-413</v>
      </c>
      <c r="HN159" s="510">
        <f>+HP159-HI159</f>
        <v>-193</v>
      </c>
      <c r="HO159" s="510">
        <f>+HQ159-HM159</f>
        <v>-193</v>
      </c>
      <c r="HP159" s="510">
        <v>-606</v>
      </c>
      <c r="HQ159" s="510">
        <v>-606</v>
      </c>
      <c r="HR159" s="510">
        <f t="shared" si="454"/>
        <v>-280</v>
      </c>
      <c r="HS159" s="510">
        <f>HZ159-HQ159</f>
        <v>-280</v>
      </c>
      <c r="HT159" s="510">
        <f>+HV159-HI159</f>
        <v>-473</v>
      </c>
      <c r="HU159" s="510">
        <f t="shared" si="455"/>
        <v>-473</v>
      </c>
      <c r="HV159" s="510">
        <v>-886</v>
      </c>
      <c r="HW159" s="713"/>
      <c r="HX159" s="713"/>
      <c r="HY159" s="713">
        <f>IB159-HI159</f>
        <v>-387</v>
      </c>
      <c r="HZ159" s="510">
        <v>-886</v>
      </c>
      <c r="IA159" s="713">
        <v>-800</v>
      </c>
      <c r="IB159" s="713">
        <f>Driver!AG240</f>
        <v>-800</v>
      </c>
      <c r="IC159" s="715"/>
      <c r="ID159" s="713"/>
      <c r="IE159" s="784">
        <v>-165</v>
      </c>
      <c r="IF159" s="713">
        <f>IG159-IE159</f>
        <v>-184</v>
      </c>
      <c r="IG159" s="1134">
        <v>-349</v>
      </c>
      <c r="IH159" s="713">
        <f>+IJ159-IG159</f>
        <v>-383</v>
      </c>
      <c r="II159" s="713"/>
      <c r="IJ159" s="1135">
        <v>-732</v>
      </c>
      <c r="IK159" s="713">
        <f t="shared" si="456"/>
        <v>-1100</v>
      </c>
      <c r="IL159" s="713"/>
      <c r="IM159" s="713">
        <f t="shared" si="457"/>
        <v>-311</v>
      </c>
      <c r="IN159" s="713">
        <f>IP159-IG159</f>
        <v>-751</v>
      </c>
      <c r="IO159" s="713">
        <f>+IR159-IG159</f>
        <v>-694</v>
      </c>
      <c r="IP159" s="517">
        <f>Driver!AI240</f>
        <v>-1100</v>
      </c>
      <c r="IQ159" s="713">
        <v>-800</v>
      </c>
      <c r="IR159" s="517">
        <f>SUM(IR160:IR162)</f>
        <v>-1043</v>
      </c>
      <c r="IS159" s="1289"/>
      <c r="IT159" s="713"/>
      <c r="IU159" s="603">
        <v>-167</v>
      </c>
      <c r="IV159" s="713">
        <f t="shared" si="458"/>
        <v>-284</v>
      </c>
      <c r="IW159" s="713"/>
      <c r="IX159" s="713">
        <v>-451</v>
      </c>
      <c r="IY159" s="713"/>
      <c r="IZ159" s="713">
        <f>JA159-IX159</f>
        <v>293</v>
      </c>
      <c r="JA159" s="713">
        <v>-158</v>
      </c>
      <c r="JB159" s="713">
        <f t="shared" si="462"/>
        <v>-67</v>
      </c>
      <c r="JC159" s="713">
        <f t="shared" si="463"/>
        <v>226</v>
      </c>
      <c r="JD159" s="713">
        <v>-225</v>
      </c>
      <c r="JE159" s="713"/>
      <c r="JF159" s="713"/>
      <c r="JG159" s="713"/>
      <c r="JH159" s="517">
        <f>Driver!AT240</f>
        <v>-900</v>
      </c>
      <c r="JI159" s="1289"/>
      <c r="JJ159" s="1289"/>
      <c r="JK159" s="603"/>
      <c r="JL159" s="603">
        <v>-38</v>
      </c>
      <c r="JM159" s="603">
        <f t="shared" si="459"/>
        <v>-224</v>
      </c>
      <c r="JN159" s="713">
        <f t="shared" si="460"/>
        <v>-49</v>
      </c>
      <c r="JO159" s="603"/>
      <c r="JP159" s="603">
        <v>-262</v>
      </c>
      <c r="JQ159" s="603"/>
      <c r="JR159" s="603"/>
      <c r="JS159" s="603">
        <v>-311</v>
      </c>
      <c r="JT159" s="603"/>
      <c r="JU159" s="603"/>
      <c r="JV159" s="603"/>
      <c r="JW159" s="603"/>
      <c r="JX159" s="603"/>
      <c r="JY159" s="603"/>
      <c r="JZ159" s="603"/>
      <c r="KA159" s="746"/>
      <c r="KB159" s="603">
        <f>+KC159-JL159</f>
        <v>-362</v>
      </c>
      <c r="KC159" s="603">
        <v>-400</v>
      </c>
      <c r="KD159" s="603">
        <f t="shared" si="464"/>
        <v>-200</v>
      </c>
      <c r="KE159" s="603">
        <f>+KG159-JP159</f>
        <v>262</v>
      </c>
      <c r="KF159" s="603"/>
      <c r="KG159" s="603"/>
      <c r="KH159" s="603">
        <v>-600</v>
      </c>
      <c r="KI159" s="746"/>
      <c r="KJ159" s="603"/>
      <c r="KK159" s="713"/>
      <c r="KL159" s="713">
        <f t="shared" si="461"/>
        <v>-449</v>
      </c>
      <c r="KM159" s="603">
        <v>-900</v>
      </c>
      <c r="KN159" s="603"/>
      <c r="KO159" s="603"/>
      <c r="KP159" s="713">
        <v>-700</v>
      </c>
      <c r="KQ159" s="517">
        <v>-700</v>
      </c>
      <c r="KR159" s="713">
        <v>-351</v>
      </c>
      <c r="KS159" s="517">
        <v>-700</v>
      </c>
      <c r="KT159" s="713">
        <f>KU159-IE159</f>
        <v>-335</v>
      </c>
      <c r="KU159" s="713">
        <v>-500</v>
      </c>
      <c r="KV159" s="713">
        <f>KW159-KU159</f>
        <v>-300</v>
      </c>
      <c r="KW159" s="517">
        <v>-800</v>
      </c>
      <c r="KX159" s="713">
        <f>KY159-HN159</f>
        <v>-194</v>
      </c>
      <c r="KY159" s="713">
        <f>KZ159-HI159</f>
        <v>-387</v>
      </c>
      <c r="KZ159" s="517">
        <v>-800</v>
      </c>
      <c r="LA159" s="713">
        <v>-100</v>
      </c>
      <c r="LB159" s="713">
        <f>LC159-LA159</f>
        <v>-600</v>
      </c>
      <c r="LC159" s="517">
        <v>-700</v>
      </c>
      <c r="LD159" s="517"/>
      <c r="LE159" s="713">
        <f t="shared" si="443"/>
        <v>-27</v>
      </c>
      <c r="LF159" s="713">
        <f t="shared" si="444"/>
        <v>-317</v>
      </c>
      <c r="LG159" s="517">
        <v>-600</v>
      </c>
    </row>
    <row r="160" spans="1:319" s="705" customFormat="1">
      <c r="A160" s="510"/>
      <c r="B160" s="1085" t="s">
        <v>1202</v>
      </c>
      <c r="C160" s="699" t="s">
        <v>937</v>
      </c>
      <c r="D160" s="497"/>
      <c r="E160" s="510"/>
      <c r="F160" s="510"/>
      <c r="G160" s="699"/>
      <c r="H160" s="510"/>
      <c r="I160" s="510"/>
      <c r="J160" s="699"/>
      <c r="K160" s="584"/>
      <c r="L160" s="584"/>
      <c r="M160" s="584"/>
      <c r="N160" s="584"/>
      <c r="O160" s="584"/>
      <c r="P160" s="584"/>
      <c r="Q160" s="584"/>
      <c r="R160" s="584"/>
      <c r="S160" s="700"/>
      <c r="T160" s="584">
        <v>-200</v>
      </c>
      <c r="U160" s="584">
        <v>217</v>
      </c>
      <c r="V160" s="584"/>
      <c r="W160" s="584"/>
      <c r="X160" s="584"/>
      <c r="Y160" s="584"/>
      <c r="Z160" s="584"/>
      <c r="AA160" s="584"/>
      <c r="AB160" s="700"/>
      <c r="AC160" s="584">
        <v>-211</v>
      </c>
      <c r="AD160" s="584">
        <f t="shared" si="418"/>
        <v>-161</v>
      </c>
      <c r="AE160" s="584">
        <f t="shared" si="419"/>
        <v>-180</v>
      </c>
      <c r="AF160" s="584">
        <f t="shared" si="420"/>
        <v>-127</v>
      </c>
      <c r="AG160" s="584">
        <v>-552</v>
      </c>
      <c r="AH160" s="584">
        <v>-372</v>
      </c>
      <c r="AI160" s="584">
        <f t="shared" si="378"/>
        <v>-307</v>
      </c>
      <c r="AJ160" s="584">
        <v>-679</v>
      </c>
      <c r="AK160" s="497"/>
      <c r="AL160" s="584">
        <v>-351</v>
      </c>
      <c r="AM160" s="584">
        <f t="shared" si="421"/>
        <v>-299</v>
      </c>
      <c r="AN160" s="584">
        <f t="shared" si="422"/>
        <v>-291</v>
      </c>
      <c r="AO160" s="584">
        <f t="shared" si="423"/>
        <v>126</v>
      </c>
      <c r="AP160" s="584">
        <v>-941</v>
      </c>
      <c r="AQ160" s="584">
        <v>-650</v>
      </c>
      <c r="AR160" s="584">
        <f t="shared" si="379"/>
        <v>-165</v>
      </c>
      <c r="AS160" s="584">
        <v>-815</v>
      </c>
      <c r="AT160" s="497"/>
      <c r="AU160" s="584">
        <v>-306</v>
      </c>
      <c r="AV160" s="584">
        <f t="shared" si="380"/>
        <v>-304</v>
      </c>
      <c r="AW160" s="584">
        <f t="shared" si="361"/>
        <v>-332</v>
      </c>
      <c r="AX160" s="584">
        <v>610</v>
      </c>
      <c r="AY160" s="584">
        <f t="shared" si="381"/>
        <v>2</v>
      </c>
      <c r="AZ160" s="584"/>
      <c r="BA160" s="584">
        <v>-942</v>
      </c>
      <c r="BB160" s="625">
        <v>-610</v>
      </c>
      <c r="BC160" s="625">
        <f t="shared" si="382"/>
        <v>-330</v>
      </c>
      <c r="BD160" s="584"/>
      <c r="BE160" s="584">
        <v>-940</v>
      </c>
      <c r="BF160" s="497"/>
      <c r="BG160" s="584"/>
      <c r="BH160" s="584"/>
      <c r="BI160" s="584"/>
      <c r="BJ160" s="497"/>
      <c r="BK160" s="510"/>
      <c r="BL160" s="510"/>
      <c r="BM160" s="510"/>
      <c r="BN160" s="510"/>
      <c r="BO160" s="497"/>
      <c r="BP160" s="584">
        <v>-218</v>
      </c>
      <c r="BQ160" s="584"/>
      <c r="BR160" s="584">
        <f t="shared" si="424"/>
        <v>-181</v>
      </c>
      <c r="BS160" s="584"/>
      <c r="BT160" s="584">
        <f t="shared" si="425"/>
        <v>-230</v>
      </c>
      <c r="BU160" s="584">
        <v>0</v>
      </c>
      <c r="BV160" s="584">
        <f>CC160-BT160</f>
        <v>-210</v>
      </c>
      <c r="BW160" s="584"/>
      <c r="BX160" s="584">
        <v>-629</v>
      </c>
      <c r="BY160" s="584">
        <v>-399</v>
      </c>
      <c r="BZ160" s="584"/>
      <c r="CA160" s="584"/>
      <c r="CB160" s="584"/>
      <c r="CC160" s="584">
        <f t="shared" si="407"/>
        <v>-440</v>
      </c>
      <c r="CD160" s="584"/>
      <c r="CE160" s="584">
        <v>-839</v>
      </c>
      <c r="CF160" s="497"/>
      <c r="CG160" s="714">
        <v>-249</v>
      </c>
      <c r="CH160" s="510"/>
      <c r="CI160" s="510"/>
      <c r="CJ160" s="510">
        <f t="shared" si="426"/>
        <v>-237</v>
      </c>
      <c r="CK160" s="510"/>
      <c r="CL160" s="455">
        <f t="shared" si="427"/>
        <v>-246</v>
      </c>
      <c r="CM160" s="510"/>
      <c r="CN160" s="510"/>
      <c r="CO160" s="510">
        <f t="shared" si="428"/>
        <v>-195</v>
      </c>
      <c r="CP160" s="510">
        <v>-732</v>
      </c>
      <c r="CQ160" s="510"/>
      <c r="CR160" s="510">
        <v>-486</v>
      </c>
      <c r="CS160" s="510"/>
      <c r="CT160" s="510"/>
      <c r="CU160" s="510">
        <f t="shared" si="363"/>
        <v>-441</v>
      </c>
      <c r="CV160" s="510"/>
      <c r="CW160" s="699">
        <v>-927</v>
      </c>
      <c r="CX160" s="510"/>
      <c r="CY160" s="510">
        <v>-235</v>
      </c>
      <c r="CZ160" s="510">
        <f t="shared" si="364"/>
        <v>-237</v>
      </c>
      <c r="DA160" s="510"/>
      <c r="DB160" s="510">
        <v>-472</v>
      </c>
      <c r="DC160" s="510">
        <f t="shared" si="365"/>
        <v>-274</v>
      </c>
      <c r="DD160" s="510">
        <f>DH160-CZ160-CY160</f>
        <v>-328</v>
      </c>
      <c r="DE160" s="510">
        <f t="shared" si="299"/>
        <v>-289</v>
      </c>
      <c r="DF160" s="510"/>
      <c r="DG160" s="510">
        <v>-746</v>
      </c>
      <c r="DH160" s="510">
        <v>-800</v>
      </c>
      <c r="DI160" s="510">
        <f t="shared" si="224"/>
        <v>-563</v>
      </c>
      <c r="DJ160" s="510"/>
      <c r="DK160" s="510">
        <v>-1035</v>
      </c>
      <c r="DL160" s="512"/>
      <c r="DM160" s="512"/>
      <c r="DN160" s="584"/>
      <c r="DO160" s="584"/>
      <c r="DP160" s="713"/>
      <c r="DQ160" s="713"/>
      <c r="DR160" s="713"/>
      <c r="DS160" s="517"/>
      <c r="DT160" s="512"/>
      <c r="DU160" s="584"/>
      <c r="DV160" s="584"/>
      <c r="DX160" s="713"/>
      <c r="DY160" s="713"/>
      <c r="DZ160" s="497"/>
      <c r="EC160" s="713"/>
      <c r="ED160" s="512"/>
      <c r="EE160" s="497"/>
      <c r="EF160" s="510"/>
      <c r="EG160" s="714">
        <v>-319</v>
      </c>
      <c r="EH160" s="510"/>
      <c r="EI160" s="510">
        <f t="shared" si="386"/>
        <v>-284</v>
      </c>
      <c r="EJ160" s="510"/>
      <c r="EK160" s="510">
        <v>-603</v>
      </c>
      <c r="EL160" s="510"/>
      <c r="EM160" s="510">
        <f t="shared" si="412"/>
        <v>-327</v>
      </c>
      <c r="EN160" s="510"/>
      <c r="EO160" s="510">
        <v>-930</v>
      </c>
      <c r="EQ160" s="510">
        <f t="shared" si="413"/>
        <v>-294</v>
      </c>
      <c r="ES160" s="510">
        <f t="shared" si="430"/>
        <v>-621</v>
      </c>
      <c r="EU160" s="699">
        <v>-1224</v>
      </c>
      <c r="EV160" s="517"/>
      <c r="EW160" s="510"/>
      <c r="EX160" s="510">
        <v>-277</v>
      </c>
      <c r="EY160" s="510">
        <v>277</v>
      </c>
      <c r="EZ160" s="510">
        <f t="shared" si="388"/>
        <v>-268</v>
      </c>
      <c r="FA160" s="510"/>
      <c r="FB160" s="510">
        <v>-545</v>
      </c>
      <c r="FC160" s="510">
        <f t="shared" si="414"/>
        <v>-331</v>
      </c>
      <c r="FD160" s="180"/>
      <c r="FE160" s="510">
        <v>-876</v>
      </c>
      <c r="FF160" s="180"/>
      <c r="FG160" s="180">
        <f>FI160-FC160</f>
        <v>-242</v>
      </c>
      <c r="FH160" s="510">
        <f>+FL160-FE160</f>
        <v>876</v>
      </c>
      <c r="FI160" s="510">
        <f t="shared" si="445"/>
        <v>-573</v>
      </c>
      <c r="FJ160" s="510"/>
      <c r="FK160" s="699">
        <v>-1118</v>
      </c>
      <c r="FL160" s="512"/>
      <c r="FM160" s="584">
        <f t="shared" si="446"/>
        <v>277</v>
      </c>
      <c r="FN160" s="713"/>
      <c r="FO160" s="713"/>
      <c r="FP160" s="713"/>
      <c r="FQ160" s="517"/>
      <c r="FR160" s="517"/>
      <c r="FS160" s="510">
        <v>-297</v>
      </c>
      <c r="FT160" s="713"/>
      <c r="FU160" s="713"/>
      <c r="FV160" s="510">
        <f t="shared" si="447"/>
        <v>-260</v>
      </c>
      <c r="FW160" s="713"/>
      <c r="FX160" s="713"/>
      <c r="FY160" s="510">
        <v>-557</v>
      </c>
      <c r="FZ160" s="510">
        <f>+GA160-FY160</f>
        <v>-332</v>
      </c>
      <c r="GA160" s="510">
        <v>-889</v>
      </c>
      <c r="GB160" s="510">
        <f t="shared" si="448"/>
        <v>-249</v>
      </c>
      <c r="GC160" s="510">
        <f>+GD160-FY160</f>
        <v>-581</v>
      </c>
      <c r="GD160" s="699">
        <v>-1138</v>
      </c>
      <c r="GE160" s="510"/>
      <c r="GF160" s="510"/>
      <c r="GG160" s="510"/>
      <c r="GH160" s="713"/>
      <c r="GI160" s="713"/>
      <c r="GJ160" s="715"/>
      <c r="GK160" s="713"/>
      <c r="GL160" s="713">
        <v>-290</v>
      </c>
      <c r="GM160" s="713"/>
      <c r="GN160" s="713"/>
      <c r="GO160" s="713">
        <f t="shared" si="449"/>
        <v>-274</v>
      </c>
      <c r="GP160" s="713">
        <v>-564</v>
      </c>
      <c r="GQ160" s="713"/>
      <c r="GR160" s="510">
        <f>+GS160-GP160</f>
        <v>-366</v>
      </c>
      <c r="GS160" s="510">
        <v>-930</v>
      </c>
      <c r="GT160" s="510">
        <f t="shared" si="450"/>
        <v>930</v>
      </c>
      <c r="GU160" s="510">
        <f>+GV160-GP160</f>
        <v>564</v>
      </c>
      <c r="GV160" s="699"/>
      <c r="GW160" s="510"/>
      <c r="GX160" s="713"/>
      <c r="GY160" s="713"/>
      <c r="GZ160" s="713"/>
      <c r="HA160" s="715"/>
      <c r="HB160" s="713"/>
      <c r="HC160" s="713"/>
      <c r="HD160" s="713">
        <v>-309</v>
      </c>
      <c r="HE160" s="713">
        <v>-309</v>
      </c>
      <c r="HF160" s="713">
        <f t="shared" si="451"/>
        <v>-335</v>
      </c>
      <c r="HG160" s="713">
        <f t="shared" si="452"/>
        <v>-335</v>
      </c>
      <c r="HH160" s="713">
        <f t="shared" si="453"/>
        <v>-335</v>
      </c>
      <c r="HI160" s="713">
        <v>-644</v>
      </c>
      <c r="HJ160" s="713"/>
      <c r="HK160" s="713"/>
      <c r="HL160" s="713">
        <v>-644</v>
      </c>
      <c r="HM160" s="713">
        <v>-644</v>
      </c>
      <c r="HN160" s="510">
        <f>+HP160-HI160</f>
        <v>-351</v>
      </c>
      <c r="HO160" s="510">
        <f>+HQ160-HM160</f>
        <v>-351</v>
      </c>
      <c r="HP160" s="510">
        <v>-995</v>
      </c>
      <c r="HQ160" s="510">
        <v>-995</v>
      </c>
      <c r="HR160" s="510">
        <f t="shared" si="454"/>
        <v>-260</v>
      </c>
      <c r="HS160" s="510">
        <f>HZ160-HQ160</f>
        <v>-260</v>
      </c>
      <c r="HT160" s="510">
        <f>+HV160-HI160</f>
        <v>-611</v>
      </c>
      <c r="HU160" s="510">
        <f t="shared" si="455"/>
        <v>-611</v>
      </c>
      <c r="HV160" s="510">
        <v>-1255</v>
      </c>
      <c r="HW160" s="713"/>
      <c r="HX160" s="713"/>
      <c r="HY160" s="713"/>
      <c r="HZ160" s="510">
        <v>-1255</v>
      </c>
      <c r="IA160" s="713"/>
      <c r="IB160" s="713"/>
      <c r="IC160" s="715"/>
      <c r="ID160" s="713"/>
      <c r="IE160" s="784">
        <v>-286</v>
      </c>
      <c r="IF160" s="713">
        <f>IG160-IE160</f>
        <v>-311</v>
      </c>
      <c r="IG160" s="1134">
        <v>-597</v>
      </c>
      <c r="IH160" s="713">
        <f>+IJ160-IG160</f>
        <v>-357</v>
      </c>
      <c r="II160" s="713"/>
      <c r="IJ160" s="1135">
        <v>-954</v>
      </c>
      <c r="IK160" s="713">
        <f t="shared" si="456"/>
        <v>0</v>
      </c>
      <c r="IL160" s="713"/>
      <c r="IM160" s="713">
        <f t="shared" si="457"/>
        <v>-310</v>
      </c>
      <c r="IN160" s="713"/>
      <c r="IO160" s="713">
        <f>+IR160-IG160</f>
        <v>-667</v>
      </c>
      <c r="IP160" s="517"/>
      <c r="IQ160" s="713"/>
      <c r="IR160" s="517">
        <v>-1264</v>
      </c>
      <c r="IS160" s="784"/>
      <c r="IT160" s="713"/>
      <c r="IU160" s="713">
        <v>-313</v>
      </c>
      <c r="IV160" s="713">
        <f t="shared" si="458"/>
        <v>-300</v>
      </c>
      <c r="IW160" s="713"/>
      <c r="IX160" s="713">
        <v>-613</v>
      </c>
      <c r="IY160" s="713"/>
      <c r="IZ160" s="713">
        <f>+JA160-IX160</f>
        <v>-319</v>
      </c>
      <c r="JA160" s="713">
        <v>-932</v>
      </c>
      <c r="JB160" s="713">
        <f>+JC160-IZ160</f>
        <v>-365</v>
      </c>
      <c r="JC160" s="713">
        <f>+JD160-IX160</f>
        <v>-684</v>
      </c>
      <c r="JD160" s="713">
        <v>-1297</v>
      </c>
      <c r="JE160" s="713"/>
      <c r="JF160" s="713"/>
      <c r="JG160" s="713"/>
      <c r="JH160" s="517"/>
      <c r="JI160" s="784"/>
      <c r="JJ160" s="784"/>
      <c r="JK160" s="713"/>
      <c r="JL160" s="713">
        <v>-320</v>
      </c>
      <c r="JM160" s="713">
        <f t="shared" si="459"/>
        <v>-379</v>
      </c>
      <c r="JN160" s="713">
        <f t="shared" si="460"/>
        <v>-506</v>
      </c>
      <c r="JO160" s="713"/>
      <c r="JP160" s="713">
        <v>-699</v>
      </c>
      <c r="JQ160" s="713"/>
      <c r="JR160" s="713"/>
      <c r="JS160" s="713">
        <v>-1205</v>
      </c>
      <c r="JT160" s="713"/>
      <c r="JU160" s="713"/>
      <c r="JV160" s="713"/>
      <c r="JW160" s="713"/>
      <c r="JX160" s="713"/>
      <c r="JY160" s="713"/>
      <c r="JZ160" s="713"/>
      <c r="KA160" s="517"/>
      <c r="KB160" s="713"/>
      <c r="KC160" s="713"/>
      <c r="KD160" s="713"/>
      <c r="KE160" s="713"/>
      <c r="KF160" s="713"/>
      <c r="KG160" s="713"/>
      <c r="KH160" s="713"/>
      <c r="KI160" s="517"/>
      <c r="KJ160" s="713"/>
      <c r="KK160" s="713"/>
      <c r="KL160" s="713">
        <f t="shared" si="461"/>
        <v>613</v>
      </c>
      <c r="KM160" s="713"/>
      <c r="KN160" s="713"/>
      <c r="KO160" s="713">
        <v>311</v>
      </c>
      <c r="KP160" s="713">
        <v>-311</v>
      </c>
      <c r="KQ160" s="517"/>
      <c r="KR160" s="713"/>
      <c r="KS160" s="517"/>
      <c r="KT160" s="713"/>
      <c r="KU160" s="713"/>
      <c r="KV160" s="713"/>
      <c r="KW160" s="517"/>
      <c r="KX160" s="713"/>
      <c r="KY160" s="713"/>
      <c r="KZ160" s="517"/>
      <c r="LA160" s="713"/>
      <c r="LB160" s="713"/>
      <c r="LC160" s="517"/>
      <c r="LD160" s="517"/>
      <c r="LE160" s="713"/>
      <c r="LF160" s="713"/>
      <c r="LG160" s="517"/>
    </row>
    <row r="161" spans="1:319" s="705" customFormat="1">
      <c r="A161" s="510"/>
      <c r="B161" s="1085" t="s">
        <v>1203</v>
      </c>
      <c r="C161" s="699" t="s">
        <v>936</v>
      </c>
      <c r="D161" s="497"/>
      <c r="E161" s="510"/>
      <c r="F161" s="510"/>
      <c r="G161" s="699"/>
      <c r="H161" s="510"/>
      <c r="I161" s="510"/>
      <c r="J161" s="699"/>
      <c r="K161" s="584"/>
      <c r="L161" s="584"/>
      <c r="M161" s="584"/>
      <c r="N161" s="584"/>
      <c r="O161" s="584"/>
      <c r="P161" s="584"/>
      <c r="Q161" s="584"/>
      <c r="R161" s="584"/>
      <c r="S161" s="700"/>
      <c r="T161" s="584"/>
      <c r="U161" s="584"/>
      <c r="V161" s="584"/>
      <c r="W161" s="584"/>
      <c r="X161" s="584"/>
      <c r="Y161" s="584"/>
      <c r="Z161" s="584"/>
      <c r="AA161" s="584"/>
      <c r="AB161" s="700"/>
      <c r="AC161" s="584">
        <v>-60</v>
      </c>
      <c r="AD161" s="584">
        <f t="shared" si="418"/>
        <v>88</v>
      </c>
      <c r="AE161" s="584">
        <f t="shared" si="419"/>
        <v>-11</v>
      </c>
      <c r="AF161" s="584">
        <f t="shared" si="420"/>
        <v>76</v>
      </c>
      <c r="AG161" s="584">
        <v>17</v>
      </c>
      <c r="AH161" s="584">
        <v>28</v>
      </c>
      <c r="AI161" s="584">
        <f t="shared" si="378"/>
        <v>65</v>
      </c>
      <c r="AJ161" s="584">
        <v>93</v>
      </c>
      <c r="AK161" s="497"/>
      <c r="AL161" s="584">
        <v>-22</v>
      </c>
      <c r="AM161" s="584">
        <f t="shared" si="421"/>
        <v>-7</v>
      </c>
      <c r="AN161" s="584">
        <f t="shared" si="422"/>
        <v>0</v>
      </c>
      <c r="AO161" s="584">
        <f t="shared" si="423"/>
        <v>-21</v>
      </c>
      <c r="AP161" s="584">
        <v>-29</v>
      </c>
      <c r="AQ161" s="584">
        <v>-29</v>
      </c>
      <c r="AR161" s="584">
        <f t="shared" si="379"/>
        <v>-21</v>
      </c>
      <c r="AS161" s="584">
        <v>-50</v>
      </c>
      <c r="AT161" s="497"/>
      <c r="AU161" s="584">
        <v>3</v>
      </c>
      <c r="AV161" s="584">
        <f t="shared" si="380"/>
        <v>-8</v>
      </c>
      <c r="AW161" s="584">
        <f t="shared" si="361"/>
        <v>-26</v>
      </c>
      <c r="AX161" s="584">
        <v>5</v>
      </c>
      <c r="AY161" s="584">
        <f t="shared" si="381"/>
        <v>9</v>
      </c>
      <c r="AZ161" s="584"/>
      <c r="BA161" s="584">
        <v>-31</v>
      </c>
      <c r="BB161" s="625">
        <v>-5</v>
      </c>
      <c r="BC161" s="625">
        <f t="shared" si="382"/>
        <v>-17</v>
      </c>
      <c r="BD161" s="584"/>
      <c r="BE161" s="584">
        <v>-22</v>
      </c>
      <c r="BF161" s="497"/>
      <c r="BG161" s="584"/>
      <c r="BH161" s="584"/>
      <c r="BI161" s="584"/>
      <c r="BJ161" s="497"/>
      <c r="BK161" s="510"/>
      <c r="BL161" s="510"/>
      <c r="BM161" s="510"/>
      <c r="BN161" s="510"/>
      <c r="BO161" s="497"/>
      <c r="BP161" s="584">
        <v>57</v>
      </c>
      <c r="BQ161" s="584"/>
      <c r="BR161" s="584">
        <f t="shared" si="424"/>
        <v>-45</v>
      </c>
      <c r="BS161" s="584"/>
      <c r="BT161" s="584">
        <f t="shared" si="425"/>
        <v>-36</v>
      </c>
      <c r="BU161" s="584">
        <v>0</v>
      </c>
      <c r="BV161" s="584">
        <f>CC161-BT161</f>
        <v>41</v>
      </c>
      <c r="BW161" s="584"/>
      <c r="BX161" s="584">
        <v>-24</v>
      </c>
      <c r="BY161" s="584">
        <v>12</v>
      </c>
      <c r="BZ161" s="584"/>
      <c r="CA161" s="584"/>
      <c r="CB161" s="584"/>
      <c r="CC161" s="584">
        <f t="shared" si="407"/>
        <v>5</v>
      </c>
      <c r="CD161" s="584"/>
      <c r="CE161" s="584">
        <v>17</v>
      </c>
      <c r="CF161" s="497"/>
      <c r="CG161" s="714">
        <v>52</v>
      </c>
      <c r="CH161" s="510"/>
      <c r="CI161" s="510"/>
      <c r="CJ161" s="510">
        <f t="shared" si="426"/>
        <v>-28</v>
      </c>
      <c r="CK161" s="510"/>
      <c r="CL161" s="455">
        <f t="shared" si="427"/>
        <v>-20</v>
      </c>
      <c r="CM161" s="510"/>
      <c r="CN161" s="510"/>
      <c r="CO161" s="510">
        <f t="shared" si="428"/>
        <v>-4</v>
      </c>
      <c r="CP161" s="510">
        <v>4</v>
      </c>
      <c r="CQ161" s="510"/>
      <c r="CR161" s="510">
        <v>24</v>
      </c>
      <c r="CS161" s="510"/>
      <c r="CT161" s="510"/>
      <c r="CU161" s="510">
        <f t="shared" si="363"/>
        <v>-24</v>
      </c>
      <c r="CV161" s="510"/>
      <c r="CW161" s="699">
        <v>0</v>
      </c>
      <c r="CX161" s="510"/>
      <c r="CY161" s="510">
        <v>-27</v>
      </c>
      <c r="CZ161" s="510">
        <f t="shared" si="364"/>
        <v>-48</v>
      </c>
      <c r="DA161" s="510"/>
      <c r="DB161" s="510">
        <v>-75</v>
      </c>
      <c r="DC161" s="510">
        <f t="shared" si="365"/>
        <v>13</v>
      </c>
      <c r="DD161" s="510"/>
      <c r="DE161" s="510">
        <f t="shared" si="299"/>
        <v>8</v>
      </c>
      <c r="DF161" s="510"/>
      <c r="DG161" s="510">
        <v>-62</v>
      </c>
      <c r="DH161" s="510"/>
      <c r="DI161" s="510">
        <f t="shared" si="224"/>
        <v>21</v>
      </c>
      <c r="DJ161" s="510"/>
      <c r="DK161" s="510">
        <v>-54</v>
      </c>
      <c r="DL161" s="512"/>
      <c r="DM161" s="512"/>
      <c r="DN161" s="584"/>
      <c r="DO161" s="584"/>
      <c r="DP161" s="713"/>
      <c r="DQ161" s="713"/>
      <c r="DR161" s="713"/>
      <c r="DS161" s="517"/>
      <c r="DT161" s="512"/>
      <c r="DU161" s="584"/>
      <c r="DV161" s="584"/>
      <c r="DX161" s="713"/>
      <c r="DY161" s="713"/>
      <c r="DZ161" s="497"/>
      <c r="EC161" s="713"/>
      <c r="ED161" s="512"/>
      <c r="EE161" s="497"/>
      <c r="EF161" s="510"/>
      <c r="EG161" s="714">
        <v>40</v>
      </c>
      <c r="EH161" s="510"/>
      <c r="EI161" s="510">
        <f t="shared" si="386"/>
        <v>-29</v>
      </c>
      <c r="EJ161" s="510"/>
      <c r="EK161" s="510">
        <v>11</v>
      </c>
      <c r="EL161" s="510"/>
      <c r="EM161" s="510">
        <f t="shared" si="412"/>
        <v>1</v>
      </c>
      <c r="EN161" s="510"/>
      <c r="EO161" s="510">
        <v>12</v>
      </c>
      <c r="EQ161" s="510">
        <f t="shared" si="413"/>
        <v>-12</v>
      </c>
      <c r="ES161" s="510">
        <f t="shared" si="430"/>
        <v>-11</v>
      </c>
      <c r="EU161" s="699">
        <v>0</v>
      </c>
      <c r="EV161" s="517"/>
      <c r="EW161" s="510"/>
      <c r="EX161" s="510">
        <v>48</v>
      </c>
      <c r="EY161" s="510">
        <v>-48</v>
      </c>
      <c r="EZ161" s="510">
        <f t="shared" si="388"/>
        <v>-33</v>
      </c>
      <c r="FA161" s="510"/>
      <c r="FB161" s="510">
        <v>15</v>
      </c>
      <c r="FC161" s="510">
        <f t="shared" si="414"/>
        <v>-45</v>
      </c>
      <c r="FD161" s="510"/>
      <c r="FE161" s="510">
        <v>-30</v>
      </c>
      <c r="FF161" s="510"/>
      <c r="FG161" s="180">
        <f>FI161-FC161</f>
        <v>-17</v>
      </c>
      <c r="FH161" s="510">
        <f>+FL161-FE161</f>
        <v>30</v>
      </c>
      <c r="FI161" s="510">
        <f t="shared" si="445"/>
        <v>-62</v>
      </c>
      <c r="FJ161" s="510"/>
      <c r="FK161" s="699">
        <v>-47</v>
      </c>
      <c r="FL161" s="512"/>
      <c r="FM161" s="584">
        <f t="shared" si="446"/>
        <v>-48</v>
      </c>
      <c r="FN161" s="713"/>
      <c r="FO161" s="713"/>
      <c r="FP161" s="713"/>
      <c r="FQ161" s="517"/>
      <c r="FR161" s="517"/>
      <c r="FS161" s="510">
        <v>96</v>
      </c>
      <c r="FT161" s="713"/>
      <c r="FU161" s="713"/>
      <c r="FV161" s="510">
        <f t="shared" si="447"/>
        <v>-62</v>
      </c>
      <c r="FW161" s="713"/>
      <c r="FX161" s="713"/>
      <c r="FY161" s="510">
        <v>34</v>
      </c>
      <c r="FZ161" s="510">
        <f>+GA161-FY161</f>
        <v>-10</v>
      </c>
      <c r="GA161" s="510">
        <v>24</v>
      </c>
      <c r="GB161" s="510">
        <f t="shared" si="448"/>
        <v>-2</v>
      </c>
      <c r="GC161" s="510">
        <f>+GD161-FY161</f>
        <v>-12</v>
      </c>
      <c r="GD161" s="699">
        <v>22</v>
      </c>
      <c r="GE161" s="510"/>
      <c r="GF161" s="510"/>
      <c r="GG161" s="510"/>
      <c r="GH161" s="713"/>
      <c r="GI161" s="713"/>
      <c r="GJ161" s="715"/>
      <c r="GK161" s="713"/>
      <c r="GL161" s="713">
        <v>21</v>
      </c>
      <c r="GM161" s="713"/>
      <c r="GN161" s="713"/>
      <c r="GO161" s="713">
        <f t="shared" si="449"/>
        <v>2</v>
      </c>
      <c r="GP161" s="713">
        <v>23</v>
      </c>
      <c r="GQ161" s="713"/>
      <c r="GR161" s="510">
        <f>+GS161-GP161</f>
        <v>-27</v>
      </c>
      <c r="GS161" s="510">
        <v>-4</v>
      </c>
      <c r="GT161" s="510">
        <f t="shared" si="450"/>
        <v>4</v>
      </c>
      <c r="GU161" s="510">
        <f>+GV161-GP161</f>
        <v>-23</v>
      </c>
      <c r="GV161" s="699"/>
      <c r="GW161" s="510"/>
      <c r="GX161" s="713"/>
      <c r="GY161" s="713"/>
      <c r="GZ161" s="713"/>
      <c r="HA161" s="715"/>
      <c r="HB161" s="713"/>
      <c r="HC161" s="713"/>
      <c r="HD161" s="713">
        <v>-56</v>
      </c>
      <c r="HE161" s="713">
        <v>-56</v>
      </c>
      <c r="HF161" s="713">
        <f t="shared" si="451"/>
        <v>31</v>
      </c>
      <c r="HG161" s="713">
        <f t="shared" si="452"/>
        <v>31</v>
      </c>
      <c r="HH161" s="713">
        <f t="shared" si="453"/>
        <v>31</v>
      </c>
      <c r="HI161" s="713">
        <v>-25</v>
      </c>
      <c r="HJ161" s="713"/>
      <c r="HK161" s="713"/>
      <c r="HL161" s="713">
        <v>-25</v>
      </c>
      <c r="HM161" s="713">
        <v>-25</v>
      </c>
      <c r="HN161" s="510">
        <f>+HP161-HI161</f>
        <v>-26</v>
      </c>
      <c r="HO161" s="510">
        <f>+HQ161-HM161</f>
        <v>-26</v>
      </c>
      <c r="HP161" s="510">
        <v>-51</v>
      </c>
      <c r="HQ161" s="510">
        <v>-51</v>
      </c>
      <c r="HR161" s="510">
        <f t="shared" si="454"/>
        <v>26</v>
      </c>
      <c r="HS161" s="510">
        <f>HZ161-HQ161</f>
        <v>26</v>
      </c>
      <c r="HT161" s="510">
        <f>+HV161-HI161</f>
        <v>0</v>
      </c>
      <c r="HU161" s="510">
        <f t="shared" si="455"/>
        <v>0</v>
      </c>
      <c r="HV161" s="510">
        <v>-25</v>
      </c>
      <c r="HW161" s="713"/>
      <c r="HX161" s="713"/>
      <c r="HY161" s="713"/>
      <c r="HZ161" s="510">
        <v>-25</v>
      </c>
      <c r="IA161" s="713"/>
      <c r="IB161" s="713"/>
      <c r="IC161" s="715"/>
      <c r="ID161" s="713"/>
      <c r="IE161" s="784">
        <v>16</v>
      </c>
      <c r="IF161" s="713">
        <f>IG161-IE161</f>
        <v>-17</v>
      </c>
      <c r="IG161" s="1134">
        <v>-1</v>
      </c>
      <c r="IH161" s="713">
        <f>+IJ161-IG161</f>
        <v>-64</v>
      </c>
      <c r="II161" s="713"/>
      <c r="IJ161" s="1135">
        <v>-65</v>
      </c>
      <c r="IK161" s="713">
        <f t="shared" si="456"/>
        <v>0</v>
      </c>
      <c r="IL161" s="713"/>
      <c r="IM161" s="713">
        <f t="shared" si="457"/>
        <v>30</v>
      </c>
      <c r="IN161" s="713"/>
      <c r="IO161" s="713">
        <f>+IR161-IG161</f>
        <v>-34</v>
      </c>
      <c r="IP161" s="517"/>
      <c r="IQ161" s="713"/>
      <c r="IR161" s="517">
        <v>-35</v>
      </c>
      <c r="IS161" s="784"/>
      <c r="IT161" s="713"/>
      <c r="IU161" s="713">
        <v>-66</v>
      </c>
      <c r="IV161" s="713">
        <f t="shared" si="458"/>
        <v>-46</v>
      </c>
      <c r="IW161" s="713"/>
      <c r="IX161" s="713">
        <v>-112</v>
      </c>
      <c r="IY161" s="713"/>
      <c r="IZ161" s="713">
        <f t="shared" ref="IZ161:IZ162" si="465">+JA161-IX161</f>
        <v>-1</v>
      </c>
      <c r="JA161" s="713">
        <v>-113</v>
      </c>
      <c r="JB161" s="713">
        <f t="shared" ref="JB161:JB162" si="466">+JC161-IZ161</f>
        <v>72</v>
      </c>
      <c r="JC161" s="713">
        <f t="shared" ref="JC161:JC162" si="467">+JD161-IX161</f>
        <v>71</v>
      </c>
      <c r="JD161" s="713">
        <v>-41</v>
      </c>
      <c r="JE161" s="713"/>
      <c r="JF161" s="713"/>
      <c r="JG161" s="713"/>
      <c r="JH161" s="517"/>
      <c r="JI161" s="784"/>
      <c r="JJ161" s="784"/>
      <c r="JK161" s="713"/>
      <c r="JL161" s="713">
        <v>60</v>
      </c>
      <c r="JM161" s="713">
        <f t="shared" si="459"/>
        <v>-6</v>
      </c>
      <c r="JN161" s="713">
        <f t="shared" si="460"/>
        <v>-28</v>
      </c>
      <c r="JO161" s="713"/>
      <c r="JP161" s="713">
        <v>54</v>
      </c>
      <c r="JQ161" s="713"/>
      <c r="JR161" s="713"/>
      <c r="JS161" s="713">
        <v>26</v>
      </c>
      <c r="JT161" s="713"/>
      <c r="JU161" s="713"/>
      <c r="JV161" s="713"/>
      <c r="JW161" s="713"/>
      <c r="JX161" s="713"/>
      <c r="JY161" s="713"/>
      <c r="JZ161" s="713"/>
      <c r="KA161" s="517"/>
      <c r="KB161" s="713"/>
      <c r="KC161" s="713"/>
      <c r="KD161" s="713"/>
      <c r="KE161" s="713"/>
      <c r="KF161" s="713"/>
      <c r="KG161" s="713"/>
      <c r="KH161" s="713"/>
      <c r="KI161" s="517"/>
      <c r="KJ161" s="713"/>
      <c r="KK161" s="713"/>
      <c r="KL161" s="713">
        <f t="shared" si="461"/>
        <v>112</v>
      </c>
      <c r="KM161" s="713"/>
      <c r="KN161" s="713"/>
      <c r="KO161" s="713">
        <v>17</v>
      </c>
      <c r="KP161" s="713">
        <v>-17</v>
      </c>
      <c r="KQ161" s="517"/>
      <c r="KR161" s="713"/>
      <c r="KS161" s="517"/>
      <c r="KT161" s="713"/>
      <c r="KU161" s="713"/>
      <c r="KV161" s="713"/>
      <c r="KW161" s="517"/>
      <c r="KX161" s="713"/>
      <c r="KY161" s="713"/>
      <c r="KZ161" s="517"/>
      <c r="LA161" s="713"/>
      <c r="LB161" s="713"/>
      <c r="LC161" s="517"/>
      <c r="LD161" s="517"/>
      <c r="LE161" s="713"/>
      <c r="LF161" s="713"/>
      <c r="LG161" s="517"/>
    </row>
    <row r="162" spans="1:319" s="1191" customFormat="1">
      <c r="A162" s="1179"/>
      <c r="B162" s="1180" t="s">
        <v>196</v>
      </c>
      <c r="C162" s="1181" t="s">
        <v>935</v>
      </c>
      <c r="D162" s="1182"/>
      <c r="E162" s="1183"/>
      <c r="F162" s="1183"/>
      <c r="G162" s="1184"/>
      <c r="H162" s="1183"/>
      <c r="I162" s="1183"/>
      <c r="J162" s="1184"/>
      <c r="K162" s="1185"/>
      <c r="L162" s="1185"/>
      <c r="M162" s="1185"/>
      <c r="N162" s="1185"/>
      <c r="O162" s="1185"/>
      <c r="P162" s="1185"/>
      <c r="Q162" s="1185"/>
      <c r="R162" s="1185"/>
      <c r="S162" s="1186"/>
      <c r="T162" s="1185"/>
      <c r="U162" s="1185"/>
      <c r="V162" s="1185"/>
      <c r="W162" s="1185"/>
      <c r="X162" s="1185"/>
      <c r="Y162" s="1185"/>
      <c r="Z162" s="1185"/>
      <c r="AA162" s="1185"/>
      <c r="AB162" s="1186"/>
      <c r="AC162" s="1185">
        <v>59</v>
      </c>
      <c r="AD162" s="1187">
        <f t="shared" si="418"/>
        <v>26</v>
      </c>
      <c r="AE162" s="1187">
        <f t="shared" si="419"/>
        <v>-72</v>
      </c>
      <c r="AF162" s="1187">
        <f t="shared" si="420"/>
        <v>5</v>
      </c>
      <c r="AG162" s="1185">
        <v>13</v>
      </c>
      <c r="AH162" s="1185">
        <v>85</v>
      </c>
      <c r="AI162" s="1185">
        <f t="shared" si="378"/>
        <v>-67</v>
      </c>
      <c r="AJ162" s="1185">
        <v>18</v>
      </c>
      <c r="AK162" s="1182"/>
      <c r="AL162" s="1185">
        <v>95</v>
      </c>
      <c r="AM162" s="1187">
        <f t="shared" si="421"/>
        <v>171</v>
      </c>
      <c r="AN162" s="1187">
        <f t="shared" si="422"/>
        <v>59</v>
      </c>
      <c r="AO162" s="1187">
        <f t="shared" si="423"/>
        <v>-600</v>
      </c>
      <c r="AP162" s="1185">
        <v>325</v>
      </c>
      <c r="AQ162" s="1185">
        <v>266</v>
      </c>
      <c r="AR162" s="1185">
        <f t="shared" si="379"/>
        <v>-541</v>
      </c>
      <c r="AS162" s="1185">
        <v>-275</v>
      </c>
      <c r="AT162" s="1182"/>
      <c r="AU162" s="1185">
        <v>87</v>
      </c>
      <c r="AV162" s="1187">
        <f t="shared" si="380"/>
        <v>158</v>
      </c>
      <c r="AW162" s="1187">
        <f t="shared" si="361"/>
        <v>-361</v>
      </c>
      <c r="AX162" s="1187">
        <v>-245</v>
      </c>
      <c r="AY162" s="1187">
        <f t="shared" si="381"/>
        <v>-526</v>
      </c>
      <c r="AZ162" s="1185"/>
      <c r="BA162" s="1185">
        <v>-116</v>
      </c>
      <c r="BB162" s="1188">
        <v>245</v>
      </c>
      <c r="BC162" s="1188">
        <f t="shared" si="382"/>
        <v>-887</v>
      </c>
      <c r="BD162" s="1185"/>
      <c r="BE162" s="1185">
        <v>-642</v>
      </c>
      <c r="BF162" s="1182"/>
      <c r="BG162" s="1185"/>
      <c r="BH162" s="1185"/>
      <c r="BI162" s="1185"/>
      <c r="BJ162" s="1182"/>
      <c r="BK162" s="1179"/>
      <c r="BL162" s="1179"/>
      <c r="BM162" s="1179"/>
      <c r="BN162" s="1179"/>
      <c r="BO162" s="1182"/>
      <c r="BP162" s="1185">
        <v>109</v>
      </c>
      <c r="BQ162" s="1185"/>
      <c r="BR162" s="1185">
        <f t="shared" si="424"/>
        <v>127</v>
      </c>
      <c r="BS162" s="1185"/>
      <c r="BT162" s="1185">
        <f t="shared" si="425"/>
        <v>-166</v>
      </c>
      <c r="BU162" s="1185">
        <v>0</v>
      </c>
      <c r="BV162" s="1187">
        <f>CC162-BT162</f>
        <v>160</v>
      </c>
      <c r="BW162" s="1185"/>
      <c r="BX162" s="1185">
        <v>70</v>
      </c>
      <c r="BY162" s="1185">
        <v>236</v>
      </c>
      <c r="BZ162" s="1185"/>
      <c r="CA162" s="1185"/>
      <c r="CB162" s="1185"/>
      <c r="CC162" s="1185">
        <f t="shared" si="407"/>
        <v>-6</v>
      </c>
      <c r="CD162" s="1185"/>
      <c r="CE162" s="1185">
        <v>230</v>
      </c>
      <c r="CF162" s="1182"/>
      <c r="CG162" s="1189">
        <v>98</v>
      </c>
      <c r="CH162" s="1183"/>
      <c r="CI162" s="1183"/>
      <c r="CJ162" s="1183">
        <f t="shared" si="426"/>
        <v>62</v>
      </c>
      <c r="CK162" s="1183"/>
      <c r="CL162" s="1190">
        <f t="shared" si="427"/>
        <v>-145</v>
      </c>
      <c r="CM162" s="1183"/>
      <c r="CN162" s="1183"/>
      <c r="CO162" s="1191">
        <f t="shared" si="428"/>
        <v>98</v>
      </c>
      <c r="CP162" s="1183">
        <v>15</v>
      </c>
      <c r="CQ162" s="1183"/>
      <c r="CR162" s="1183">
        <v>160</v>
      </c>
      <c r="CS162" s="1183"/>
      <c r="CT162" s="1183"/>
      <c r="CU162" s="1191">
        <f t="shared" si="363"/>
        <v>-47</v>
      </c>
      <c r="CV162" s="1183"/>
      <c r="CW162" s="1184">
        <v>113</v>
      </c>
      <c r="CX162" s="1192"/>
      <c r="CY162" s="1183">
        <v>80</v>
      </c>
      <c r="CZ162" s="1183">
        <f t="shared" si="364"/>
        <v>188</v>
      </c>
      <c r="DA162" s="1183"/>
      <c r="DB162" s="1183">
        <v>268</v>
      </c>
      <c r="DC162" s="1183">
        <f t="shared" si="365"/>
        <v>139</v>
      </c>
      <c r="DD162" s="1183"/>
      <c r="DE162" s="1183">
        <f t="shared" si="299"/>
        <v>251</v>
      </c>
      <c r="DF162" s="1183"/>
      <c r="DG162" s="1183">
        <v>407</v>
      </c>
      <c r="DH162" s="1183"/>
      <c r="DI162" s="1183">
        <f t="shared" si="224"/>
        <v>390</v>
      </c>
      <c r="DJ162" s="1183"/>
      <c r="DK162" s="1183">
        <v>658</v>
      </c>
      <c r="DL162" s="1193"/>
      <c r="DM162" s="1178"/>
      <c r="DN162" s="1185"/>
      <c r="DO162" s="1185"/>
      <c r="DP162" s="1194"/>
      <c r="DQ162" s="1194"/>
      <c r="DR162" s="1194"/>
      <c r="DS162" s="1195"/>
      <c r="DT162" s="1178"/>
      <c r="DU162" s="1185"/>
      <c r="DV162" s="1185"/>
      <c r="DX162" s="1194"/>
      <c r="DY162" s="1194"/>
      <c r="DZ162" s="1196"/>
      <c r="EC162" s="1194"/>
      <c r="ED162" s="1193"/>
      <c r="EE162" s="1182"/>
      <c r="EF162" s="1179"/>
      <c r="EG162" s="1197">
        <v>101</v>
      </c>
      <c r="EH162" s="1179"/>
      <c r="EI162" s="1179">
        <f t="shared" si="386"/>
        <v>139</v>
      </c>
      <c r="EJ162" s="1179"/>
      <c r="EK162" s="1179">
        <v>240</v>
      </c>
      <c r="EL162" s="1179"/>
      <c r="EM162" s="1179">
        <f t="shared" si="412"/>
        <v>-219</v>
      </c>
      <c r="EN162" s="1179"/>
      <c r="EO162" s="1179">
        <v>21</v>
      </c>
      <c r="EQ162" s="1179">
        <f t="shared" si="413"/>
        <v>221</v>
      </c>
      <c r="ES162" s="1179">
        <f t="shared" si="430"/>
        <v>2</v>
      </c>
      <c r="EU162" s="1198">
        <v>242</v>
      </c>
      <c r="EV162" s="1195"/>
      <c r="EW162" s="1179"/>
      <c r="EX162" s="1179">
        <v>104</v>
      </c>
      <c r="EY162" s="1179">
        <v>-104</v>
      </c>
      <c r="EZ162" s="1179">
        <f t="shared" si="388"/>
        <v>41</v>
      </c>
      <c r="FA162" s="1179"/>
      <c r="FB162" s="1199">
        <v>145</v>
      </c>
      <c r="FC162" s="1199">
        <f t="shared" si="414"/>
        <v>83</v>
      </c>
      <c r="FD162" s="510"/>
      <c r="FE162" s="1199">
        <v>228</v>
      </c>
      <c r="FF162" s="510"/>
      <c r="FG162" s="180">
        <f>FI162-FC162</f>
        <v>400</v>
      </c>
      <c r="FH162" s="510">
        <f>+FL162-FE162</f>
        <v>-228</v>
      </c>
      <c r="FI162" s="510">
        <f t="shared" si="445"/>
        <v>483</v>
      </c>
      <c r="FJ162" s="1179"/>
      <c r="FK162" s="1200">
        <v>628</v>
      </c>
      <c r="FL162" s="1193"/>
      <c r="FM162" s="1185">
        <f t="shared" si="446"/>
        <v>-104</v>
      </c>
      <c r="FN162" s="1194"/>
      <c r="FO162" s="1194"/>
      <c r="FP162" s="1194"/>
      <c r="FQ162" s="1195"/>
      <c r="FR162" s="1195"/>
      <c r="FS162" s="1199">
        <v>124</v>
      </c>
      <c r="FT162" s="1201"/>
      <c r="FU162" s="1201"/>
      <c r="FV162" s="1199">
        <f t="shared" si="447"/>
        <v>89</v>
      </c>
      <c r="FW162" s="1201"/>
      <c r="FX162" s="1201"/>
      <c r="FY162" s="1199">
        <v>213</v>
      </c>
      <c r="FZ162" s="1199">
        <f>+GA162-FY162</f>
        <v>173</v>
      </c>
      <c r="GA162" s="1199">
        <v>386</v>
      </c>
      <c r="GB162" s="1199">
        <f t="shared" si="448"/>
        <v>129</v>
      </c>
      <c r="GC162" s="1199">
        <f>+GD162-FY162</f>
        <v>302</v>
      </c>
      <c r="GD162" s="1200">
        <v>515</v>
      </c>
      <c r="GE162" s="1199"/>
      <c r="GF162" s="1199"/>
      <c r="GG162" s="1199"/>
      <c r="GH162" s="1201"/>
      <c r="GI162" s="1194"/>
      <c r="GJ162" s="1202"/>
      <c r="GK162" s="1201"/>
      <c r="GL162" s="1201">
        <v>119</v>
      </c>
      <c r="GM162" s="1201"/>
      <c r="GN162" s="1201"/>
      <c r="GO162" s="1201">
        <f t="shared" si="449"/>
        <v>138</v>
      </c>
      <c r="GP162" s="1201">
        <v>257</v>
      </c>
      <c r="GQ162" s="1201"/>
      <c r="GR162" s="1199">
        <f>+GS162-GP162</f>
        <v>104</v>
      </c>
      <c r="GS162" s="1199">
        <v>361</v>
      </c>
      <c r="GT162" s="1199">
        <f t="shared" si="450"/>
        <v>-361</v>
      </c>
      <c r="GU162" s="1199">
        <f>+GV162-GP162</f>
        <v>-257</v>
      </c>
      <c r="GV162" s="1200"/>
      <c r="GW162" s="1199"/>
      <c r="GX162" s="1201"/>
      <c r="GY162" s="1201"/>
      <c r="GZ162" s="1201"/>
      <c r="HA162" s="1202"/>
      <c r="HB162" s="1201"/>
      <c r="HC162" s="1201"/>
      <c r="HD162" s="1201">
        <v>128</v>
      </c>
      <c r="HE162" s="1201">
        <v>128</v>
      </c>
      <c r="HF162" s="1201">
        <f t="shared" si="451"/>
        <v>128</v>
      </c>
      <c r="HG162" s="1201">
        <f t="shared" si="452"/>
        <v>128</v>
      </c>
      <c r="HH162" s="1201">
        <f t="shared" si="453"/>
        <v>128</v>
      </c>
      <c r="HI162" s="1201">
        <v>256</v>
      </c>
      <c r="HJ162" s="1201"/>
      <c r="HK162" s="1201"/>
      <c r="HL162" s="1201">
        <v>256</v>
      </c>
      <c r="HM162" s="1201">
        <v>256</v>
      </c>
      <c r="HN162" s="1199">
        <f>+HP162-HI162</f>
        <v>-696</v>
      </c>
      <c r="HO162" s="1199">
        <f>+HQ162-HM162</f>
        <v>-696</v>
      </c>
      <c r="HP162" s="1199">
        <v>-440</v>
      </c>
      <c r="HQ162" s="1199">
        <v>-440</v>
      </c>
      <c r="HR162" s="1199">
        <f t="shared" si="454"/>
        <v>834</v>
      </c>
      <c r="HS162" s="510">
        <f>HZ162-HQ162</f>
        <v>834</v>
      </c>
      <c r="HT162" s="1199">
        <f>+HV162-HI162</f>
        <v>138</v>
      </c>
      <c r="HU162" s="1199">
        <f t="shared" si="455"/>
        <v>138</v>
      </c>
      <c r="HV162" s="1199">
        <v>394</v>
      </c>
      <c r="HW162" s="1201"/>
      <c r="HX162" s="1201"/>
      <c r="HY162" s="1201"/>
      <c r="HZ162" s="1199">
        <v>394</v>
      </c>
      <c r="IA162" s="1201"/>
      <c r="IB162" s="1201"/>
      <c r="IC162" s="1203"/>
      <c r="ID162" s="1201"/>
      <c r="IE162" s="1204">
        <v>137</v>
      </c>
      <c r="IF162" s="1201">
        <f>IG162-IE162</f>
        <v>112</v>
      </c>
      <c r="IG162" s="1205">
        <v>249</v>
      </c>
      <c r="IH162" s="1201">
        <f>+IJ162-IG162</f>
        <v>37</v>
      </c>
      <c r="II162" s="1201"/>
      <c r="IJ162" s="1206">
        <v>286</v>
      </c>
      <c r="IK162" s="1201">
        <f t="shared" si="456"/>
        <v>0</v>
      </c>
      <c r="IL162" s="1201"/>
      <c r="IM162" s="1201">
        <f t="shared" si="457"/>
        <v>-30</v>
      </c>
      <c r="IN162" s="1201"/>
      <c r="IO162" s="1201">
        <f>+IR162-IG162</f>
        <v>7</v>
      </c>
      <c r="IP162" s="1207"/>
      <c r="IQ162" s="1201"/>
      <c r="IR162" s="1208">
        <v>256</v>
      </c>
      <c r="IS162" s="1204"/>
      <c r="IT162" s="1201"/>
      <c r="IU162" s="1201">
        <v>212</v>
      </c>
      <c r="IV162" s="713">
        <f t="shared" si="458"/>
        <v>61</v>
      </c>
      <c r="IW162" s="1201"/>
      <c r="IX162" s="1201">
        <v>273</v>
      </c>
      <c r="IY162" s="1201"/>
      <c r="IZ162" s="1201">
        <f t="shared" si="465"/>
        <v>-1160</v>
      </c>
      <c r="JA162" s="1201">
        <v>-887</v>
      </c>
      <c r="JB162" s="1201">
        <f t="shared" si="466"/>
        <v>-226</v>
      </c>
      <c r="JC162" s="1201">
        <f t="shared" si="467"/>
        <v>-1386</v>
      </c>
      <c r="JD162" s="1201">
        <v>-1113</v>
      </c>
      <c r="JE162" s="1201"/>
      <c r="JF162" s="1201"/>
      <c r="JG162" s="1201"/>
      <c r="JH162" s="1207"/>
      <c r="JI162" s="1204"/>
      <c r="JJ162" s="1204"/>
      <c r="JK162" s="1201"/>
      <c r="JL162" s="1201">
        <v>221</v>
      </c>
      <c r="JM162" s="1201">
        <f t="shared" si="459"/>
        <v>161</v>
      </c>
      <c r="JN162" s="1201">
        <f t="shared" si="460"/>
        <v>486</v>
      </c>
      <c r="JO162" s="1201"/>
      <c r="JP162" s="1201">
        <v>382</v>
      </c>
      <c r="JQ162" s="1201"/>
      <c r="JR162" s="1201"/>
      <c r="JS162" s="1201">
        <v>868</v>
      </c>
      <c r="JT162" s="1201"/>
      <c r="JU162" s="1201"/>
      <c r="JV162" s="1201"/>
      <c r="JW162" s="1201"/>
      <c r="JX162" s="1201"/>
      <c r="JY162" s="1201"/>
      <c r="JZ162" s="1201"/>
      <c r="KA162" s="1207"/>
      <c r="KB162" s="1201"/>
      <c r="KC162" s="1201"/>
      <c r="KD162" s="1201"/>
      <c r="KE162" s="1201"/>
      <c r="KF162" s="1201"/>
      <c r="KG162" s="1201"/>
      <c r="KH162" s="1201"/>
      <c r="KI162" s="1207"/>
      <c r="KJ162" s="1201"/>
      <c r="KK162" s="1201"/>
      <c r="KL162" s="1201">
        <f t="shared" si="461"/>
        <v>-273</v>
      </c>
      <c r="KM162" s="1201"/>
      <c r="KN162" s="1201"/>
      <c r="KO162" s="1201">
        <v>-112</v>
      </c>
      <c r="KP162" s="1201">
        <v>112</v>
      </c>
      <c r="KQ162" s="1207"/>
      <c r="KR162" s="1201"/>
      <c r="KS162" s="1207"/>
      <c r="KT162" s="1201"/>
      <c r="KU162" s="1201"/>
      <c r="KV162" s="1201"/>
      <c r="KW162" s="1195"/>
      <c r="KX162" s="1201"/>
      <c r="KY162" s="1201"/>
      <c r="KZ162" s="1195"/>
      <c r="LA162" s="1201"/>
      <c r="LB162" s="1201"/>
      <c r="LC162" s="1195"/>
      <c r="LD162" s="1195"/>
      <c r="LE162" s="1201"/>
      <c r="LF162" s="1201"/>
      <c r="LG162" s="1195"/>
    </row>
    <row r="163" spans="1:319" s="1228" customFormat="1" ht="12">
      <c r="A163" s="1209"/>
      <c r="B163" s="1210" t="s">
        <v>1071</v>
      </c>
      <c r="C163" s="1211" t="s">
        <v>1426</v>
      </c>
      <c r="D163" s="1212"/>
      <c r="E163" s="1213"/>
      <c r="F163" s="1213"/>
      <c r="G163" s="1214"/>
      <c r="H163" s="1213"/>
      <c r="I163" s="1213"/>
      <c r="J163" s="1214"/>
      <c r="K163" s="1215"/>
      <c r="L163" s="1215"/>
      <c r="M163" s="1215"/>
      <c r="N163" s="1215"/>
      <c r="O163" s="1215"/>
      <c r="P163" s="1215"/>
      <c r="Q163" s="1215"/>
      <c r="R163" s="1215"/>
      <c r="S163" s="1216"/>
      <c r="T163" s="1215"/>
      <c r="U163" s="1215"/>
      <c r="V163" s="1215"/>
      <c r="W163" s="1215"/>
      <c r="X163" s="1215"/>
      <c r="Y163" s="1215"/>
      <c r="Z163" s="1215"/>
      <c r="AA163" s="1215"/>
      <c r="AB163" s="1216"/>
      <c r="AC163" s="1215"/>
      <c r="AD163" s="1217"/>
      <c r="AE163" s="1217"/>
      <c r="AF163" s="1217"/>
      <c r="AG163" s="1215"/>
      <c r="AH163" s="1215"/>
      <c r="AI163" s="1215"/>
      <c r="AJ163" s="1215"/>
      <c r="AK163" s="1212"/>
      <c r="AL163" s="1215"/>
      <c r="AM163" s="1217"/>
      <c r="AN163" s="1217"/>
      <c r="AO163" s="1217"/>
      <c r="AP163" s="1215"/>
      <c r="AQ163" s="1215"/>
      <c r="AR163" s="1215"/>
      <c r="AS163" s="1215"/>
      <c r="AT163" s="1212"/>
      <c r="AU163" s="1215"/>
      <c r="AV163" s="1217"/>
      <c r="AW163" s="1217"/>
      <c r="AX163" s="1217"/>
      <c r="AY163" s="1217"/>
      <c r="AZ163" s="1215"/>
      <c r="BA163" s="1218"/>
      <c r="BB163" s="1219"/>
      <c r="BC163" s="1219"/>
      <c r="BD163" s="1220"/>
      <c r="BE163" s="1215"/>
      <c r="BF163" s="1212"/>
      <c r="BG163" s="1215"/>
      <c r="BH163" s="1215"/>
      <c r="BI163" s="1215"/>
      <c r="BJ163" s="1212"/>
      <c r="BK163" s="1209"/>
      <c r="BL163" s="1209"/>
      <c r="BM163" s="1209"/>
      <c r="BN163" s="1209"/>
      <c r="BO163" s="1212"/>
      <c r="BP163" s="1215"/>
      <c r="BQ163" s="1220"/>
      <c r="BR163" s="1215"/>
      <c r="BS163" s="1220"/>
      <c r="BT163" s="1215"/>
      <c r="BU163" s="1215"/>
      <c r="BV163" s="1215"/>
      <c r="BW163" s="1220"/>
      <c r="BX163" s="1215"/>
      <c r="BY163" s="1215"/>
      <c r="BZ163" s="1220"/>
      <c r="CA163" s="1220"/>
      <c r="CB163" s="1215"/>
      <c r="CC163" s="1215"/>
      <c r="CD163" s="1215"/>
      <c r="CE163" s="1215"/>
      <c r="CF163" s="1212"/>
      <c r="CG163" s="1221"/>
      <c r="CH163" s="1213"/>
      <c r="CI163" s="1213"/>
      <c r="CJ163" s="1213"/>
      <c r="CK163" s="1213"/>
      <c r="CL163" s="1213"/>
      <c r="CM163" s="1213"/>
      <c r="CN163" s="1213"/>
      <c r="CO163" s="1213"/>
      <c r="CP163" s="1213"/>
      <c r="CQ163" s="1213"/>
      <c r="CR163" s="1213"/>
      <c r="CS163" s="1213"/>
      <c r="CT163" s="1213"/>
      <c r="CU163" s="1213">
        <f t="shared" si="363"/>
        <v>0</v>
      </c>
      <c r="CV163" s="1213"/>
      <c r="CW163" s="1214"/>
      <c r="CX163" s="1222"/>
      <c r="CY163" s="1223"/>
      <c r="CZ163" s="1223">
        <f t="shared" si="364"/>
        <v>0</v>
      </c>
      <c r="DA163" s="1223"/>
      <c r="DB163" s="1223"/>
      <c r="DC163" s="1223"/>
      <c r="DD163" s="1223"/>
      <c r="DE163" s="1223">
        <f t="shared" si="299"/>
        <v>0</v>
      </c>
      <c r="DF163" s="1223"/>
      <c r="DG163" s="1223"/>
      <c r="DH163" s="1223"/>
      <c r="DI163" s="1223">
        <f t="shared" si="224"/>
        <v>0</v>
      </c>
      <c r="DJ163" s="1223"/>
      <c r="DK163" s="1223"/>
      <c r="DL163" s="1224"/>
      <c r="DM163" s="1225"/>
      <c r="DN163" s="1215"/>
      <c r="DO163" s="1215"/>
      <c r="DP163" s="1226"/>
      <c r="DQ163" s="1226"/>
      <c r="DR163" s="1226">
        <f>+DS163-DB163</f>
        <v>0</v>
      </c>
      <c r="DS163" s="1227"/>
      <c r="DT163" s="1225"/>
      <c r="DU163" s="1215"/>
      <c r="DV163" s="1215"/>
      <c r="DX163" s="1226"/>
      <c r="DY163" s="1226"/>
      <c r="DZ163" s="1229"/>
      <c r="EC163" s="1226"/>
      <c r="ED163" s="1224"/>
      <c r="EE163" s="1212"/>
      <c r="EF163" s="1209"/>
      <c r="EG163" s="1230"/>
      <c r="EH163" s="1209"/>
      <c r="EI163" s="1209">
        <f t="shared" si="386"/>
        <v>0</v>
      </c>
      <c r="EJ163" s="1209"/>
      <c r="EK163" s="1209"/>
      <c r="EL163" s="1209"/>
      <c r="EM163" s="1209"/>
      <c r="EN163" s="1209"/>
      <c r="EO163" s="1209"/>
      <c r="EQ163" s="1209">
        <f t="shared" si="413"/>
        <v>0</v>
      </c>
      <c r="ES163" s="1209">
        <f t="shared" si="430"/>
        <v>0</v>
      </c>
      <c r="EU163" s="1231"/>
      <c r="EV163" s="1232"/>
      <c r="EW163" s="1209"/>
      <c r="EX163" s="1209"/>
      <c r="EY163" s="1209"/>
      <c r="EZ163" s="1230">
        <f t="shared" ref="EZ163:FV163" si="468">EZ69-(EZ73+EZ74+EZ102+EZ127+EZ142+EZ149+EZ157)</f>
        <v>0</v>
      </c>
      <c r="FA163" s="1230">
        <f t="shared" si="468"/>
        <v>0</v>
      </c>
      <c r="FB163" s="1233">
        <f t="shared" si="468"/>
        <v>2</v>
      </c>
      <c r="FC163" s="1233">
        <f t="shared" si="468"/>
        <v>71</v>
      </c>
      <c r="FD163" s="1233">
        <f t="shared" si="468"/>
        <v>0</v>
      </c>
      <c r="FE163" s="1233">
        <f t="shared" si="468"/>
        <v>3</v>
      </c>
      <c r="FF163" s="1233">
        <f t="shared" si="468"/>
        <v>0</v>
      </c>
      <c r="FG163" s="1233">
        <f t="shared" si="468"/>
        <v>2</v>
      </c>
      <c r="FH163" s="1233">
        <f t="shared" si="468"/>
        <v>0</v>
      </c>
      <c r="FI163" s="1233">
        <f t="shared" si="468"/>
        <v>3</v>
      </c>
      <c r="FJ163" s="1209">
        <f t="shared" si="468"/>
        <v>0</v>
      </c>
      <c r="FK163" s="1234">
        <f t="shared" si="468"/>
        <v>5</v>
      </c>
      <c r="FL163" s="1209">
        <f t="shared" si="468"/>
        <v>5</v>
      </c>
      <c r="FM163" s="1230">
        <f t="shared" si="468"/>
        <v>-2</v>
      </c>
      <c r="FN163" s="1230">
        <f t="shared" si="468"/>
        <v>0</v>
      </c>
      <c r="FO163" s="1230">
        <f t="shared" si="468"/>
        <v>-3</v>
      </c>
      <c r="FP163" s="1230">
        <f t="shared" si="468"/>
        <v>-2</v>
      </c>
      <c r="FQ163" s="1230">
        <f t="shared" si="468"/>
        <v>0</v>
      </c>
      <c r="FR163" s="1235">
        <f t="shared" si="468"/>
        <v>0</v>
      </c>
      <c r="FS163" s="1233">
        <f t="shared" si="468"/>
        <v>0</v>
      </c>
      <c r="FT163" s="1233">
        <f t="shared" si="468"/>
        <v>0</v>
      </c>
      <c r="FU163" s="1233">
        <f t="shared" si="468"/>
        <v>0</v>
      </c>
      <c r="FV163" s="1233">
        <f t="shared" si="468"/>
        <v>3</v>
      </c>
      <c r="FW163" s="1236"/>
      <c r="FX163" s="1236"/>
      <c r="FY163" s="1233">
        <f t="shared" ref="FY163:GD163" si="469">FY69-(FY73+FY74+FY102+FY127+FY142+FY149+FY157)</f>
        <v>3</v>
      </c>
      <c r="FZ163" s="1233">
        <f t="shared" si="469"/>
        <v>-2</v>
      </c>
      <c r="GA163" s="1233">
        <f t="shared" si="469"/>
        <v>1</v>
      </c>
      <c r="GB163" s="1233">
        <f t="shared" si="469"/>
        <v>2</v>
      </c>
      <c r="GC163" s="1233">
        <f t="shared" si="469"/>
        <v>0</v>
      </c>
      <c r="GD163" s="1234">
        <f t="shared" si="469"/>
        <v>3</v>
      </c>
      <c r="GE163" s="1233"/>
      <c r="GF163" s="1233">
        <f>GF69-(GF73+GF74+GF102+GF127+GF142+GF149+GF157)</f>
        <v>0</v>
      </c>
      <c r="GG163" s="1233">
        <f>GG69-(GG73+GG74+GG102+GG127+GG142+GG149+GG157)</f>
        <v>2</v>
      </c>
      <c r="GH163" s="1236"/>
      <c r="GI163" s="1226"/>
      <c r="GJ163" s="1237"/>
      <c r="GK163" s="1233">
        <f>GK73+GK74+GK102+GK127+GK142+GK149+GK157</f>
        <v>6000</v>
      </c>
      <c r="GL163" s="1233">
        <f>GL69-(GL73+GL74+GL102+GL127+GL142+GL149+GL157)</f>
        <v>2</v>
      </c>
      <c r="GM163" s="1233">
        <f>GM73+GM74+GM102+GM127+GM142+GM149+GM157</f>
        <v>5900</v>
      </c>
      <c r="GN163" s="1233">
        <f>GN73+GN74+GN102+GN127+GN142+GN149+GN157</f>
        <v>11722</v>
      </c>
      <c r="GO163" s="1233">
        <f t="shared" ref="GO163:GV163" si="470">GO69-(GO73+GO74+GO102+GO127+GO142+GO149+GO157)</f>
        <v>-2</v>
      </c>
      <c r="GP163" s="1233">
        <f t="shared" si="470"/>
        <v>0</v>
      </c>
      <c r="GQ163" s="1233">
        <f t="shared" si="470"/>
        <v>-32.979556678685185</v>
      </c>
      <c r="GR163" s="1233">
        <f t="shared" si="470"/>
        <v>0</v>
      </c>
      <c r="GS163" s="1233">
        <f t="shared" si="470"/>
        <v>0</v>
      </c>
      <c r="GT163" s="1233">
        <f t="shared" si="470"/>
        <v>1</v>
      </c>
      <c r="GU163" s="1233">
        <f t="shared" si="470"/>
        <v>1</v>
      </c>
      <c r="GV163" s="1234">
        <f t="shared" si="470"/>
        <v>1</v>
      </c>
      <c r="GW163" s="1233">
        <v>0</v>
      </c>
      <c r="GX163" s="1233">
        <f>GX69-(GX73+GX74+GX102+GX127+GX142+GX149+GX157)</f>
        <v>1</v>
      </c>
      <c r="GY163" s="1233">
        <f>GY69-(GY73+GY74+GY102+GY127+GY142+GY149+GY157)</f>
        <v>1</v>
      </c>
      <c r="GZ163" s="1233">
        <f>GZ69-(GZ73+GZ74+GZ102+GZ127+GZ142+GZ149+GZ157)</f>
        <v>1</v>
      </c>
      <c r="HA163" s="1237"/>
      <c r="HB163" s="1233">
        <f>HB73+HB74+HB102+HB127+HB142+HB149+HB157</f>
        <v>0</v>
      </c>
      <c r="HC163" s="1233"/>
      <c r="HD163" s="1233">
        <f>HD69-(HD73+HD74+HD102+HD127+HD142+HD149+HD157)</f>
        <v>1</v>
      </c>
      <c r="HE163" s="1233">
        <f>HE69-(HE73+HE74+HE102+HE127+HE142+HE149+HE157)</f>
        <v>1</v>
      </c>
      <c r="HF163" s="1233">
        <f>HF69-(HF73+HF74+HF102+HF127+HF142+HF149+HF157)</f>
        <v>0</v>
      </c>
      <c r="HG163" s="1233">
        <f>HG69-(HG73+HG74+HG102+HG127+HG142+HG149+HG157)</f>
        <v>0</v>
      </c>
      <c r="HH163" s="1233"/>
      <c r="HI163" s="1233">
        <f>HI69-(HI73+HI74+HI102+HI127+HI142+HI149+HI157)</f>
        <v>1</v>
      </c>
      <c r="HJ163" s="1233">
        <f>HI69-(HI73+HI74+HI102+HI127+HI142+HI149+HI157)</f>
        <v>1</v>
      </c>
      <c r="HK163" s="1233">
        <f>HK73+HK74+HK102+HK127+HK142+HK149+HK157</f>
        <v>28454.304463613043</v>
      </c>
      <c r="HL163" s="1233">
        <f t="shared" ref="HL163:HR163" si="471">HL69-(HL73+HL74+HL102+HL127+HL142+HL149+HL157)</f>
        <v>1</v>
      </c>
      <c r="HM163" s="1233">
        <f t="shared" si="471"/>
        <v>1</v>
      </c>
      <c r="HN163" s="1233">
        <f t="shared" si="471"/>
        <v>1</v>
      </c>
      <c r="HO163" s="1233">
        <f t="shared" si="471"/>
        <v>1</v>
      </c>
      <c r="HP163" s="1233">
        <f t="shared" si="471"/>
        <v>2</v>
      </c>
      <c r="HQ163" s="1233">
        <f t="shared" si="471"/>
        <v>2</v>
      </c>
      <c r="HR163" s="1233">
        <f t="shared" si="471"/>
        <v>0</v>
      </c>
      <c r="HS163" s="1233"/>
      <c r="HT163" s="1233">
        <f t="shared" ref="HT163:HZ163" si="472">HT69-(HT73+HT74+HT102+HT127+HT142+HT149+HT157)</f>
        <v>1</v>
      </c>
      <c r="HU163" s="1233">
        <f t="shared" si="472"/>
        <v>1</v>
      </c>
      <c r="HV163" s="1233">
        <f t="shared" si="472"/>
        <v>2</v>
      </c>
      <c r="HW163" s="1233">
        <f t="shared" si="472"/>
        <v>0</v>
      </c>
      <c r="HX163" s="1233">
        <f t="shared" si="472"/>
        <v>0</v>
      </c>
      <c r="HY163" s="1233">
        <f t="shared" si="472"/>
        <v>1</v>
      </c>
      <c r="HZ163" s="1233">
        <f t="shared" si="472"/>
        <v>2</v>
      </c>
      <c r="IA163" s="1233">
        <v>0</v>
      </c>
      <c r="IB163" s="1233">
        <f>IB69-(IB73+IB74+IB102+IB127+IB142+IB149+IB157)</f>
        <v>2</v>
      </c>
      <c r="IC163" s="1237"/>
      <c r="ID163" s="1233">
        <f>ID69-(ID73+ID74+ID102+ID127+ID142+ID149+ID157)</f>
        <v>0</v>
      </c>
      <c r="IE163" s="1238">
        <f>IE69-(IE73+IE74+IE102+IE127+IE142+IE149+IE157)</f>
        <v>1</v>
      </c>
      <c r="IF163" s="1233">
        <f>IF69-(IF73+IF74+IF102+IF127+IF142+IF149+IF157)</f>
        <v>0</v>
      </c>
      <c r="IG163" s="1233">
        <f>IG69-(IG73+IG74+IG102+IG127+IG142+IG149+IG157)</f>
        <v>1</v>
      </c>
      <c r="IH163" s="1233">
        <f>IH69-(IH73+IH74+IH102+IH127+IH142+IH149+IH157)</f>
        <v>2</v>
      </c>
      <c r="II163" s="1233"/>
      <c r="IJ163" s="1233">
        <f>IJ69-(IJ73+IJ74+IJ102+IJ127+IJ142+IJ149+IJ157)</f>
        <v>3</v>
      </c>
      <c r="IK163" s="1239">
        <f>IK69-(IK73+IK74+IK102+IK127+IK142+IK149+IK157)</f>
        <v>3</v>
      </c>
      <c r="IL163" s="1233"/>
      <c r="IM163" s="1239">
        <f>IM69-(IM73+IM74+IM102+IM127+IM142+IM149+IM157)</f>
        <v>1</v>
      </c>
      <c r="IN163" s="1239">
        <f>IN69-(IN73+IN74+IN102+IN127+IN142+IN149+IN157)</f>
        <v>3</v>
      </c>
      <c r="IO163" s="1239">
        <f>IO69-(IO73+IO74+IO102+IO127+IO142+IO149+IO157)</f>
        <v>3</v>
      </c>
      <c r="IP163" s="1234">
        <f>IP69-(IP73+IP74+IP102+IP127+IP142+IP149+IP157)</f>
        <v>4</v>
      </c>
      <c r="IQ163" s="1233">
        <v>0</v>
      </c>
      <c r="IR163" s="1240">
        <f>IR69-(IR73+IR74+IR102+IR127+IR142+IR149+IR157)</f>
        <v>4</v>
      </c>
      <c r="IS163" s="1296"/>
      <c r="IT163" s="1239"/>
      <c r="IU163" s="1239">
        <f>IU69-(IU73+IU74+IU102+IU127+IU142+IU149+IU157)</f>
        <v>43</v>
      </c>
      <c r="IV163" s="1239">
        <f>IV69-(IV73+IV74+IV102+IV127+IV142+IV149+IV157)</f>
        <v>-40</v>
      </c>
      <c r="IW163" s="1239"/>
      <c r="IX163" s="1239">
        <f>IX69-(IX73+IX74+IX102+IX127+IX142+IX149+IX157)</f>
        <v>3</v>
      </c>
      <c r="IY163" s="1239"/>
      <c r="IZ163" s="1239">
        <f>IZ69-(IZ73+IZ74+IZ102+IZ127+IZ142+IZ149+IZ157)</f>
        <v>0</v>
      </c>
      <c r="JA163" s="1239">
        <f>JA69-(JA73+JA74+JA102+JA127+JA142+JA149+JA157)</f>
        <v>3</v>
      </c>
      <c r="JB163" s="1239">
        <f>JB69-(JB73+JB74+JB102+JB127+JB142+JB149+JB157)</f>
        <v>-2</v>
      </c>
      <c r="JC163" s="1239">
        <f>JC69-(JC73+JC74+JC102+JC127+JC142+JC149+JC157)</f>
        <v>-2</v>
      </c>
      <c r="JD163" s="1239">
        <f>JD69-(JD73+JD74+JD102+JD127+JD142+JD149+JD157)</f>
        <v>1</v>
      </c>
      <c r="JE163" s="1239"/>
      <c r="JF163" s="1239"/>
      <c r="JG163" s="1239"/>
      <c r="JH163" s="1240">
        <f>JH69-(JH73+JH74+JH102+JH127+JH142+JH149+JH157)</f>
        <v>1</v>
      </c>
      <c r="JI163" s="1296"/>
      <c r="JJ163" s="1307"/>
      <c r="JK163" s="1239"/>
      <c r="JL163" s="1239">
        <f>JL69-(JL73+JL74+JL102+JL127+JL142+JL149+JL157)</f>
        <v>3</v>
      </c>
      <c r="JM163" s="1239">
        <f>JM69-(JM73+JM74+JM102+JM127+JM142+JM149+JM157)</f>
        <v>0</v>
      </c>
      <c r="JN163" s="1239"/>
      <c r="JO163" s="1239"/>
      <c r="JP163" s="1239">
        <f>JP69-(JP73+JP74+JP102+JP127+JP142+JP149+JP157)</f>
        <v>3</v>
      </c>
      <c r="JQ163" s="1239"/>
      <c r="JR163" s="1239"/>
      <c r="JS163" s="1239">
        <f>JS69-(JS73+JS74+JS102+JS127+JS142+JS149+JS157)</f>
        <v>4</v>
      </c>
      <c r="JT163" s="1239"/>
      <c r="JU163" s="1239"/>
      <c r="JV163" s="1239"/>
      <c r="JW163" s="1239"/>
      <c r="JX163" s="1239"/>
      <c r="JY163" s="2358"/>
      <c r="JZ163" s="1648"/>
      <c r="KA163" s="1279"/>
      <c r="KB163" s="1239"/>
      <c r="KC163" s="1239">
        <f>KC69-(KC73+KC74+KC102+KC127+KC142+KC149+KC157)</f>
        <v>0</v>
      </c>
      <c r="KD163" s="1239"/>
      <c r="KE163" s="1239"/>
      <c r="KF163" s="1239"/>
      <c r="KG163" s="1239"/>
      <c r="KH163" s="1239">
        <f>KH69-(KH73+KH74+KH102+KH127+KH142+KH149+KH157)</f>
        <v>0</v>
      </c>
      <c r="KI163" s="1279"/>
      <c r="KJ163" s="1648"/>
      <c r="KK163" s="1239"/>
      <c r="KL163" s="1239">
        <f>KL69-(KL73+KL74+KL102+KL127+KL142+KL149+KL157)</f>
        <v>-3</v>
      </c>
      <c r="KM163" s="1239">
        <f>KM69-(KM73+KM74+KM102+KM127+KM142+KM149+KM157)</f>
        <v>0</v>
      </c>
      <c r="KN163" s="1648"/>
      <c r="KO163" s="1239">
        <v>0</v>
      </c>
      <c r="KP163" s="1233">
        <v>0</v>
      </c>
      <c r="KQ163" s="1234">
        <v>0</v>
      </c>
      <c r="KR163" s="1233">
        <v>-1</v>
      </c>
      <c r="KS163" s="1234">
        <v>0</v>
      </c>
      <c r="KT163" s="1233">
        <f t="shared" ref="KT163:LG163" si="473">KT69-(KT73+KT74+KT102+KT127+KT142+KT149+KT157)</f>
        <v>-1</v>
      </c>
      <c r="KU163" s="1233">
        <f t="shared" si="473"/>
        <v>0</v>
      </c>
      <c r="KV163" s="1233">
        <f t="shared" si="473"/>
        <v>0</v>
      </c>
      <c r="KW163" s="1224">
        <f t="shared" si="473"/>
        <v>0</v>
      </c>
      <c r="KX163" s="1233">
        <f t="shared" si="473"/>
        <v>-2</v>
      </c>
      <c r="KY163" s="1233">
        <f t="shared" si="473"/>
        <v>-1</v>
      </c>
      <c r="KZ163" s="1224">
        <f t="shared" si="473"/>
        <v>0</v>
      </c>
      <c r="LA163" s="1233">
        <f t="shared" si="473"/>
        <v>0</v>
      </c>
      <c r="LB163" s="1233">
        <f t="shared" si="473"/>
        <v>0</v>
      </c>
      <c r="LC163" s="1224">
        <f t="shared" si="473"/>
        <v>0</v>
      </c>
      <c r="LD163" s="1224">
        <f t="shared" si="473"/>
        <v>31500</v>
      </c>
      <c r="LE163" s="1233">
        <f t="shared" si="473"/>
        <v>0</v>
      </c>
      <c r="LF163" s="1233">
        <f t="shared" si="473"/>
        <v>0</v>
      </c>
      <c r="LG163" s="1224">
        <f t="shared" si="473"/>
        <v>0</v>
      </c>
    </row>
    <row r="164" spans="1:319" s="958" customFormat="1">
      <c r="A164" s="893"/>
      <c r="B164" s="943" t="s">
        <v>221</v>
      </c>
      <c r="C164" s="944" t="s">
        <v>184</v>
      </c>
      <c r="D164" s="446"/>
      <c r="E164" s="893"/>
      <c r="F164" s="893"/>
      <c r="G164" s="944"/>
      <c r="H164" s="893"/>
      <c r="I164" s="893"/>
      <c r="J164" s="944"/>
      <c r="K164" s="945"/>
      <c r="L164" s="945"/>
      <c r="M164" s="945"/>
      <c r="N164" s="945"/>
      <c r="O164" s="945"/>
      <c r="P164" s="945"/>
      <c r="Q164" s="945"/>
      <c r="R164" s="945"/>
      <c r="S164" s="449"/>
      <c r="T164" s="945">
        <v>5191</v>
      </c>
      <c r="U164" s="945">
        <f>+Y164-T164</f>
        <v>4469</v>
      </c>
      <c r="V164" s="945">
        <f>+X164-Y164</f>
        <v>6860</v>
      </c>
      <c r="W164" s="945">
        <f>+Z164-V164</f>
        <v>1986</v>
      </c>
      <c r="X164" s="945">
        <v>16520</v>
      </c>
      <c r="Y164" s="945">
        <v>9660</v>
      </c>
      <c r="Z164" s="945">
        <f>+AA164-Y164</f>
        <v>8846</v>
      </c>
      <c r="AA164" s="945">
        <v>18506</v>
      </c>
      <c r="AB164" s="449"/>
      <c r="AC164" s="945">
        <v>4004</v>
      </c>
      <c r="AD164" s="945">
        <f>+AH164-AC164</f>
        <v>3165</v>
      </c>
      <c r="AE164" s="945">
        <f>+AG164-AH164</f>
        <v>5250</v>
      </c>
      <c r="AF164" s="945">
        <f>+AI164-AE164</f>
        <v>-4</v>
      </c>
      <c r="AG164" s="945">
        <v>12419</v>
      </c>
      <c r="AH164" s="945">
        <v>7169</v>
      </c>
      <c r="AI164" s="945">
        <f>+AJ164-AH164</f>
        <v>5246</v>
      </c>
      <c r="AJ164" s="945">
        <v>12415</v>
      </c>
      <c r="AK164" s="446"/>
      <c r="AL164" s="945">
        <v>3576</v>
      </c>
      <c r="AM164" s="945">
        <v>3100</v>
      </c>
      <c r="AN164" s="945">
        <v>5400</v>
      </c>
      <c r="AO164" s="945">
        <v>4043</v>
      </c>
      <c r="AP164" s="945"/>
      <c r="AQ164" s="945"/>
      <c r="AR164" s="945"/>
      <c r="AS164" s="945">
        <v>16119</v>
      </c>
      <c r="AT164" s="446"/>
      <c r="AU164" s="945">
        <v>3576</v>
      </c>
      <c r="AV164" s="945">
        <v>3844</v>
      </c>
      <c r="AW164" s="945">
        <v>7069</v>
      </c>
      <c r="AX164" s="945"/>
      <c r="AY164" s="945">
        <f>+BC164-AW164</f>
        <v>2791</v>
      </c>
      <c r="AZ164" s="945"/>
      <c r="BA164" s="945">
        <f>+AU164+AV164+AW164</f>
        <v>14489</v>
      </c>
      <c r="BB164" s="946">
        <f>+AU164+AV164</f>
        <v>7420</v>
      </c>
      <c r="BC164" s="946">
        <f>+BE164-BB164</f>
        <v>9860</v>
      </c>
      <c r="BD164" s="801">
        <v>19400</v>
      </c>
      <c r="BE164" s="945">
        <v>17280</v>
      </c>
      <c r="BF164" s="446"/>
      <c r="BG164" s="945"/>
      <c r="BH164" s="945"/>
      <c r="BI164" s="945"/>
      <c r="BJ164" s="446"/>
      <c r="BK164" s="893"/>
      <c r="BL164" s="893"/>
      <c r="BM164" s="893"/>
      <c r="BN164" s="893"/>
      <c r="BO164" s="446"/>
      <c r="BP164" s="945">
        <v>6729</v>
      </c>
      <c r="BQ164" s="801">
        <v>4500</v>
      </c>
      <c r="BR164" s="945">
        <f t="shared" si="424"/>
        <v>5081</v>
      </c>
      <c r="BS164" s="801">
        <v>6600</v>
      </c>
      <c r="BT164" s="945">
        <f t="shared" ref="BT164" si="474">+BX164-BY164</f>
        <v>7531</v>
      </c>
      <c r="BU164" s="945">
        <v>3459</v>
      </c>
      <c r="BV164" s="945">
        <f>CC164-BT164</f>
        <v>3382</v>
      </c>
      <c r="BW164" s="801">
        <v>18410</v>
      </c>
      <c r="BX164" s="945">
        <v>19341</v>
      </c>
      <c r="BY164" s="945">
        <v>11810</v>
      </c>
      <c r="BZ164" s="801">
        <v>8700</v>
      </c>
      <c r="CA164" s="801">
        <v>10929</v>
      </c>
      <c r="CB164" s="945">
        <v>10990</v>
      </c>
      <c r="CC164" s="945">
        <f>CE164-BY164</f>
        <v>10913</v>
      </c>
      <c r="CD164" s="945">
        <v>22800</v>
      </c>
      <c r="CE164" s="945">
        <f>Model!V76</f>
        <v>22723</v>
      </c>
      <c r="CF164" s="446"/>
      <c r="CG164" s="947">
        <v>3286</v>
      </c>
      <c r="CH164" s="893">
        <v>3800</v>
      </c>
      <c r="CI164" s="893"/>
      <c r="CJ164" s="893">
        <f>CR164-CG164</f>
        <v>4489</v>
      </c>
      <c r="CK164" s="893">
        <v>4514</v>
      </c>
      <c r="CL164" s="948">
        <f t="shared" si="427"/>
        <v>6418</v>
      </c>
      <c r="CM164" s="893">
        <v>7500</v>
      </c>
      <c r="CN164" s="893">
        <v>4900</v>
      </c>
      <c r="CO164" s="893">
        <v>4900</v>
      </c>
      <c r="CP164" s="893">
        <v>14193</v>
      </c>
      <c r="CQ164" s="893">
        <v>15275</v>
      </c>
      <c r="CR164" s="893">
        <v>7775</v>
      </c>
      <c r="CS164" s="893">
        <v>7800</v>
      </c>
      <c r="CT164" s="893">
        <v>11318</v>
      </c>
      <c r="CU164" s="893">
        <f t="shared" si="363"/>
        <v>9126</v>
      </c>
      <c r="CV164" s="893">
        <v>17500</v>
      </c>
      <c r="CW164" s="1241">
        <v>16901</v>
      </c>
      <c r="CX164" s="951"/>
      <c r="CY164" s="951">
        <v>4175</v>
      </c>
      <c r="CZ164" s="951">
        <f t="shared" si="364"/>
        <v>4113</v>
      </c>
      <c r="DA164" s="951">
        <v>8000</v>
      </c>
      <c r="DB164" s="951">
        <v>8288</v>
      </c>
      <c r="DC164" s="951">
        <f>+DG164-DB164</f>
        <v>7497</v>
      </c>
      <c r="DD164" s="951">
        <v>6500</v>
      </c>
      <c r="DE164" s="951">
        <f t="shared" si="299"/>
        <v>2578</v>
      </c>
      <c r="DF164" s="951">
        <f>DJ164-DC164</f>
        <v>2815</v>
      </c>
      <c r="DG164" s="951">
        <v>15785</v>
      </c>
      <c r="DH164" s="951">
        <f>+DD164+DB164</f>
        <v>14788</v>
      </c>
      <c r="DI164" s="951">
        <f t="shared" si="224"/>
        <v>10075</v>
      </c>
      <c r="DJ164" s="951">
        <f>DL164-DB164</f>
        <v>10312</v>
      </c>
      <c r="DK164" s="951">
        <v>18363</v>
      </c>
      <c r="DL164" s="959">
        <v>18600</v>
      </c>
      <c r="DM164" s="459"/>
      <c r="DN164" s="945"/>
      <c r="DO164" s="945"/>
      <c r="DP164" s="955"/>
      <c r="DQ164" s="955">
        <f>+DR164-DC164</f>
        <v>2215</v>
      </c>
      <c r="DR164" s="955">
        <f>+DS164-DB164</f>
        <v>9712</v>
      </c>
      <c r="DS164" s="956">
        <v>18000</v>
      </c>
      <c r="DT164" s="459"/>
      <c r="DU164" s="945"/>
      <c r="DV164" s="590">
        <f>DW164-CY164</f>
        <v>3825</v>
      </c>
      <c r="DW164" s="948">
        <v>8000</v>
      </c>
      <c r="DX164" s="955">
        <f>DY164-DB164</f>
        <v>9712</v>
      </c>
      <c r="DY164" s="955">
        <v>18000</v>
      </c>
      <c r="DZ164" s="463"/>
      <c r="EB164" s="948">
        <f>ED164-CP164</f>
        <v>4307</v>
      </c>
      <c r="EC164" s="955">
        <f>ED164-CR164</f>
        <v>10725</v>
      </c>
      <c r="ED164" s="959">
        <v>18500</v>
      </c>
      <c r="EE164" s="446"/>
      <c r="EF164" s="893"/>
      <c r="EG164" s="947">
        <v>5398</v>
      </c>
      <c r="EH164" s="893">
        <v>4500</v>
      </c>
      <c r="EI164" s="893">
        <f t="shared" si="386"/>
        <v>4434</v>
      </c>
      <c r="EJ164" s="893">
        <v>4900</v>
      </c>
      <c r="EK164" s="893">
        <v>9832</v>
      </c>
      <c r="EL164" s="893">
        <f>+EG164+EJ164</f>
        <v>10298</v>
      </c>
      <c r="EM164" s="893">
        <f>+EO164-EK164</f>
        <v>7421</v>
      </c>
      <c r="EN164" s="893">
        <v>7000</v>
      </c>
      <c r="EO164" s="893">
        <v>17253</v>
      </c>
      <c r="EP164" s="893">
        <f>+EN164+EK164</f>
        <v>16832</v>
      </c>
      <c r="EQ164" s="893">
        <f t="shared" si="413"/>
        <v>3584</v>
      </c>
      <c r="ER164" s="893"/>
      <c r="ES164" s="893">
        <f t="shared" si="430"/>
        <v>11005</v>
      </c>
      <c r="ET164" s="893"/>
      <c r="EU164" s="944">
        <v>20837</v>
      </c>
      <c r="EV164" s="533"/>
      <c r="EW164" s="893">
        <v>5049.0513219725526</v>
      </c>
      <c r="EX164" s="893">
        <v>4644</v>
      </c>
      <c r="EY164" s="893">
        <v>4691.1435072865042</v>
      </c>
      <c r="EZ164" s="893">
        <f>+FB164-EX164</f>
        <v>4145</v>
      </c>
      <c r="FA164" s="893">
        <v>9335.1435072865042</v>
      </c>
      <c r="FB164" s="893">
        <v>8789</v>
      </c>
      <c r="FC164" s="893">
        <f>+FE164-FB164</f>
        <v>7484</v>
      </c>
      <c r="FD164" s="510">
        <v>8350.7276887204898</v>
      </c>
      <c r="FE164" s="893">
        <v>16273</v>
      </c>
      <c r="FF164" s="734">
        <v>17139.72768872049</v>
      </c>
      <c r="FG164" s="893">
        <f>FK164-FE164</f>
        <v>2158</v>
      </c>
      <c r="FH164" s="893">
        <f>+FL164-FE164</f>
        <v>2158</v>
      </c>
      <c r="FI164" s="893">
        <f>FK164-FB164</f>
        <v>9642</v>
      </c>
      <c r="FJ164" s="893">
        <f>+FL164-FB164</f>
        <v>9642</v>
      </c>
      <c r="FK164" s="944">
        <v>18431</v>
      </c>
      <c r="FL164" s="959">
        <f>Segments!N17</f>
        <v>18431</v>
      </c>
      <c r="FM164" s="945">
        <f t="shared" si="446"/>
        <v>4856</v>
      </c>
      <c r="FN164" s="955">
        <v>9500</v>
      </c>
      <c r="FO164" s="955">
        <f>+FQ164-FE164</f>
        <v>5127</v>
      </c>
      <c r="FP164" s="955">
        <f>+FQ164-FB164</f>
        <v>12611</v>
      </c>
      <c r="FQ164" s="956">
        <v>21400</v>
      </c>
      <c r="FR164" s="956"/>
      <c r="FS164" s="893">
        <v>5107</v>
      </c>
      <c r="FT164" s="955">
        <f>FT165*FT69</f>
        <v>4524.2629421221864</v>
      </c>
      <c r="FU164" s="1242">
        <f>FU165*FU69</f>
        <v>4468.875</v>
      </c>
      <c r="FV164" s="893">
        <f>+FY164-FS164</f>
        <v>3422</v>
      </c>
      <c r="FW164" s="955">
        <f>FU164+FS164</f>
        <v>9575.875</v>
      </c>
      <c r="FX164" s="955"/>
      <c r="FY164" s="893">
        <v>8529</v>
      </c>
      <c r="FZ164" s="893">
        <f>+GA164-FY164</f>
        <v>6207</v>
      </c>
      <c r="GA164" s="893">
        <v>14736</v>
      </c>
      <c r="GB164" s="893">
        <f>+GD164-GA164</f>
        <v>3702</v>
      </c>
      <c r="GC164" s="893">
        <f>+GD164-FY164</f>
        <v>9909</v>
      </c>
      <c r="GD164" s="944">
        <v>18438</v>
      </c>
      <c r="GE164" s="893">
        <v>17820</v>
      </c>
      <c r="GF164" s="893">
        <f>GF165*GF69</f>
        <v>6372.7191961220196</v>
      </c>
      <c r="GG164" s="893">
        <f>GH164-FZ164</f>
        <v>3702</v>
      </c>
      <c r="GH164" s="955">
        <f>GI164-FY164</f>
        <v>9909</v>
      </c>
      <c r="GI164" s="955">
        <f>Segments!O17</f>
        <v>18438</v>
      </c>
      <c r="GJ164" s="967"/>
      <c r="GK164" s="955">
        <f>GK165*GK69</f>
        <v>4486.2632831937535</v>
      </c>
      <c r="GL164" s="893">
        <v>4761</v>
      </c>
      <c r="GM164" s="893">
        <f>GM165*GM69</f>
        <v>4399.4093591975552</v>
      </c>
      <c r="GN164" s="893">
        <f>GL164+GM164</f>
        <v>9160.4093591975543</v>
      </c>
      <c r="GO164" s="893">
        <f>+GP164-GL164</f>
        <v>4810</v>
      </c>
      <c r="GP164" s="893">
        <v>9571</v>
      </c>
      <c r="GQ164" s="893">
        <f>GQ165*GQ69</f>
        <v>6661.9143103249198</v>
      </c>
      <c r="GR164" s="893">
        <f>+GS164-GP164</f>
        <v>7676</v>
      </c>
      <c r="GS164" s="893">
        <v>17247</v>
      </c>
      <c r="GT164" s="893">
        <f>+GU164-GR164</f>
        <v>6132</v>
      </c>
      <c r="GU164" s="893">
        <f>+GV164-GP164</f>
        <v>13808</v>
      </c>
      <c r="GV164" s="944">
        <v>23379</v>
      </c>
      <c r="GW164" s="893">
        <v>22100</v>
      </c>
      <c r="GX164" s="893">
        <f>GY164-GR164</f>
        <v>6132</v>
      </c>
      <c r="GY164" s="893">
        <f>GZ164-GP164</f>
        <v>13808</v>
      </c>
      <c r="GZ164" s="893">
        <f>Segments!P17</f>
        <v>23379</v>
      </c>
      <c r="HA164" s="967"/>
      <c r="HB164" s="955">
        <f>HB165*HB69</f>
        <v>0</v>
      </c>
      <c r="HC164" s="955"/>
      <c r="HD164" s="893">
        <v>11060</v>
      </c>
      <c r="HE164" s="893">
        <v>11060</v>
      </c>
      <c r="HF164" s="893">
        <f>+HI164-HD164</f>
        <v>3644</v>
      </c>
      <c r="HG164" s="893">
        <f>+HL164-HE164</f>
        <v>3644</v>
      </c>
      <c r="HH164" s="893">
        <f>HM164-HE164</f>
        <v>3644</v>
      </c>
      <c r="HI164" s="893">
        <v>14704</v>
      </c>
      <c r="HJ164" s="893">
        <f>HI165*HI69</f>
        <v>14704</v>
      </c>
      <c r="HK164" s="893">
        <f>HD164+HI164</f>
        <v>25764</v>
      </c>
      <c r="HL164" s="893">
        <v>14704</v>
      </c>
      <c r="HM164" s="893">
        <v>14704</v>
      </c>
      <c r="HN164" s="893">
        <f>+HP164-HI164</f>
        <v>7995</v>
      </c>
      <c r="HO164" s="893">
        <f>+HQ164-HM164</f>
        <v>-14704</v>
      </c>
      <c r="HP164" s="893">
        <v>22699</v>
      </c>
      <c r="HQ164" s="968"/>
      <c r="HR164" s="893">
        <f>+HT164-HN164</f>
        <v>6371</v>
      </c>
      <c r="HS164" s="893"/>
      <c r="HT164" s="893">
        <f>+HV164-HI164</f>
        <v>14366</v>
      </c>
      <c r="HU164" s="893">
        <f>HZ164-HM164</f>
        <v>14366</v>
      </c>
      <c r="HV164" s="893">
        <v>29070</v>
      </c>
      <c r="HW164" s="893">
        <f>HW165*HW69</f>
        <v>10983.914306927298</v>
      </c>
      <c r="HX164" s="893">
        <f>HY164-HN164</f>
        <v>6371</v>
      </c>
      <c r="HY164" s="893">
        <f>IB164-HI164</f>
        <v>14366</v>
      </c>
      <c r="HZ164" s="893">
        <v>29070</v>
      </c>
      <c r="IA164" s="893">
        <v>30100</v>
      </c>
      <c r="IB164" s="893">
        <f>Segments!Q17</f>
        <v>29070</v>
      </c>
      <c r="IC164" s="967"/>
      <c r="ID164" s="955">
        <f>ID165*ID69</f>
        <v>5707.5</v>
      </c>
      <c r="IE164" s="947">
        <v>8996</v>
      </c>
      <c r="IF164" s="893">
        <f>IG164-IE164</f>
        <v>1979</v>
      </c>
      <c r="IG164" s="1243">
        <v>10975</v>
      </c>
      <c r="IH164" s="893">
        <f>+IJ164-IG164</f>
        <v>7378</v>
      </c>
      <c r="II164" s="893">
        <f>II69*II165</f>
        <v>7440</v>
      </c>
      <c r="IJ164" s="1244">
        <v>18353</v>
      </c>
      <c r="IK164" s="1245">
        <f>+IP164-IL164</f>
        <v>18353</v>
      </c>
      <c r="IL164" s="893">
        <f>IN164-IH164</f>
        <v>4061</v>
      </c>
      <c r="IM164" s="1245">
        <f>+IO164-IH164</f>
        <v>4061</v>
      </c>
      <c r="IN164" s="1245">
        <f>IP164-IG164</f>
        <v>11439</v>
      </c>
      <c r="IO164" s="1245">
        <f>+IR164-IG164</f>
        <v>11439</v>
      </c>
      <c r="IP164" s="944">
        <f>Segments!S17</f>
        <v>22414</v>
      </c>
      <c r="IQ164" s="893">
        <v>23100</v>
      </c>
      <c r="IR164" s="1246">
        <v>22414</v>
      </c>
      <c r="IS164" s="1283"/>
      <c r="IT164" s="1245">
        <f>IT165*IT69</f>
        <v>6278.0445484133434</v>
      </c>
      <c r="IU164" s="968">
        <v>8649</v>
      </c>
      <c r="IV164" s="975">
        <f>IX164-IU164</f>
        <v>6621</v>
      </c>
      <c r="IW164" s="1245">
        <v>5150.5055579178861</v>
      </c>
      <c r="IX164" s="1245">
        <v>15270</v>
      </c>
      <c r="IY164" s="1245">
        <v>13799.505557917886</v>
      </c>
      <c r="IZ164" s="1245">
        <f>IZ69*0.65</f>
        <v>8389.5500000000011</v>
      </c>
      <c r="JA164" s="1247">
        <v>25400</v>
      </c>
      <c r="JB164" s="1247">
        <f>+JC164-IZ164</f>
        <v>9466.4499999999989</v>
      </c>
      <c r="JC164" s="1247">
        <f>+JD164-IX164</f>
        <v>17856</v>
      </c>
      <c r="JD164" s="1247">
        <v>33126</v>
      </c>
      <c r="JE164" s="1247">
        <v>21880.375199999999</v>
      </c>
      <c r="JF164" s="1247">
        <f>JG164-IZ164</f>
        <v>9466.4499999999989</v>
      </c>
      <c r="JG164" s="1245">
        <f>JH164-IX164</f>
        <v>17856</v>
      </c>
      <c r="JH164" s="1248">
        <f>Segments!T17</f>
        <v>33126</v>
      </c>
      <c r="JI164" s="1283"/>
      <c r="JJ164" s="1242">
        <f>ROUND(JJ165*JJ69*2,-2)/2</f>
        <v>10450</v>
      </c>
      <c r="JK164" s="955">
        <f>ROUND(JK165*JK69*2,-2)/2</f>
        <v>9300</v>
      </c>
      <c r="JL164" s="955">
        <v>11023</v>
      </c>
      <c r="JM164" s="955">
        <f t="shared" si="459"/>
        <v>14109</v>
      </c>
      <c r="JN164" s="955">
        <f t="shared" si="460"/>
        <v>14772</v>
      </c>
      <c r="JO164" s="955"/>
      <c r="JP164" s="955">
        <v>25132</v>
      </c>
      <c r="JQ164" s="955"/>
      <c r="JR164" s="955"/>
      <c r="JS164" s="955">
        <v>39904</v>
      </c>
      <c r="JT164" s="955">
        <f>ROUND(JT165*JT69*2,-2)/2</f>
        <v>13750</v>
      </c>
      <c r="JU164" s="955">
        <f>+JW164-JN164</f>
        <v>8896</v>
      </c>
      <c r="JV164" s="1844">
        <f>+JL164+JK164</f>
        <v>20323</v>
      </c>
      <c r="JW164" s="1844">
        <f>+JX164-JP164</f>
        <v>23668</v>
      </c>
      <c r="JX164" s="1844">
        <f>+Model!AF76</f>
        <v>48800</v>
      </c>
      <c r="JY164" s="1844">
        <f>+JP164+JT164</f>
        <v>38882</v>
      </c>
      <c r="JZ164" s="899"/>
      <c r="KA164" s="1271"/>
      <c r="KB164" s="976">
        <f>+KC164-JL164</f>
        <v>8977</v>
      </c>
      <c r="KC164" s="976">
        <v>20000</v>
      </c>
      <c r="KD164" s="976">
        <f>+KH164-KC164</f>
        <v>21500</v>
      </c>
      <c r="KE164" s="976">
        <f>+KG164-JP164</f>
        <v>17868</v>
      </c>
      <c r="KF164" s="976"/>
      <c r="KG164" s="976">
        <v>43000</v>
      </c>
      <c r="KH164" s="976">
        <v>41500</v>
      </c>
      <c r="KI164" s="1271"/>
      <c r="KJ164" s="899"/>
      <c r="KK164" s="1245"/>
      <c r="KL164" s="955">
        <f>KM164-IX164</f>
        <v>15730</v>
      </c>
      <c r="KM164" s="976">
        <v>31000</v>
      </c>
      <c r="KN164" s="899"/>
      <c r="KO164" s="976">
        <v>25021</v>
      </c>
      <c r="KP164" s="955">
        <v>1979</v>
      </c>
      <c r="KQ164" s="956">
        <v>27000</v>
      </c>
      <c r="KR164" s="955">
        <v>14025</v>
      </c>
      <c r="KS164" s="956">
        <v>25000</v>
      </c>
      <c r="KT164" s="955">
        <f>KU164-IE164</f>
        <v>2504</v>
      </c>
      <c r="KU164" s="955">
        <v>11500</v>
      </c>
      <c r="KV164" s="955">
        <f>KW164-KU164</f>
        <v>14500</v>
      </c>
      <c r="KW164" s="956">
        <v>26000</v>
      </c>
      <c r="KX164" s="955">
        <f>KY164-HN164</f>
        <v>5801</v>
      </c>
      <c r="KY164" s="955">
        <f>KZ164-HI164</f>
        <v>13796</v>
      </c>
      <c r="KZ164" s="956">
        <v>28500</v>
      </c>
      <c r="LA164" s="955">
        <v>12000</v>
      </c>
      <c r="LB164" s="955">
        <f>LC164-LA164</f>
        <v>14000</v>
      </c>
      <c r="LC164" s="956">
        <v>26000</v>
      </c>
      <c r="LD164" s="956"/>
      <c r="LE164" s="955">
        <f>LF164-GR164</f>
        <v>3753</v>
      </c>
      <c r="LF164" s="955">
        <f>LG164-GP164</f>
        <v>11429</v>
      </c>
      <c r="LG164" s="956">
        <v>21000</v>
      </c>
    </row>
    <row r="165" spans="1:319" s="498" customFormat="1">
      <c r="A165" s="477"/>
      <c r="B165" s="478"/>
      <c r="C165" s="481"/>
      <c r="D165" s="480"/>
      <c r="E165" s="477"/>
      <c r="F165" s="477"/>
      <c r="G165" s="481"/>
      <c r="H165" s="477"/>
      <c r="I165" s="477"/>
      <c r="J165" s="481"/>
      <c r="K165" s="484"/>
      <c r="L165" s="484"/>
      <c r="M165" s="484"/>
      <c r="N165" s="484"/>
      <c r="O165" s="484"/>
      <c r="P165" s="484"/>
      <c r="Q165" s="484"/>
      <c r="R165" s="484"/>
      <c r="S165" s="485"/>
      <c r="T165" s="484"/>
      <c r="U165" s="484"/>
      <c r="V165" s="484"/>
      <c r="W165" s="484"/>
      <c r="X165" s="484"/>
      <c r="Y165" s="484"/>
      <c r="Z165" s="484"/>
      <c r="AA165" s="484"/>
      <c r="AB165" s="485"/>
      <c r="AC165" s="484"/>
      <c r="AD165" s="484"/>
      <c r="AE165" s="484"/>
      <c r="AF165" s="484"/>
      <c r="AG165" s="484"/>
      <c r="AH165" s="484"/>
      <c r="AI165" s="484"/>
      <c r="AJ165" s="484"/>
      <c r="AK165" s="480"/>
      <c r="AL165" s="484"/>
      <c r="AM165" s="484"/>
      <c r="AN165" s="484"/>
      <c r="AO165" s="484"/>
      <c r="AP165" s="484"/>
      <c r="AQ165" s="484"/>
      <c r="AR165" s="484"/>
      <c r="AS165" s="484"/>
      <c r="AT165" s="480"/>
      <c r="AU165" s="681"/>
      <c r="AV165" s="681"/>
      <c r="AW165" s="681"/>
      <c r="AX165" s="681"/>
      <c r="AY165" s="681"/>
      <c r="AZ165" s="681"/>
      <c r="BA165" s="681"/>
      <c r="BB165" s="507"/>
      <c r="BC165" s="507"/>
      <c r="BD165" s="684"/>
      <c r="BE165" s="681"/>
      <c r="BF165" s="480"/>
      <c r="BG165" s="484"/>
      <c r="BH165" s="484"/>
      <c r="BI165" s="484"/>
      <c r="BJ165" s="480"/>
      <c r="BO165" s="480"/>
      <c r="BP165" s="681">
        <f>BP164/BP69</f>
        <v>0.8628029234517246</v>
      </c>
      <c r="BQ165" s="684">
        <v>0.57692307692307687</v>
      </c>
      <c r="BR165" s="681">
        <f>BR164/BR69</f>
        <v>0.83404464871963235</v>
      </c>
      <c r="BS165" s="684">
        <v>0.6</v>
      </c>
      <c r="BT165" s="681">
        <f>BT164/BT69</f>
        <v>0.70304331590739355</v>
      </c>
      <c r="BU165" s="681">
        <v>0.50137701116103783</v>
      </c>
      <c r="BV165" s="681">
        <f>BV164/BV69</f>
        <v>0.5644192256341789</v>
      </c>
      <c r="BW165" s="684">
        <v>0.73967842980800524</v>
      </c>
      <c r="BX165" s="681">
        <f>BX164/BX69</f>
        <v>0.78612364345811492</v>
      </c>
      <c r="BY165" s="681">
        <f>BY164/BY69</f>
        <v>0.8501907710028076</v>
      </c>
      <c r="BZ165" s="684">
        <v>0.59589041095890416</v>
      </c>
      <c r="CA165" s="684">
        <v>0.74922876533900051</v>
      </c>
      <c r="CB165" s="681">
        <v>0.62407722884724592</v>
      </c>
      <c r="CC165" s="681">
        <f>CC164/CC69</f>
        <v>0.65331657088122608</v>
      </c>
      <c r="CD165" s="681">
        <v>0.72380952380952379</v>
      </c>
      <c r="CE165" s="681">
        <f>CE164/CE69</f>
        <v>0.74270305605491094</v>
      </c>
      <c r="CF165" s="480"/>
      <c r="CG165" s="994">
        <f>CG164/CG69</f>
        <v>0.68860016764459342</v>
      </c>
      <c r="CH165" s="805">
        <v>0.65517241379310343</v>
      </c>
      <c r="CI165" s="805">
        <f>CI164/CI69</f>
        <v>0</v>
      </c>
      <c r="CJ165" s="805">
        <f>CJ164/CJ69</f>
        <v>0.76330556027886409</v>
      </c>
      <c r="CK165" s="805">
        <v>0.74914113114537406</v>
      </c>
      <c r="CL165" s="805">
        <f>CL164/CL69</f>
        <v>0.69813988904601332</v>
      </c>
      <c r="CM165" s="805">
        <v>0.76512826916355559</v>
      </c>
      <c r="CN165" s="805">
        <v>0.82297615048706751</v>
      </c>
      <c r="CO165" s="805">
        <f>CO164/CO69</f>
        <v>0.93690248565965584</v>
      </c>
      <c r="CP165" s="805">
        <f>CP164/CP69</f>
        <v>0.71515670664113673</v>
      </c>
      <c r="CQ165" s="805">
        <v>0.7467510341340754</v>
      </c>
      <c r="CR165" s="805">
        <f>CR164/CR69</f>
        <v>0.72984135924152815</v>
      </c>
      <c r="CS165" s="805">
        <v>0.72222222222222221</v>
      </c>
      <c r="CT165" s="805">
        <v>0.74721066877929621</v>
      </c>
      <c r="CU165" s="805">
        <f>CU164/CU69</f>
        <v>0.63273937460999796</v>
      </c>
      <c r="CV165" s="805">
        <v>0.67829457364341084</v>
      </c>
      <c r="CW165" s="1249">
        <f>CW164/CW69</f>
        <v>0.67399106715584622</v>
      </c>
      <c r="CX165" s="702"/>
      <c r="CY165" s="805">
        <f>CY164/CY69</f>
        <v>0.67952473958333337</v>
      </c>
      <c r="CZ165" s="805">
        <f>CZ164/CZ69</f>
        <v>0.64629164047768695</v>
      </c>
      <c r="DA165" s="805"/>
      <c r="DB165" s="805">
        <f t="shared" ref="DB165:DH165" si="475">DB164/DB69</f>
        <v>0.66261592580748319</v>
      </c>
      <c r="DC165" s="805">
        <f t="shared" si="475"/>
        <v>0.72928015564202331</v>
      </c>
      <c r="DD165" s="805">
        <f t="shared" si="475"/>
        <v>0.67983009435897856</v>
      </c>
      <c r="DE165" s="805">
        <f t="shared" si="475"/>
        <v>0.46652189648932318</v>
      </c>
      <c r="DF165" s="805">
        <f t="shared" si="475"/>
        <v>0.49282212885154064</v>
      </c>
      <c r="DG165" s="805">
        <f t="shared" si="475"/>
        <v>0.69268913463226256</v>
      </c>
      <c r="DH165" s="805">
        <f t="shared" si="475"/>
        <v>0.67007375075652431</v>
      </c>
      <c r="DI165" s="805">
        <f t="shared" si="224"/>
        <v>-0.66261592580748319</v>
      </c>
      <c r="DJ165" s="805">
        <f>DJ164/DJ69</f>
        <v>0.6448224112056028</v>
      </c>
      <c r="DK165" s="805"/>
      <c r="DL165" s="1250">
        <v>0.65263157894736845</v>
      </c>
      <c r="DM165" s="652"/>
      <c r="DN165" s="681"/>
      <c r="DO165" s="681"/>
      <c r="DP165" s="681"/>
      <c r="DQ165" s="1251"/>
      <c r="DR165" s="1251"/>
      <c r="DS165" s="1252"/>
      <c r="DT165" s="652"/>
      <c r="DU165" s="681"/>
      <c r="DV165" s="681"/>
      <c r="DX165" s="1251"/>
      <c r="DY165" s="1251"/>
      <c r="DZ165" s="497"/>
      <c r="EC165" s="1251"/>
      <c r="ED165" s="1250"/>
      <c r="EE165" s="480"/>
      <c r="EG165" s="994">
        <f t="shared" ref="EG165:EU165" si="476">EG164/EG69</f>
        <v>0.74847476428175264</v>
      </c>
      <c r="EH165" s="805">
        <f t="shared" si="476"/>
        <v>1.113861386138614</v>
      </c>
      <c r="EI165" s="805">
        <f t="shared" si="476"/>
        <v>0.71137493983635491</v>
      </c>
      <c r="EJ165" s="805">
        <f t="shared" si="476"/>
        <v>0.7188967136150235</v>
      </c>
      <c r="EK165" s="805">
        <f t="shared" si="476"/>
        <v>0.73127556712532538</v>
      </c>
      <c r="EL165" s="805">
        <f t="shared" si="476"/>
        <v>0.73426024955436719</v>
      </c>
      <c r="EM165" s="805">
        <f t="shared" si="476"/>
        <v>0.68725689942581958</v>
      </c>
      <c r="EN165" s="805">
        <f t="shared" si="476"/>
        <v>0.69860279441117767</v>
      </c>
      <c r="EO165" s="805">
        <f t="shared" si="476"/>
        <v>0.71166934785298852</v>
      </c>
      <c r="EP165" s="805">
        <f t="shared" si="476"/>
        <v>0.69677526182886951</v>
      </c>
      <c r="EQ165" s="805">
        <f t="shared" si="476"/>
        <v>0.68344774980930589</v>
      </c>
      <c r="ER165" s="805" t="e">
        <f t="shared" si="476"/>
        <v>#DIV/0!</v>
      </c>
      <c r="ES165" s="805">
        <f t="shared" si="476"/>
        <v>0.68601171923700288</v>
      </c>
      <c r="ET165" s="805" t="e">
        <f t="shared" si="476"/>
        <v>#DIV/0!</v>
      </c>
      <c r="EU165" s="1249">
        <f t="shared" si="476"/>
        <v>0.70665038830671145</v>
      </c>
      <c r="EV165" s="686"/>
      <c r="EW165" s="805"/>
      <c r="EX165" s="805"/>
      <c r="EY165" s="805"/>
      <c r="EZ165" s="805"/>
      <c r="FA165" s="805"/>
      <c r="FB165" s="1251">
        <f>FB164/FB69</f>
        <v>0.68707004377736081</v>
      </c>
      <c r="FC165" s="1251">
        <f>FC164/FC69</f>
        <v>0.78663022913601011</v>
      </c>
      <c r="FD165" s="1179"/>
      <c r="FE165" s="1251">
        <f>FE164/FE69</f>
        <v>0.72953465435308884</v>
      </c>
      <c r="FF165" s="1179"/>
      <c r="FG165" s="1251">
        <f>FG164/FG69</f>
        <v>0.49643432252127906</v>
      </c>
      <c r="FH165" s="702"/>
      <c r="FI165" s="1251">
        <f>FI164/FI69</f>
        <v>0.69562080657961189</v>
      </c>
      <c r="FJ165" s="805"/>
      <c r="FK165" s="1252">
        <f>FK164/FK69</f>
        <v>0.69151690241248642</v>
      </c>
      <c r="FL165" s="805">
        <f>FL164/FL69</f>
        <v>0.69151690241248642</v>
      </c>
      <c r="FM165" s="805"/>
      <c r="FN165" s="1251"/>
      <c r="FO165" s="1251"/>
      <c r="FP165" s="1251"/>
      <c r="FQ165" s="1252"/>
      <c r="FR165" s="1252" t="e">
        <f>FR164/FR69</f>
        <v>#DIV/0!</v>
      </c>
      <c r="FS165" s="1251">
        <f>FS164/FS69</f>
        <v>0.78750963762528914</v>
      </c>
      <c r="FT165" s="1251">
        <v>0.75</v>
      </c>
      <c r="FU165" s="1251">
        <v>0.75</v>
      </c>
      <c r="FV165" s="1251">
        <f>FV164/FV69</f>
        <v>0.67269510517004127</v>
      </c>
      <c r="FW165" s="805">
        <f>FW164/FW69</f>
        <v>0.76954835858078519</v>
      </c>
      <c r="FX165" s="805"/>
      <c r="FY165" s="1251">
        <f t="shared" ref="FY165:GD165" si="477">FY164/FY69</f>
        <v>0.73703767715174562</v>
      </c>
      <c r="FZ165" s="1251">
        <f t="shared" si="477"/>
        <v>0.75465045592705171</v>
      </c>
      <c r="GA165" s="1251">
        <f t="shared" si="477"/>
        <v>0.74435520533414157</v>
      </c>
      <c r="GB165" s="1251">
        <f t="shared" si="477"/>
        <v>0.95782664941785256</v>
      </c>
      <c r="GC165" s="1251">
        <f t="shared" si="477"/>
        <v>0.81960297766749379</v>
      </c>
      <c r="GD165" s="1252">
        <f t="shared" si="477"/>
        <v>0.77922407235229485</v>
      </c>
      <c r="GE165" s="1251">
        <v>0.74250000000000005</v>
      </c>
      <c r="GF165" s="805">
        <v>0.75</v>
      </c>
      <c r="GG165" s="1251">
        <f>GG164/GG69</f>
        <v>0.95782664941785256</v>
      </c>
      <c r="GH165" s="805">
        <f>GH164/GH69</f>
        <v>0.81960297766749379</v>
      </c>
      <c r="GI165" s="805">
        <f>GI164/GI69</f>
        <v>0.77922407235229485</v>
      </c>
      <c r="GJ165" s="1253"/>
      <c r="GK165" s="1251">
        <v>0.75</v>
      </c>
      <c r="GL165" s="1251">
        <f>GL164/GL69</f>
        <v>0.81747939560439564</v>
      </c>
      <c r="GM165" s="1251">
        <v>0.75</v>
      </c>
      <c r="GN165" s="1251">
        <f>GN164/GN69</f>
        <v>0.78361882489161849</v>
      </c>
      <c r="GO165" s="1251">
        <f>GO164/GO69</f>
        <v>0.82363013698630139</v>
      </c>
      <c r="GP165" s="1251">
        <f>GP164/GP69</f>
        <v>0.82055898491083679</v>
      </c>
      <c r="GQ165" s="1251">
        <v>0.7</v>
      </c>
      <c r="GR165" s="1251">
        <f>GR164/GR69</f>
        <v>0.75085591313704392</v>
      </c>
      <c r="GS165" s="1251">
        <f>GS164/GS69</f>
        <v>0.78800201032576411</v>
      </c>
      <c r="GT165" s="1251">
        <f>GT164/GT69</f>
        <v>0.94893221912720516</v>
      </c>
      <c r="GU165" s="1251">
        <f>GU164/GU69</f>
        <v>0.82756967335930476</v>
      </c>
      <c r="GV165" s="1252">
        <f>GV164/GV69</f>
        <v>0.82468517408021447</v>
      </c>
      <c r="GW165" s="1251">
        <v>0.74915254237288131</v>
      </c>
      <c r="GX165" s="1251">
        <f>GX164/GX69</f>
        <v>0.94893221912720516</v>
      </c>
      <c r="GY165" s="1251">
        <f>GY164/GY69</f>
        <v>0.82756967335930476</v>
      </c>
      <c r="GZ165" s="1251">
        <f>GZ164/GZ69</f>
        <v>0.82468517408021447</v>
      </c>
      <c r="HA165" s="1253"/>
      <c r="HB165" s="1251"/>
      <c r="HC165" s="1251"/>
      <c r="HD165" s="1251">
        <f t="shared" ref="HD165:HI165" si="478">HD164/HD69</f>
        <v>1.0656132575392621</v>
      </c>
      <c r="HE165" s="1251">
        <f t="shared" si="478"/>
        <v>1.0656132575392621</v>
      </c>
      <c r="HF165" s="1251">
        <f t="shared" si="478"/>
        <v>0.4698903932946486</v>
      </c>
      <c r="HG165" s="1251">
        <f t="shared" si="478"/>
        <v>0.4698903932946486</v>
      </c>
      <c r="HH165" s="1251">
        <f t="shared" si="478"/>
        <v>0.4698903932946486</v>
      </c>
      <c r="HI165" s="1251">
        <f t="shared" si="478"/>
        <v>0.81085254218594904</v>
      </c>
      <c r="HJ165" s="1251">
        <v>1</v>
      </c>
      <c r="HK165" s="1251">
        <f t="shared" ref="HK165:HR165" si="479">HK164/HK69</f>
        <v>0.90358783712692459</v>
      </c>
      <c r="HL165" s="1251">
        <f t="shared" si="479"/>
        <v>0.81085254218594904</v>
      </c>
      <c r="HM165" s="1251">
        <f t="shared" si="479"/>
        <v>0.81085254218594904</v>
      </c>
      <c r="HN165" s="1251">
        <f t="shared" si="479"/>
        <v>0.73180778032036609</v>
      </c>
      <c r="HO165" s="1251">
        <f t="shared" si="479"/>
        <v>-1.345903890160183</v>
      </c>
      <c r="HP165" s="1251">
        <f t="shared" si="479"/>
        <v>0.78113493237895315</v>
      </c>
      <c r="HQ165" s="1251">
        <f t="shared" si="479"/>
        <v>0</v>
      </c>
      <c r="HR165" s="1251">
        <f t="shared" si="479"/>
        <v>0.86082961761924059</v>
      </c>
      <c r="HS165" s="1251"/>
      <c r="HT165" s="1251">
        <f>HT164/HT69</f>
        <v>0.78391356542617052</v>
      </c>
      <c r="HU165" s="1251">
        <f>HU164/HU69</f>
        <v>0.78391356542617052</v>
      </c>
      <c r="HV165" s="1251">
        <f>HV164/HV69</f>
        <v>0.79731212287438291</v>
      </c>
      <c r="HW165" s="1251">
        <v>1</v>
      </c>
      <c r="HX165" s="1251">
        <f>HX164/HX69</f>
        <v>0.86082961761924059</v>
      </c>
      <c r="HY165" s="1251">
        <f>HY164/HY69</f>
        <v>0.78391356542617052</v>
      </c>
      <c r="HZ165" s="1251">
        <f>HZ164/HZ69</f>
        <v>0.79731212287438291</v>
      </c>
      <c r="IA165" s="1251">
        <v>0.82016348773841963</v>
      </c>
      <c r="IB165" s="1251">
        <f>IB164/IB69</f>
        <v>0.79731212287438291</v>
      </c>
      <c r="IC165" s="1253"/>
      <c r="ID165" s="1251">
        <v>0.75</v>
      </c>
      <c r="IE165" s="1254">
        <f>IE164/IE69</f>
        <v>1.0710798904631504</v>
      </c>
      <c r="IF165" s="1251">
        <f>IF164/IF69</f>
        <v>0.30936376426449896</v>
      </c>
      <c r="IG165" s="1251">
        <f>IG164/IG69</f>
        <v>0.74175452825087862</v>
      </c>
      <c r="IH165" s="1251">
        <f>IH164/IH69</f>
        <v>0.73588669459405542</v>
      </c>
      <c r="II165" s="1255">
        <v>0.75</v>
      </c>
      <c r="IJ165" s="1251">
        <f t="shared" ref="IJ165:IP165" si="480">IJ164/IJ69</f>
        <v>0.73938441704939162</v>
      </c>
      <c r="IK165" s="1251">
        <f t="shared" si="480"/>
        <v>0.73938441704939162</v>
      </c>
      <c r="IL165" s="1251">
        <f t="shared" si="480"/>
        <v>0.8260781122864117</v>
      </c>
      <c r="IM165" s="1251">
        <f t="shared" si="480"/>
        <v>0.8260781122864117</v>
      </c>
      <c r="IN165" s="1251">
        <f t="shared" si="480"/>
        <v>0.76556016597510368</v>
      </c>
      <c r="IO165" s="1251">
        <f t="shared" si="480"/>
        <v>0.76556016597510368</v>
      </c>
      <c r="IP165" s="1252">
        <f t="shared" si="480"/>
        <v>0.75371578451812493</v>
      </c>
      <c r="IQ165" s="1251">
        <v>0.75</v>
      </c>
      <c r="IR165" s="1252">
        <f>IR164/IR69</f>
        <v>0.75371578451812493</v>
      </c>
      <c r="IS165" s="695"/>
      <c r="IT165" s="1256">
        <v>0.7</v>
      </c>
      <c r="IU165" s="1251">
        <f>IU164/IU69</f>
        <v>0.80628321059009977</v>
      </c>
      <c r="IV165" s="1256">
        <v>0.7</v>
      </c>
      <c r="IW165" s="1256">
        <v>0.7</v>
      </c>
      <c r="IX165" s="1251">
        <f>IX164/IX69</f>
        <v>0.80461587100853615</v>
      </c>
      <c r="IY165" s="1251">
        <v>0.76304166466180101</v>
      </c>
      <c r="IZ165" s="1251">
        <f>IZ164/IZ69</f>
        <v>0.65000000000000013</v>
      </c>
      <c r="JA165" s="1251">
        <f>JA164/JA69</f>
        <v>0.79661282734828287</v>
      </c>
      <c r="JB165" s="1251">
        <f>JB164/JB69</f>
        <v>1.1209532267613971</v>
      </c>
      <c r="JC165" s="1251">
        <f>JC164/JC69</f>
        <v>0.83626826526789055</v>
      </c>
      <c r="JD165" s="1251">
        <f>JD164/JD69</f>
        <v>0.82137366724522687</v>
      </c>
      <c r="JE165" s="1251">
        <v>0.75066966270671198</v>
      </c>
      <c r="JF165" s="1251">
        <f>JF164/JF69</f>
        <v>1.1209532267613971</v>
      </c>
      <c r="JG165" s="1251">
        <f>JG164/JG69</f>
        <v>0.83626826526789055</v>
      </c>
      <c r="JH165" s="1252">
        <f>JH164/JH69</f>
        <v>0.82137366724522687</v>
      </c>
      <c r="JI165" s="695"/>
      <c r="JJ165" s="1845">
        <v>0.75</v>
      </c>
      <c r="JK165" s="1846">
        <v>0.8</v>
      </c>
      <c r="JL165" s="1251">
        <f t="shared" ref="JL165:JS165" si="481">JL164/JL69</f>
        <v>0.83570887035633057</v>
      </c>
      <c r="JM165" s="1251">
        <f t="shared" si="481"/>
        <v>0.84820247685463512</v>
      </c>
      <c r="JN165" s="1251">
        <f t="shared" si="481"/>
        <v>0.81222851487326109</v>
      </c>
      <c r="JO165" s="1251" t="e">
        <f t="shared" si="481"/>
        <v>#DIV/0!</v>
      </c>
      <c r="JP165" s="1251">
        <f t="shared" si="481"/>
        <v>0.84267703862660948</v>
      </c>
      <c r="JQ165" s="1251" t="e">
        <f t="shared" si="481"/>
        <v>#DIV/0!</v>
      </c>
      <c r="JR165" s="1251" t="e">
        <f t="shared" si="481"/>
        <v>#DIV/0!</v>
      </c>
      <c r="JS165" s="1251">
        <f t="shared" si="481"/>
        <v>0.83114286309387431</v>
      </c>
      <c r="JT165" s="1846">
        <v>0.85</v>
      </c>
      <c r="JU165" s="1251">
        <f>JU164/JU69</f>
        <v>0.77430585777700411</v>
      </c>
      <c r="JV165" s="1251">
        <f>JV164/JV69</f>
        <v>0.81980637353771679</v>
      </c>
      <c r="JW165" s="1251">
        <f>JW164/JW69</f>
        <v>0.79754683919665725</v>
      </c>
      <c r="JX165" s="1251">
        <f>JX164/JX69</f>
        <v>0.82016806722689073</v>
      </c>
      <c r="JY165" s="1251">
        <f>JY164/JY69</f>
        <v>0.84573889589768125</v>
      </c>
      <c r="JZ165" s="686"/>
      <c r="KA165" s="687"/>
      <c r="KB165" s="1251"/>
      <c r="KC165" s="1251">
        <f>KC164/KC69</f>
        <v>0.81632653061224492</v>
      </c>
      <c r="KD165" s="1251">
        <f>KD164/KD69</f>
        <v>0.84313725490196079</v>
      </c>
      <c r="KE165" s="1251">
        <f>KE164/KE69</f>
        <v>0.80573593073593075</v>
      </c>
      <c r="KF165" s="1251"/>
      <c r="KG165" s="1251">
        <f>KG164/KG69</f>
        <v>0.82692307692307687</v>
      </c>
      <c r="KH165" s="1251">
        <f>KH164/KH69</f>
        <v>0.83</v>
      </c>
      <c r="KI165" s="687"/>
      <c r="KJ165" s="686"/>
      <c r="KK165" s="1251"/>
      <c r="KL165" s="1251">
        <f>KL164/KL69</f>
        <v>0.7142857142857143</v>
      </c>
      <c r="KM165" s="1251">
        <f>KM164/KM69</f>
        <v>0.75609756097560976</v>
      </c>
      <c r="KN165" s="686"/>
      <c r="KO165" s="1251">
        <v>1.5638125</v>
      </c>
      <c r="KP165" s="1251">
        <v>9.6536585365853661E-2</v>
      </c>
      <c r="KQ165" s="1252">
        <v>0.73972602739726023</v>
      </c>
      <c r="KR165" s="1251">
        <v>0.81521739130434778</v>
      </c>
      <c r="KS165" s="1252">
        <v>0.78125</v>
      </c>
      <c r="KT165" s="805">
        <f t="shared" ref="KT165:LG165" si="482">KT164/KT69</f>
        <v>0.37933646417209516</v>
      </c>
      <c r="KU165" s="805">
        <f t="shared" si="482"/>
        <v>0.76666666666666672</v>
      </c>
      <c r="KV165" s="805">
        <f t="shared" si="482"/>
        <v>0.78378378378378377</v>
      </c>
      <c r="KW165" s="1249">
        <f t="shared" si="482"/>
        <v>0.77611940298507465</v>
      </c>
      <c r="KX165" s="805">
        <f t="shared" si="482"/>
        <v>1.0661643080316119</v>
      </c>
      <c r="KY165" s="805">
        <f t="shared" si="482"/>
        <v>0.84296712697054865</v>
      </c>
      <c r="KZ165" s="1249">
        <f t="shared" si="482"/>
        <v>0.82608695652173914</v>
      </c>
      <c r="LA165" s="805">
        <f t="shared" si="482"/>
        <v>0.8571428571428571</v>
      </c>
      <c r="LB165" s="805">
        <f t="shared" si="482"/>
        <v>0.84848484848484851</v>
      </c>
      <c r="LC165" s="1249">
        <f t="shared" si="482"/>
        <v>0.85245901639344257</v>
      </c>
      <c r="LD165" s="1249">
        <f t="shared" si="482"/>
        <v>0</v>
      </c>
      <c r="LE165" s="805">
        <f t="shared" si="482"/>
        <v>0.73401134363387444</v>
      </c>
      <c r="LF165" s="805">
        <f t="shared" si="482"/>
        <v>0.74523995826812728</v>
      </c>
      <c r="LG165" s="1249">
        <f t="shared" si="482"/>
        <v>0.77777777777777779</v>
      </c>
    </row>
    <row r="166" spans="1:319" s="1869" customFormat="1">
      <c r="B166" s="1870" t="s">
        <v>3</v>
      </c>
      <c r="C166" s="1871" t="s">
        <v>3</v>
      </c>
      <c r="D166" s="1872"/>
      <c r="G166" s="1871"/>
      <c r="J166" s="1871"/>
      <c r="K166" s="1873"/>
      <c r="L166" s="1873"/>
      <c r="M166" s="1873"/>
      <c r="N166" s="1873"/>
      <c r="O166" s="1873"/>
      <c r="P166" s="1873"/>
      <c r="Q166" s="1873"/>
      <c r="R166" s="1873"/>
      <c r="S166" s="1874"/>
      <c r="T166" s="1873">
        <f>+T164/T170</f>
        <v>50.80006481191856</v>
      </c>
      <c r="U166" s="1873">
        <f>+U164/U170</f>
        <v>43.734442235496836</v>
      </c>
      <c r="V166" s="1873">
        <f>+V164/V170</f>
        <v>67.133200656860211</v>
      </c>
      <c r="W166" s="2211">
        <f>+AA166-T166-U166-V166</f>
        <v>19.435355175586622</v>
      </c>
      <c r="X166" s="1873"/>
      <c r="Y166" s="1873"/>
      <c r="Z166" s="1873"/>
      <c r="AA166" s="1873">
        <f>+Model!R80</f>
        <v>181.10306287986222</v>
      </c>
      <c r="AB166" s="1874"/>
      <c r="AC166" s="1873">
        <f>+AC164/AC170</f>
        <v>39.188872169021174</v>
      </c>
      <c r="AD166" s="1873">
        <f>+AD164/AD170</f>
        <v>30.977217885852152</v>
      </c>
      <c r="AE166" s="1873">
        <f>+AE164/AE170</f>
        <v>51.384010711129157</v>
      </c>
      <c r="AF166" s="2211">
        <f>+AJ166-AC166-AD166-AE166</f>
        <v>-4.6972302667860788E-2</v>
      </c>
      <c r="AG166" s="1873"/>
      <c r="AH166" s="1873"/>
      <c r="AI166" s="1873"/>
      <c r="AJ166" s="1873">
        <f>+Model!S80</f>
        <v>121.50312846333462</v>
      </c>
      <c r="AK166" s="1872"/>
      <c r="AL166" s="1873">
        <f>+AL164/AL170</f>
        <v>35.002847456191063</v>
      </c>
      <c r="AM166" s="1873">
        <f>+AM164/AM170</f>
        <v>30.343631743342364</v>
      </c>
      <c r="AN166" s="1873">
        <f>+AN164/AN170</f>
        <v>52.856648843241537</v>
      </c>
      <c r="AO166" s="1873">
        <f>+AS166-AL166-AM166-AN166</f>
        <v>39.567210904467295</v>
      </c>
      <c r="AP166" s="1873"/>
      <c r="AQ166" s="1873"/>
      <c r="AR166" s="1873"/>
      <c r="AS166" s="1873">
        <f>+Model!T80</f>
        <v>157.77033894724227</v>
      </c>
      <c r="AT166" s="1872"/>
      <c r="AU166" s="1869">
        <f>+AU164/AU170</f>
        <v>35.005262389256579</v>
      </c>
      <c r="AV166" s="1869">
        <f>+AV164/AV170</f>
        <v>37.62869927972659</v>
      </c>
      <c r="AW166" s="1869">
        <f>+AW164/AW170</f>
        <v>69.198042457957143</v>
      </c>
      <c r="AX166" s="1873"/>
      <c r="AY166" s="1873">
        <f>+BE166-AU166-AV166-AW166</f>
        <v>27.313436108425577</v>
      </c>
      <c r="AZ166" s="1873"/>
      <c r="BA166" s="1873"/>
      <c r="BB166" s="1873"/>
      <c r="BC166" s="1873"/>
      <c r="BD166" s="1875"/>
      <c r="BE166" s="1873">
        <f>+Model!U80</f>
        <v>169.1454402353659</v>
      </c>
      <c r="BF166" s="1872"/>
      <c r="BG166" s="1873"/>
      <c r="BH166" s="1873"/>
      <c r="BI166" s="1873"/>
      <c r="BJ166" s="1872"/>
      <c r="BO166" s="1872"/>
      <c r="BP166" s="1876">
        <f>+BP164/BP170</f>
        <v>65.882515584191339</v>
      </c>
      <c r="BQ166" s="1875"/>
      <c r="BR166" s="1869">
        <f>+BR164/BR170</f>
        <v>49.747222720058879</v>
      </c>
      <c r="BS166" s="1875"/>
      <c r="BT166" s="1869">
        <f>+BT164/BT170</f>
        <v>73.734763689187844</v>
      </c>
      <c r="BU166" s="1873"/>
      <c r="BV166" s="1873">
        <f>+CE166-BP166-BR166-BT166</f>
        <v>33.095887197992596</v>
      </c>
      <c r="BW166" s="1875"/>
      <c r="BX166" s="1873"/>
      <c r="BY166" s="1873"/>
      <c r="BZ166" s="1875"/>
      <c r="CA166" s="1875"/>
      <c r="CB166" s="1873"/>
      <c r="CC166" s="1873"/>
      <c r="CD166" s="1873"/>
      <c r="CE166" s="1873">
        <f>+Model!V80</f>
        <v>222.46038919143066</v>
      </c>
      <c r="CF166" s="1872"/>
      <c r="CG166" s="1876">
        <f>+CG164/CG170</f>
        <v>32.17455646649347</v>
      </c>
      <c r="CJ166" s="1869">
        <f>+CJ164/CJ170</f>
        <v>43.953616548414239</v>
      </c>
      <c r="CL166" s="1869">
        <f>+CL164/CL170</f>
        <v>62.841236580022844</v>
      </c>
      <c r="CO166" s="1869">
        <f>+CW166-CG166-CJ166-CL166</f>
        <v>26.511673217869934</v>
      </c>
      <c r="CW166" s="1877">
        <f>+Model!W80</f>
        <v>165.48108281280048</v>
      </c>
      <c r="CX166" s="1878"/>
      <c r="CY166" s="1876">
        <f>+CY164/CY170</f>
        <v>40.879411210364367</v>
      </c>
      <c r="CZ166" s="1869">
        <f>+CZ164/CZ170</f>
        <v>40.27233971454578</v>
      </c>
      <c r="DA166" s="1878"/>
      <c r="DB166" s="1878"/>
      <c r="DC166" s="1869">
        <f>+DC164/DC170</f>
        <v>73.406693615353689</v>
      </c>
      <c r="DD166" s="1878"/>
      <c r="DE166" s="1878">
        <f>+DK166-CY166-CZ166-DC166</f>
        <v>25.241952638157514</v>
      </c>
      <c r="DF166" s="1878"/>
      <c r="DG166" s="1878"/>
      <c r="DH166" s="1878"/>
      <c r="DI166" s="1878"/>
      <c r="DJ166" s="1878"/>
      <c r="DK166" s="1878">
        <f>+Model!X80</f>
        <v>179.80039717842135</v>
      </c>
      <c r="DL166" s="1879"/>
      <c r="DM166" s="1880"/>
      <c r="DN166" s="1873"/>
      <c r="DO166" s="1873"/>
      <c r="DP166" s="1881"/>
      <c r="DQ166" s="1881"/>
      <c r="DR166" s="1881"/>
      <c r="DS166" s="1882"/>
      <c r="DT166" s="1880"/>
      <c r="DU166" s="1873"/>
      <c r="DV166" s="1883"/>
      <c r="DX166" s="1881"/>
      <c r="DY166" s="1881"/>
      <c r="DZ166" s="1884"/>
      <c r="EC166" s="1881"/>
      <c r="ED166" s="1879"/>
      <c r="EE166" s="1872"/>
      <c r="EG166" s="1876">
        <f>+EG164/EG170</f>
        <v>52.854466772796634</v>
      </c>
      <c r="EI166" s="1869">
        <f>+EI164/EI170</f>
        <v>43.415469742604721</v>
      </c>
      <c r="EM166" s="1869">
        <f>+EM164/EM170</f>
        <v>72.662652449226343</v>
      </c>
      <c r="EQ166" s="1869">
        <f>+EU166-EG166-EI166-EM166</f>
        <v>35.091855625404733</v>
      </c>
      <c r="EU166" s="1871">
        <f>+Model!Y80</f>
        <v>204.02444459003243</v>
      </c>
      <c r="EV166" s="1885"/>
      <c r="EX166" s="1869">
        <f>+EX164/EX170</f>
        <v>45.47183817634194</v>
      </c>
      <c r="EZ166" s="1869">
        <f>+EZ164/EZ170</f>
        <v>40.58586762294086</v>
      </c>
      <c r="FC166" s="1869">
        <f>+FC164/FC170</f>
        <v>73.279766776861123</v>
      </c>
      <c r="FD166" s="1886"/>
      <c r="FF166" s="1887"/>
      <c r="FG166" s="1869">
        <f>+FK166-EX166-EZ166-FC166</f>
        <v>21.129875876079524</v>
      </c>
      <c r="FK166" s="1871">
        <f>+Model!Z80</f>
        <v>180.46734845222346</v>
      </c>
      <c r="FL166" s="1879"/>
      <c r="FM166" s="1873"/>
      <c r="FN166" s="1881"/>
      <c r="FO166" s="1881"/>
      <c r="FP166" s="1881"/>
      <c r="FQ166" s="1882"/>
      <c r="FR166" s="1882"/>
      <c r="FS166" s="1869">
        <f>+FS164/FS170</f>
        <v>50.005368698581833</v>
      </c>
      <c r="FT166" s="1881"/>
      <c r="FU166" s="1868"/>
      <c r="FV166" s="1869">
        <f>+FV164/FV170</f>
        <v>33.506632403866661</v>
      </c>
      <c r="FW166" s="1881"/>
      <c r="FX166" s="1881"/>
      <c r="FZ166" s="1869">
        <f>+FZ164/FZ170</f>
        <v>60.776057080888471</v>
      </c>
      <c r="GB166" s="1869">
        <f>+GD166-FS166-FV166-FZ166</f>
        <v>36.248262173908365</v>
      </c>
      <c r="GD166" s="1871">
        <f>+Model!AA80</f>
        <v>180.53632035724533</v>
      </c>
      <c r="GH166" s="1881"/>
      <c r="GI166" s="1881"/>
      <c r="GJ166" s="1888"/>
      <c r="GK166" s="1881"/>
      <c r="GL166" s="1869">
        <f>+GL164/GL170</f>
        <v>46.617720377611171</v>
      </c>
      <c r="GO166" s="1869">
        <f>+GO164/GO170</f>
        <v>47.097507879922233</v>
      </c>
      <c r="GR166" s="1869">
        <f>+GR164/GR170</f>
        <v>75.160180974279214</v>
      </c>
      <c r="GT166" s="1869">
        <f>+GV166-GL166-GO166-GR166</f>
        <v>60.041978860640981</v>
      </c>
      <c r="GV166" s="1871">
        <f>+Model!AB80</f>
        <v>228.91738809245359</v>
      </c>
      <c r="HA166" s="1888"/>
      <c r="HB166" s="1881"/>
      <c r="HC166" s="1881"/>
      <c r="HD166" s="1869">
        <f>+HD164/HD170</f>
        <v>108.29540448353158</v>
      </c>
      <c r="HF166" s="1869">
        <f>+HF164/HF170</f>
        <v>35.680692037792866</v>
      </c>
      <c r="HN166" s="1869">
        <f>+HN164/HN170</f>
        <v>78.284064995102625</v>
      </c>
      <c r="HQ166" s="1889"/>
      <c r="HR166" s="1869">
        <f>+HV166-HD166-HF166-HN166</f>
        <v>62.382461298786581</v>
      </c>
      <c r="HV166" s="1869">
        <f>+Model!AC80</f>
        <v>284.64262281521366</v>
      </c>
      <c r="IC166" s="1888"/>
      <c r="ID166" s="1881"/>
      <c r="IE166" s="1876">
        <f>+IE164/IE170</f>
        <v>88.085763103288457</v>
      </c>
      <c r="IF166" s="1889">
        <f>+IF164/IF170</f>
        <v>19.377692883660277</v>
      </c>
      <c r="IG166" s="1890"/>
      <c r="IH166" s="1889">
        <f>+IH164/IH170</f>
        <v>72.242859068037149</v>
      </c>
      <c r="IJ166" s="1891"/>
      <c r="IK166" s="1892"/>
      <c r="IM166" s="1894">
        <f>+IR166-IE166-IF166-IH166</f>
        <v>39.76374611590461</v>
      </c>
      <c r="IN166" s="1892"/>
      <c r="IO166" s="1892"/>
      <c r="IP166" s="1871"/>
      <c r="IR166" s="1893">
        <f>+Model!AD80</f>
        <v>219.47006117089049</v>
      </c>
      <c r="IS166" s="1896"/>
      <c r="IT166" s="1892"/>
      <c r="IU166" s="1889">
        <f>+IU164/IU170</f>
        <v>84.688363468316794</v>
      </c>
      <c r="IV166" s="1889">
        <f t="shared" ref="IV166" si="483">+IV164/IV170</f>
        <v>64.830807552748922</v>
      </c>
      <c r="IW166" s="1892"/>
      <c r="IX166" s="1892"/>
      <c r="IY166" s="1892"/>
      <c r="IZ166" s="1889">
        <f>+IZ164/IZ170</f>
        <v>82.147908398152069</v>
      </c>
      <c r="JA166" s="1894"/>
      <c r="JB166" s="1894">
        <f>+JD166-IU166-IV166-IZ166</f>
        <v>92.692059879324162</v>
      </c>
      <c r="JC166" s="1894"/>
      <c r="JD166" s="1894">
        <f>+Model!AE80</f>
        <v>324.35913929854195</v>
      </c>
      <c r="JE166" s="1894"/>
      <c r="JF166" s="1894"/>
      <c r="JG166" s="1892"/>
      <c r="JH166" s="1895"/>
      <c r="JI166" s="1896"/>
      <c r="JJ166" s="1868">
        <f>+JJ164/JJ170</f>
        <v>102.32320479175749</v>
      </c>
      <c r="JK166" s="1881">
        <f>+JK164/JK170</f>
        <v>91.062756417544932</v>
      </c>
      <c r="JL166" s="1881">
        <f>+JL164/JL170</f>
        <v>107.93409183821355</v>
      </c>
      <c r="JM166" s="1881">
        <f t="shared" si="459"/>
        <v>138.15590816178644</v>
      </c>
      <c r="JN166" s="1881">
        <f t="shared" si="460"/>
        <v>144.64000000000001</v>
      </c>
      <c r="JO166" s="1881"/>
      <c r="JP166" s="1881">
        <v>246.09</v>
      </c>
      <c r="JQ166" s="1881"/>
      <c r="JR166" s="1881"/>
      <c r="JS166" s="1881">
        <v>390.73</v>
      </c>
      <c r="JT166" s="1881">
        <f t="shared" ref="JT166" si="484">+JT164/JT170</f>
        <v>134.63579577862828</v>
      </c>
      <c r="JU166" s="1881">
        <f>+JX166-SUM(JL166:JN166)</f>
        <v>87.104678836149787</v>
      </c>
      <c r="JV166" s="1897">
        <f>+JL166+JK166</f>
        <v>198.99684825575849</v>
      </c>
      <c r="JW166" s="1897">
        <f>+JN166+JU166</f>
        <v>231.7446788361498</v>
      </c>
      <c r="JX166" s="1897">
        <f>+Model!AF80</f>
        <v>477.83467883614981</v>
      </c>
      <c r="JY166" s="1897">
        <f>+JP166+JT166</f>
        <v>380.72579577862825</v>
      </c>
      <c r="JZ166" s="1900"/>
      <c r="KA166" s="1898"/>
      <c r="KB166" s="1899"/>
      <c r="KC166" s="1899">
        <f t="shared" ref="KC166:KD166" si="485">+KC164/KC170</f>
        <v>195.83388476891383</v>
      </c>
      <c r="KD166" s="1899">
        <f t="shared" si="485"/>
        <v>210.52142612658238</v>
      </c>
      <c r="KE166" s="1899" t="e">
        <f t="shared" ref="KE166" si="486">+KE164/KE170</f>
        <v>#DIV/0!</v>
      </c>
      <c r="KF166" s="1899"/>
      <c r="KG166" s="1899">
        <v>421.04</v>
      </c>
      <c r="KH166" s="1899">
        <f t="shared" ref="KH166" si="487">+KH164/KH170</f>
        <v>406.35531089549625</v>
      </c>
      <c r="KI166" s="1898"/>
      <c r="KJ166" s="1900"/>
      <c r="KK166" s="1892"/>
      <c r="KL166" s="1881"/>
      <c r="KM166" s="1899"/>
      <c r="KN166" s="1900"/>
      <c r="KO166" s="1899"/>
      <c r="KP166" s="1881"/>
      <c r="KQ166" s="1882"/>
      <c r="KR166" s="1881"/>
      <c r="KS166" s="1882"/>
      <c r="KT166" s="1881"/>
      <c r="KU166" s="1881"/>
      <c r="KV166" s="1881"/>
      <c r="KW166" s="1882"/>
      <c r="KX166" s="1881"/>
      <c r="KY166" s="1881"/>
      <c r="KZ166" s="1882"/>
      <c r="LA166" s="1881"/>
      <c r="LB166" s="1881"/>
      <c r="LC166" s="1882"/>
      <c r="LD166" s="1882"/>
      <c r="LE166" s="1881"/>
      <c r="LF166" s="1881"/>
      <c r="LG166" s="1882"/>
    </row>
    <row r="167" spans="1:319">
      <c r="A167" s="23"/>
      <c r="B167" s="697"/>
      <c r="C167" s="355"/>
      <c r="D167" s="1257"/>
      <c r="E167" s="812"/>
      <c r="F167" s="812"/>
      <c r="G167" s="815"/>
      <c r="H167" s="812"/>
      <c r="I167" s="812"/>
      <c r="J167" s="815"/>
      <c r="K167" s="23"/>
      <c r="L167" s="23"/>
      <c r="M167" s="23"/>
      <c r="N167" s="23"/>
      <c r="O167" s="23"/>
      <c r="P167" s="23"/>
      <c r="Q167" s="23"/>
      <c r="R167" s="23"/>
      <c r="S167" s="1257"/>
      <c r="T167" s="23"/>
      <c r="U167" s="23"/>
      <c r="V167" s="23"/>
      <c r="W167" s="23"/>
      <c r="X167" s="23"/>
      <c r="Y167" s="23"/>
      <c r="Z167" s="23"/>
      <c r="AA167" s="23"/>
      <c r="AB167" s="1257"/>
      <c r="AC167" s="23"/>
      <c r="AD167" s="23"/>
      <c r="AE167" s="23"/>
      <c r="AF167" s="23"/>
      <c r="AG167" s="23"/>
      <c r="AH167" s="23"/>
      <c r="AI167" s="23"/>
      <c r="AJ167" s="23"/>
      <c r="AK167" s="1257"/>
      <c r="AL167" s="23"/>
      <c r="AM167" s="23"/>
      <c r="AN167" s="23"/>
      <c r="AO167" s="23"/>
      <c r="AP167" s="23"/>
      <c r="AQ167" s="23"/>
      <c r="AR167" s="23"/>
      <c r="AS167" s="23"/>
      <c r="AT167" s="1257"/>
      <c r="AU167" s="23"/>
      <c r="AV167" s="23"/>
      <c r="AW167" s="23"/>
      <c r="AX167" s="23"/>
      <c r="AY167" s="23"/>
      <c r="AZ167" s="23"/>
      <c r="BA167" s="23"/>
      <c r="BB167" s="334"/>
      <c r="BC167" s="334"/>
      <c r="BD167" s="1258"/>
      <c r="BE167" s="23"/>
      <c r="BF167" s="1257"/>
      <c r="BG167" s="23"/>
      <c r="BH167" s="23"/>
      <c r="BI167" s="23"/>
      <c r="BJ167" s="1257"/>
      <c r="BO167" s="1257"/>
      <c r="BP167" s="23"/>
      <c r="BQ167" s="1258"/>
      <c r="BR167" s="23"/>
      <c r="BS167" s="1258"/>
      <c r="BT167" s="23"/>
      <c r="BU167" s="23"/>
      <c r="BV167" s="23"/>
      <c r="BW167" s="1258"/>
      <c r="BX167" s="23"/>
      <c r="BY167" s="23"/>
      <c r="BZ167" s="1258"/>
      <c r="CA167" s="1258"/>
      <c r="CB167" s="1258"/>
      <c r="CC167" s="23"/>
      <c r="CD167" s="23"/>
      <c r="CE167" s="23"/>
      <c r="CF167" s="1257"/>
      <c r="CG167" s="1259"/>
      <c r="CH167" s="812"/>
      <c r="CI167" s="812"/>
      <c r="CJ167" s="812"/>
      <c r="CK167" s="812"/>
      <c r="CL167" s="1260"/>
      <c r="CM167" s="812"/>
      <c r="CN167" s="812"/>
      <c r="CO167" s="812"/>
      <c r="CP167" s="812"/>
      <c r="CQ167" s="812"/>
      <c r="CR167" s="812"/>
      <c r="CS167" s="812"/>
      <c r="CT167" s="812"/>
      <c r="CU167" s="812"/>
      <c r="CV167" s="812"/>
      <c r="CW167" s="815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355"/>
      <c r="DM167" s="355"/>
      <c r="DN167" s="23"/>
      <c r="DO167" s="23"/>
      <c r="DP167" s="23"/>
      <c r="DQ167" s="23"/>
      <c r="DR167" s="23"/>
      <c r="DS167" s="355"/>
      <c r="DT167" s="355"/>
      <c r="DU167" s="23"/>
      <c r="DV167" s="23"/>
      <c r="DX167" s="23"/>
      <c r="DY167" s="23"/>
      <c r="DZ167" s="1262"/>
      <c r="EC167" s="23"/>
      <c r="ED167" s="355"/>
      <c r="EE167" s="1257"/>
      <c r="EV167" s="23"/>
      <c r="FD167" s="1847"/>
      <c r="FF167" s="1263"/>
      <c r="FG167" s="1263"/>
      <c r="FN167" s="23"/>
      <c r="FO167" s="23"/>
      <c r="FP167" s="23"/>
      <c r="FQ167" s="355"/>
      <c r="FR167" s="355"/>
      <c r="FS167" s="23"/>
      <c r="FT167" s="23"/>
      <c r="FU167" s="23"/>
      <c r="FW167" s="23"/>
      <c r="FX167" s="23"/>
      <c r="GH167" s="23"/>
      <c r="GI167" s="23"/>
      <c r="GJ167" s="1262"/>
      <c r="GK167" s="23"/>
      <c r="GL167" s="23"/>
      <c r="GM167" s="23"/>
      <c r="GN167" s="23"/>
      <c r="GO167" s="23"/>
      <c r="GP167" s="23"/>
      <c r="GQ167" s="23"/>
      <c r="GX167" s="23"/>
      <c r="GY167" s="23"/>
      <c r="GZ167" s="23"/>
      <c r="HA167" s="1262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W167" s="23"/>
      <c r="HX167" s="23"/>
      <c r="HY167" s="23"/>
      <c r="IA167" s="23"/>
      <c r="IB167" s="23"/>
      <c r="IC167" s="1262"/>
      <c r="ID167" s="23"/>
      <c r="IE167" s="1264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355"/>
      <c r="IQ167" s="23"/>
      <c r="IR167" s="355"/>
      <c r="IS167" s="1264"/>
      <c r="IT167" s="23"/>
      <c r="IU167" s="23"/>
      <c r="IV167" s="23"/>
      <c r="IW167" s="23"/>
      <c r="IX167" s="23"/>
      <c r="IY167" s="23"/>
      <c r="IZ167" s="23"/>
      <c r="JA167" s="23"/>
      <c r="JB167" s="23"/>
      <c r="JC167" s="23"/>
      <c r="JD167" s="23"/>
      <c r="JE167" s="23"/>
      <c r="JF167" s="23"/>
      <c r="JG167" s="23"/>
      <c r="JH167" s="355"/>
      <c r="JI167" s="1264"/>
      <c r="JJ167" s="1264"/>
      <c r="JK167" s="23"/>
      <c r="JL167" s="23"/>
      <c r="JM167" s="23"/>
      <c r="JN167" s="23"/>
      <c r="JO167" s="23"/>
      <c r="JP167" s="23"/>
      <c r="JQ167" s="23"/>
      <c r="JR167" s="23"/>
      <c r="JS167" s="23"/>
      <c r="JT167" s="23"/>
      <c r="JU167" s="23"/>
      <c r="JV167" s="23"/>
      <c r="JW167" s="23"/>
      <c r="JX167" s="23"/>
      <c r="JY167" s="23"/>
      <c r="JZ167" s="23"/>
      <c r="KA167" s="355"/>
      <c r="KB167" s="23"/>
      <c r="KC167" s="23"/>
      <c r="KD167" s="23"/>
      <c r="KE167" s="23"/>
      <c r="KF167" s="23"/>
      <c r="KG167" s="23"/>
      <c r="KH167" s="23"/>
      <c r="KI167" s="355"/>
      <c r="KJ167" s="23"/>
      <c r="KK167" s="23"/>
      <c r="KL167" s="23"/>
      <c r="KM167" s="23"/>
      <c r="KN167" s="23"/>
      <c r="KO167" s="23"/>
      <c r="KP167" s="23"/>
      <c r="KQ167" s="355"/>
      <c r="KR167" s="23"/>
      <c r="KS167" s="355"/>
      <c r="KT167" s="23"/>
      <c r="KU167" s="23"/>
      <c r="KV167" s="23"/>
      <c r="KW167" s="355"/>
      <c r="KX167" s="23"/>
      <c r="KY167" s="23"/>
      <c r="KZ167" s="355"/>
      <c r="LA167" s="23"/>
      <c r="LB167" s="23"/>
      <c r="LC167" s="355"/>
      <c r="LD167" s="355"/>
      <c r="LE167" s="23"/>
      <c r="LF167" s="23"/>
      <c r="LG167" s="355"/>
    </row>
    <row r="168" spans="1:319" s="1856" customFormat="1">
      <c r="A168" s="1848"/>
      <c r="B168" s="1313" t="s">
        <v>1</v>
      </c>
      <c r="C168" s="1850" t="s">
        <v>1445</v>
      </c>
      <c r="D168" s="1851"/>
      <c r="E168" s="1852"/>
      <c r="F168" s="1852"/>
      <c r="G168" s="1853"/>
      <c r="H168" s="1852"/>
      <c r="I168" s="1852"/>
      <c r="J168" s="1853"/>
      <c r="K168" s="1848"/>
      <c r="L168" s="1848"/>
      <c r="M168" s="1848"/>
      <c r="N168" s="1848"/>
      <c r="O168" s="1848"/>
      <c r="P168" s="1848"/>
      <c r="Q168" s="1848"/>
      <c r="R168" s="1848"/>
      <c r="S168" s="1851"/>
      <c r="T168" s="1848">
        <f>+$AA168</f>
        <v>110.88104399999999</v>
      </c>
      <c r="U168" s="1848">
        <f>+$AA168</f>
        <v>110.88104399999999</v>
      </c>
      <c r="V168" s="1848">
        <f>+$AA168</f>
        <v>110.88104399999999</v>
      </c>
      <c r="W168" s="1848"/>
      <c r="X168" s="1848"/>
      <c r="Y168" s="1848"/>
      <c r="Z168" s="1848"/>
      <c r="AA168" s="1848">
        <f>+Model!R89</f>
        <v>110.88104399999999</v>
      </c>
      <c r="AB168" s="1851"/>
      <c r="AC168" s="1848">
        <f>+$AJ168</f>
        <v>110.881044</v>
      </c>
      <c r="AD168" s="1848">
        <f>+$AJ168</f>
        <v>110.881044</v>
      </c>
      <c r="AE168" s="1848">
        <f>+$AJ168</f>
        <v>110.881044</v>
      </c>
      <c r="AF168" s="1848"/>
      <c r="AG168" s="1848"/>
      <c r="AH168" s="1848"/>
      <c r="AI168" s="1848"/>
      <c r="AJ168" s="1848">
        <f>+Model!S89</f>
        <v>110.881044</v>
      </c>
      <c r="AK168" s="1851"/>
      <c r="AL168" s="1848">
        <f>+$AS168</f>
        <v>110.881044</v>
      </c>
      <c r="AM168" s="1848">
        <f>+$AS168</f>
        <v>110.881044</v>
      </c>
      <c r="AN168" s="1848">
        <f>+$AS168</f>
        <v>110.881044</v>
      </c>
      <c r="AO168" s="1848"/>
      <c r="AP168" s="1848"/>
      <c r="AQ168" s="1848"/>
      <c r="AR168" s="1848"/>
      <c r="AS168" s="1848">
        <f>+Model!T89</f>
        <v>110.881044</v>
      </c>
      <c r="AT168" s="1851"/>
      <c r="AU168" s="1848">
        <f>+$BE168</f>
        <v>110.881044</v>
      </c>
      <c r="AV168" s="1848">
        <f>+$BE168</f>
        <v>110.881044</v>
      </c>
      <c r="AW168" s="1848">
        <f>+$BE168</f>
        <v>110.881044</v>
      </c>
      <c r="AX168" s="1848"/>
      <c r="AY168" s="1848"/>
      <c r="AZ168" s="1848"/>
      <c r="BA168" s="1848"/>
      <c r="BB168" s="1854"/>
      <c r="BC168" s="1854"/>
      <c r="BD168" s="1855"/>
      <c r="BE168" s="1848">
        <f>+Model!U89</f>
        <v>110.881044</v>
      </c>
      <c r="BF168" s="1851"/>
      <c r="BG168" s="1848"/>
      <c r="BH168" s="1848"/>
      <c r="BI168" s="1848"/>
      <c r="BJ168" s="1851"/>
      <c r="BM168" s="1848"/>
      <c r="BO168" s="1851"/>
      <c r="BP168" s="1848">
        <f>+$CE168</f>
        <v>110.881044</v>
      </c>
      <c r="BQ168" s="1855"/>
      <c r="BR168" s="1848">
        <f>+$CE168</f>
        <v>110.881044</v>
      </c>
      <c r="BS168" s="1855"/>
      <c r="BT168" s="1848">
        <f>+$CE168</f>
        <v>110.881044</v>
      </c>
      <c r="BU168" s="1848"/>
      <c r="BV168" s="1848"/>
      <c r="BW168" s="1855"/>
      <c r="BX168" s="1848"/>
      <c r="BY168" s="1848"/>
      <c r="BZ168" s="1855"/>
      <c r="CA168" s="1855"/>
      <c r="CB168" s="1855"/>
      <c r="CC168" s="1848"/>
      <c r="CD168" s="1848"/>
      <c r="CE168" s="1848">
        <f>+Model!V89</f>
        <v>110.881044</v>
      </c>
      <c r="CF168" s="1851"/>
      <c r="CG168" s="1857">
        <f>+$CW168</f>
        <v>110.881044</v>
      </c>
      <c r="CH168" s="1852"/>
      <c r="CI168" s="1852"/>
      <c r="CJ168" s="1852">
        <f>+$CW168</f>
        <v>110.881044</v>
      </c>
      <c r="CK168" s="1852"/>
      <c r="CL168" s="1852">
        <f>+$CW168</f>
        <v>110.881044</v>
      </c>
      <c r="CM168" s="1852"/>
      <c r="CN168" s="1852"/>
      <c r="CO168" s="1852"/>
      <c r="CP168" s="1852"/>
      <c r="CQ168" s="1852"/>
      <c r="CR168" s="1852"/>
      <c r="CS168" s="1852"/>
      <c r="CT168" s="1852"/>
      <c r="CU168" s="1852"/>
      <c r="CV168" s="1852"/>
      <c r="CW168" s="1853">
        <f>+Model!W89</f>
        <v>110.881044</v>
      </c>
      <c r="CX168" s="1858"/>
      <c r="CY168" s="1862">
        <f>+$DK168</f>
        <v>110.881044</v>
      </c>
      <c r="CZ168" s="1848">
        <f>+$DK168</f>
        <v>110.881044</v>
      </c>
      <c r="DA168" s="1858"/>
      <c r="DB168" s="1858"/>
      <c r="DC168" s="1848">
        <f>+$DK168</f>
        <v>110.881044</v>
      </c>
      <c r="DD168" s="1858"/>
      <c r="DE168" s="1858"/>
      <c r="DF168" s="1858"/>
      <c r="DG168" s="1858"/>
      <c r="DH168" s="1858"/>
      <c r="DI168" s="1858"/>
      <c r="DJ168" s="1858"/>
      <c r="DK168" s="1858">
        <f>+Model!X89</f>
        <v>110.881044</v>
      </c>
      <c r="DL168" s="1850"/>
      <c r="DM168" s="1859"/>
      <c r="DN168" s="1848"/>
      <c r="DO168" s="1848"/>
      <c r="DP168" s="1848"/>
      <c r="DQ168" s="1848"/>
      <c r="DR168" s="1848"/>
      <c r="DS168" s="1850"/>
      <c r="DT168" s="1859"/>
      <c r="DU168" s="1848"/>
      <c r="DV168" s="1848"/>
      <c r="DW168" s="1849"/>
      <c r="DX168" s="1848"/>
      <c r="DY168" s="1848"/>
      <c r="DZ168" s="1860"/>
      <c r="EA168" s="1861"/>
      <c r="EB168" s="1861"/>
      <c r="EC168" s="1848"/>
      <c r="ED168" s="1850"/>
      <c r="EE168" s="1851"/>
      <c r="EG168" s="1862">
        <f>+$EU168</f>
        <v>110.881044</v>
      </c>
      <c r="EI168" s="1848">
        <f>+$EU168</f>
        <v>110.881044</v>
      </c>
      <c r="EM168" s="1848">
        <f>+$EU168</f>
        <v>110.881044</v>
      </c>
      <c r="EU168" s="1850">
        <f>+Model!Y89</f>
        <v>110.881044</v>
      </c>
      <c r="EV168" s="1858"/>
      <c r="EX168" s="1856">
        <f>+$FK168</f>
        <v>110.881044</v>
      </c>
      <c r="EZ168" s="1856">
        <f>+$FK168</f>
        <v>110.881044</v>
      </c>
      <c r="FC168" s="1856">
        <f>+$FK168</f>
        <v>110.881044</v>
      </c>
      <c r="FD168" s="1863"/>
      <c r="FE168" s="1864"/>
      <c r="FF168" s="1865"/>
      <c r="FG168" s="1865"/>
      <c r="FH168" s="1864"/>
      <c r="FK168" s="1850">
        <f>+Model!Z89</f>
        <v>110.881044</v>
      </c>
      <c r="FN168" s="1848"/>
      <c r="FO168" s="1848"/>
      <c r="FP168" s="1848"/>
      <c r="FQ168" s="1850"/>
      <c r="FR168" s="1850"/>
      <c r="FS168" s="1848">
        <f>+$GD168</f>
        <v>110.88118200000001</v>
      </c>
      <c r="FT168" s="1848"/>
      <c r="FU168" s="1848"/>
      <c r="FV168" s="1848">
        <f>+$GD168</f>
        <v>110.88118200000001</v>
      </c>
      <c r="FW168" s="1848"/>
      <c r="FX168" s="1848"/>
      <c r="FY168" s="1848"/>
      <c r="FZ168" s="1848">
        <f>+$GD168</f>
        <v>110.88118200000001</v>
      </c>
      <c r="GA168" s="1864"/>
      <c r="GD168" s="1850">
        <f>+Model!AA89</f>
        <v>110.88118200000001</v>
      </c>
      <c r="GE168" s="1864"/>
      <c r="GF168" s="1848"/>
      <c r="GG168" s="1848"/>
      <c r="GH168" s="1848"/>
      <c r="GI168" s="1848"/>
      <c r="GJ168" s="1866"/>
      <c r="GK168" s="1848"/>
      <c r="GL168" s="1848">
        <f>+$GV168</f>
        <v>110.881236</v>
      </c>
      <c r="GM168" s="1848"/>
      <c r="GN168" s="1848"/>
      <c r="GO168" s="1848">
        <f>+$GV168</f>
        <v>110.881236</v>
      </c>
      <c r="GP168" s="1848"/>
      <c r="GQ168" s="1848"/>
      <c r="GR168" s="1848">
        <f>+$GV168</f>
        <v>110.881236</v>
      </c>
      <c r="GS168" s="1864"/>
      <c r="GV168" s="1850">
        <f>+Model!AB89</f>
        <v>110.881236</v>
      </c>
      <c r="GW168" s="1864"/>
      <c r="GX168" s="1848"/>
      <c r="GY168" s="1848"/>
      <c r="GZ168" s="1848"/>
      <c r="HA168" s="1866"/>
      <c r="HB168" s="1848"/>
      <c r="HC168" s="1848"/>
      <c r="HD168" s="1848">
        <f>+$HV168</f>
        <v>110.88122799999999</v>
      </c>
      <c r="HE168" s="1848"/>
      <c r="HF168" s="1848">
        <f>+$HV168</f>
        <v>110.88122799999999</v>
      </c>
      <c r="HG168" s="1848"/>
      <c r="HH168" s="1848"/>
      <c r="HI168" s="1848"/>
      <c r="HJ168" s="1848"/>
      <c r="HK168" s="1848"/>
      <c r="HL168" s="1848"/>
      <c r="HM168" s="1848"/>
      <c r="HN168" s="1848">
        <f>+$HV168</f>
        <v>110.88122799999999</v>
      </c>
      <c r="HP168" s="1864"/>
      <c r="HQ168" s="1864"/>
      <c r="HV168" s="1856">
        <f>+Model!AC89</f>
        <v>110.88122799999999</v>
      </c>
      <c r="HW168" s="1848"/>
      <c r="HX168" s="1848"/>
      <c r="HY168" s="1848"/>
      <c r="IA168" s="1848"/>
      <c r="IB168" s="1848"/>
      <c r="IC168" s="1866"/>
      <c r="ID168" s="1848"/>
      <c r="IE168" s="1862">
        <f>+$IR168</f>
        <v>110.881044</v>
      </c>
      <c r="IF168" s="1848">
        <f>+$IR168</f>
        <v>110.881044</v>
      </c>
      <c r="IG168" s="1848"/>
      <c r="IH168" s="1848">
        <f>+$IR168</f>
        <v>110.881044</v>
      </c>
      <c r="II168" s="1848"/>
      <c r="IJ168" s="1848"/>
      <c r="IK168" s="1848"/>
      <c r="IL168" s="1848"/>
      <c r="IM168" s="1848"/>
      <c r="IN168" s="1848"/>
      <c r="IO168" s="1848"/>
      <c r="IP168" s="1850"/>
      <c r="IQ168" s="1848"/>
      <c r="IR168" s="1850">
        <v>110.881044</v>
      </c>
      <c r="IS168" s="1867"/>
      <c r="IT168" s="1848"/>
      <c r="IU168" s="1848">
        <f>+$JD168</f>
        <v>110.881044</v>
      </c>
      <c r="IV168" s="1848">
        <f>+$JD168</f>
        <v>110.881044</v>
      </c>
      <c r="IW168" s="1848"/>
      <c r="IX168" s="1848"/>
      <c r="IY168" s="1848"/>
      <c r="IZ168" s="1848">
        <f>+$JD168</f>
        <v>110.881044</v>
      </c>
      <c r="JA168" s="1848"/>
      <c r="JB168" s="1848"/>
      <c r="JC168" s="1848"/>
      <c r="JD168" s="1848">
        <v>110.881044</v>
      </c>
      <c r="JE168" s="1848"/>
      <c r="JF168" s="1848"/>
      <c r="JG168" s="1848"/>
      <c r="JH168" s="1850"/>
      <c r="JI168" s="1867"/>
      <c r="JJ168" s="1862">
        <f>+$JD168</f>
        <v>110.881044</v>
      </c>
      <c r="JK168" s="1848">
        <f>+$JD168</f>
        <v>110.881044</v>
      </c>
      <c r="JL168" s="1848">
        <v>110.881044</v>
      </c>
      <c r="JM168" s="1848">
        <f>+JP168</f>
        <v>110.881044</v>
      </c>
      <c r="JN168" s="1848">
        <f>+JS168</f>
        <v>110.881044</v>
      </c>
      <c r="JO168" s="1848"/>
      <c r="JP168" s="1848">
        <v>110.881044</v>
      </c>
      <c r="JQ168" s="1848"/>
      <c r="JR168" s="1848"/>
      <c r="JS168" s="1848">
        <v>110.881044</v>
      </c>
      <c r="JT168" s="1848">
        <f>+$JD168</f>
        <v>110.881044</v>
      </c>
      <c r="JU168" s="1848">
        <f>+$JD168</f>
        <v>110.881044</v>
      </c>
      <c r="JV168" s="1848"/>
      <c r="JW168" s="1848"/>
      <c r="JX168" s="1848"/>
      <c r="JY168" s="1848"/>
      <c r="JZ168" s="1858"/>
      <c r="KA168" s="1859"/>
      <c r="KB168" s="1848"/>
      <c r="KC168" s="1848">
        <f>+$JD168</f>
        <v>110.881044</v>
      </c>
      <c r="KD168" s="1848">
        <f>+$JD168</f>
        <v>110.881044</v>
      </c>
      <c r="KE168" s="1848">
        <f>+$JC168</f>
        <v>0</v>
      </c>
      <c r="KF168" s="1848"/>
      <c r="KG168" s="1848"/>
      <c r="KH168" s="1848">
        <f>+$JD168</f>
        <v>110.881044</v>
      </c>
      <c r="KI168" s="1859"/>
      <c r="KJ168" s="1858"/>
      <c r="KK168" s="1848"/>
      <c r="KL168" s="1848"/>
      <c r="KM168" s="1848"/>
      <c r="KN168" s="1858"/>
      <c r="KO168" s="1848"/>
      <c r="KP168" s="1848"/>
      <c r="KQ168" s="1850"/>
      <c r="KR168" s="1848"/>
      <c r="KS168" s="1850"/>
      <c r="KT168" s="1848"/>
      <c r="KU168" s="1848"/>
      <c r="KV168" s="1848"/>
      <c r="KW168" s="1850"/>
      <c r="KX168" s="1848"/>
      <c r="KY168" s="1848"/>
      <c r="KZ168" s="1850"/>
      <c r="LA168" s="1848"/>
      <c r="LB168" s="1848"/>
      <c r="LC168" s="1850"/>
      <c r="LD168" s="1850"/>
      <c r="LE168" s="1848"/>
      <c r="LF168" s="1848"/>
      <c r="LG168" s="1850"/>
    </row>
    <row r="169" spans="1:319" s="1856" customFormat="1">
      <c r="A169" s="1848"/>
      <c r="B169" s="1313" t="s">
        <v>128</v>
      </c>
      <c r="C169" s="1850" t="s">
        <v>1446</v>
      </c>
      <c r="D169" s="1851"/>
      <c r="E169" s="1852"/>
      <c r="F169" s="1852"/>
      <c r="G169" s="1853"/>
      <c r="H169" s="1852"/>
      <c r="I169" s="1852"/>
      <c r="J169" s="1853"/>
      <c r="K169" s="1848"/>
      <c r="L169" s="1848"/>
      <c r="M169" s="1848"/>
      <c r="N169" s="1848"/>
      <c r="O169" s="1848"/>
      <c r="P169" s="1848"/>
      <c r="Q169" s="1848"/>
      <c r="R169" s="1848"/>
      <c r="S169" s="1851"/>
      <c r="T169" s="1848">
        <f t="shared" ref="T169:V170" si="488">+$AA169</f>
        <v>8.6961349999999999</v>
      </c>
      <c r="U169" s="1848">
        <f t="shared" si="488"/>
        <v>8.6961349999999999</v>
      </c>
      <c r="V169" s="1848">
        <f t="shared" si="488"/>
        <v>8.6961349999999999</v>
      </c>
      <c r="W169" s="1848"/>
      <c r="X169" s="1848"/>
      <c r="Y169" s="1848"/>
      <c r="Z169" s="1848"/>
      <c r="AA169" s="1848">
        <f>+Model!R88</f>
        <v>8.6961349999999999</v>
      </c>
      <c r="AB169" s="1851"/>
      <c r="AC169" s="1848">
        <f t="shared" ref="AC169:AE170" si="489">+$AJ169</f>
        <v>8.7091829999999995</v>
      </c>
      <c r="AD169" s="1848">
        <f t="shared" si="489"/>
        <v>8.7091829999999995</v>
      </c>
      <c r="AE169" s="1848">
        <f t="shared" si="489"/>
        <v>8.7091829999999995</v>
      </c>
      <c r="AF169" s="1848"/>
      <c r="AG169" s="1848"/>
      <c r="AH169" s="1848"/>
      <c r="AI169" s="1848"/>
      <c r="AJ169" s="1848">
        <f>+Model!S88</f>
        <v>8.7091829999999995</v>
      </c>
      <c r="AK169" s="1851"/>
      <c r="AL169" s="1848">
        <f t="shared" ref="AL169:AN170" si="490">+$AS169</f>
        <v>8.7179269999999995</v>
      </c>
      <c r="AM169" s="1848">
        <f t="shared" si="490"/>
        <v>8.7179269999999995</v>
      </c>
      <c r="AN169" s="1848">
        <f t="shared" si="490"/>
        <v>8.7179269999999995</v>
      </c>
      <c r="AO169" s="1848"/>
      <c r="AP169" s="1848"/>
      <c r="AQ169" s="1848"/>
      <c r="AR169" s="1848"/>
      <c r="AS169" s="1848">
        <f>+Model!T88</f>
        <v>8.7179269999999995</v>
      </c>
      <c r="AT169" s="1851"/>
      <c r="AU169" s="1848">
        <f t="shared" ref="AU169:AW170" si="491">+$BE169</f>
        <v>8.7249750000000006</v>
      </c>
      <c r="AV169" s="1848">
        <f t="shared" si="491"/>
        <v>8.7249750000000006</v>
      </c>
      <c r="AW169" s="1848">
        <f t="shared" si="491"/>
        <v>8.7249750000000006</v>
      </c>
      <c r="AX169" s="1848"/>
      <c r="AY169" s="1848"/>
      <c r="AZ169" s="1848"/>
      <c r="BA169" s="1848"/>
      <c r="BB169" s="1854"/>
      <c r="BC169" s="1854"/>
      <c r="BD169" s="1855"/>
      <c r="BE169" s="1848">
        <f>+Model!U88</f>
        <v>8.7249750000000006</v>
      </c>
      <c r="BF169" s="1851"/>
      <c r="BG169" s="1848"/>
      <c r="BH169" s="1848"/>
      <c r="BI169" s="1848"/>
      <c r="BJ169" s="1851"/>
      <c r="BM169" s="1848"/>
      <c r="BO169" s="1851"/>
      <c r="BP169" s="1848">
        <f>+$CE169</f>
        <v>8.7446889999999993</v>
      </c>
      <c r="BQ169" s="1855"/>
      <c r="BR169" s="1848">
        <f>+$CE169</f>
        <v>8.7446889999999993</v>
      </c>
      <c r="BS169" s="1855"/>
      <c r="BT169" s="1848">
        <f>+$CE169</f>
        <v>8.7446889999999993</v>
      </c>
      <c r="BU169" s="1848"/>
      <c r="BV169" s="1848"/>
      <c r="BW169" s="1855"/>
      <c r="BX169" s="1848"/>
      <c r="BY169" s="1848"/>
      <c r="BZ169" s="1855"/>
      <c r="CA169" s="1855"/>
      <c r="CB169" s="1855"/>
      <c r="CC169" s="1848"/>
      <c r="CD169" s="1848"/>
      <c r="CE169" s="1848">
        <f>+Model!V88</f>
        <v>8.7446889999999993</v>
      </c>
      <c r="CF169" s="1851"/>
      <c r="CG169" s="1857">
        <f>+$CW169</f>
        <v>8.7506540000000008</v>
      </c>
      <c r="CH169" s="1852"/>
      <c r="CI169" s="1852"/>
      <c r="CJ169" s="1852">
        <f>+$CW169</f>
        <v>8.7506540000000008</v>
      </c>
      <c r="CK169" s="1852"/>
      <c r="CL169" s="1852">
        <f>+$CW169</f>
        <v>8.7506540000000008</v>
      </c>
      <c r="CM169" s="1852"/>
      <c r="CN169" s="1852"/>
      <c r="CO169" s="1852"/>
      <c r="CP169" s="1852"/>
      <c r="CQ169" s="1852"/>
      <c r="CR169" s="1852"/>
      <c r="CS169" s="1852"/>
      <c r="CT169" s="1852"/>
      <c r="CU169" s="1852"/>
      <c r="CV169" s="1852"/>
      <c r="CW169" s="1853">
        <f>+Model!W88</f>
        <v>8.7506540000000008</v>
      </c>
      <c r="CX169" s="1858"/>
      <c r="CY169" s="1862">
        <f t="shared" ref="CY169:CZ170" si="492">+$DK169</f>
        <v>8.7513930000000002</v>
      </c>
      <c r="CZ169" s="1848">
        <f t="shared" si="492"/>
        <v>8.7513930000000002</v>
      </c>
      <c r="DA169" s="1858"/>
      <c r="DB169" s="1858"/>
      <c r="DC169" s="1848">
        <f t="shared" ref="DC169:DC170" si="493">+$DK169</f>
        <v>8.7513930000000002</v>
      </c>
      <c r="DD169" s="1858"/>
      <c r="DE169" s="1858"/>
      <c r="DF169" s="1858"/>
      <c r="DG169" s="1858"/>
      <c r="DH169" s="1858"/>
      <c r="DI169" s="1858"/>
      <c r="DJ169" s="1858"/>
      <c r="DK169" s="1858">
        <f>+Model!X88</f>
        <v>8.7513930000000002</v>
      </c>
      <c r="DL169" s="1850"/>
      <c r="DM169" s="1859"/>
      <c r="DN169" s="1848"/>
      <c r="DO169" s="1848"/>
      <c r="DP169" s="1848"/>
      <c r="DQ169" s="1848"/>
      <c r="DR169" s="1848"/>
      <c r="DS169" s="1850"/>
      <c r="DT169" s="1859"/>
      <c r="DU169" s="1848"/>
      <c r="DV169" s="1848"/>
      <c r="DW169" s="1849"/>
      <c r="DX169" s="1848"/>
      <c r="DY169" s="1848"/>
      <c r="DZ169" s="1860"/>
      <c r="EA169" s="1861"/>
      <c r="EB169" s="1861"/>
      <c r="EC169" s="1848"/>
      <c r="ED169" s="1850"/>
      <c r="EE169" s="1851"/>
      <c r="EG169" s="1862">
        <f t="shared" ref="EG169:EI170" si="494">+$EU169</f>
        <v>8.7515490000000007</v>
      </c>
      <c r="EI169" s="1848">
        <f t="shared" si="494"/>
        <v>8.7515490000000007</v>
      </c>
      <c r="EM169" s="1848">
        <f t="shared" ref="EM169:EM170" si="495">+$EU169</f>
        <v>8.7515490000000007</v>
      </c>
      <c r="EU169" s="1850">
        <f>+Model!Y88</f>
        <v>8.7515490000000007</v>
      </c>
      <c r="EV169" s="1858"/>
      <c r="EX169" s="1856">
        <f t="shared" ref="EX169:EZ170" si="496">+$FK169</f>
        <v>8.7518980000000006</v>
      </c>
      <c r="EZ169" s="1856">
        <f t="shared" si="496"/>
        <v>8.7518980000000006</v>
      </c>
      <c r="FC169" s="1856">
        <f t="shared" ref="FC169:FC170" si="497">+$FK169</f>
        <v>8.7518980000000006</v>
      </c>
      <c r="FD169" s="1863"/>
      <c r="FE169" s="1864"/>
      <c r="FF169" s="1865"/>
      <c r="FG169" s="1865"/>
      <c r="FH169" s="1864"/>
      <c r="FK169" s="1850">
        <f>+Model!Z88</f>
        <v>8.7518980000000006</v>
      </c>
      <c r="FN169" s="1848"/>
      <c r="FO169" s="1848"/>
      <c r="FP169" s="1848"/>
      <c r="FQ169" s="1850"/>
      <c r="FR169" s="1850"/>
      <c r="FS169" s="1848">
        <f t="shared" ref="FS169:FS170" si="498">+$GD169</f>
        <v>8.752148</v>
      </c>
      <c r="FT169" s="1848"/>
      <c r="FU169" s="1848"/>
      <c r="FV169" s="1848">
        <f t="shared" ref="FV169:FV170" si="499">+$GD169</f>
        <v>8.752148</v>
      </c>
      <c r="FW169" s="1848"/>
      <c r="FX169" s="1848"/>
      <c r="FY169" s="1848"/>
      <c r="FZ169" s="1848">
        <f t="shared" ref="FZ169:FZ170" si="500">+$GD169</f>
        <v>8.752148</v>
      </c>
      <c r="GA169" s="1864"/>
      <c r="GD169" s="1850">
        <f>+Model!AA88</f>
        <v>8.752148</v>
      </c>
      <c r="GE169" s="1864"/>
      <c r="GF169" s="1848"/>
      <c r="GG169" s="1848"/>
      <c r="GH169" s="1848"/>
      <c r="GI169" s="1848"/>
      <c r="GJ169" s="1866"/>
      <c r="GK169" s="1848"/>
      <c r="GL169" s="1848">
        <f t="shared" ref="GL169:GL170" si="501">+$GV169</f>
        <v>8.7526899999999994</v>
      </c>
      <c r="GM169" s="1848"/>
      <c r="GN169" s="1848"/>
      <c r="GO169" s="1848">
        <f t="shared" ref="GO169:GO170" si="502">+$GV169</f>
        <v>8.7526899999999994</v>
      </c>
      <c r="GP169" s="1848"/>
      <c r="GQ169" s="1848"/>
      <c r="GR169" s="1848">
        <f t="shared" ref="GR169:GR170" si="503">+$GV169</f>
        <v>8.7526899999999994</v>
      </c>
      <c r="GS169" s="1864"/>
      <c r="GV169" s="1850">
        <f>+Model!AB88</f>
        <v>8.7526899999999994</v>
      </c>
      <c r="GW169" s="1864"/>
      <c r="GX169" s="1848"/>
      <c r="GY169" s="1848"/>
      <c r="GZ169" s="1848"/>
      <c r="HA169" s="1866"/>
      <c r="HB169" s="1848"/>
      <c r="HC169" s="1848"/>
      <c r="HD169" s="1848">
        <f t="shared" ref="HD169:HF170" si="504">+$HV169</f>
        <v>8.7531639999999999</v>
      </c>
      <c r="HE169" s="1848"/>
      <c r="HF169" s="1848">
        <f t="shared" si="504"/>
        <v>8.7531639999999999</v>
      </c>
      <c r="HG169" s="1848"/>
      <c r="HH169" s="1848"/>
      <c r="HI169" s="1848"/>
      <c r="HJ169" s="1848"/>
      <c r="HK169" s="1848"/>
      <c r="HL169" s="1848"/>
      <c r="HM169" s="1848"/>
      <c r="HN169" s="1848">
        <f t="shared" ref="HN169:HN170" si="505">+$HV169</f>
        <v>8.7531639999999999</v>
      </c>
      <c r="HP169" s="1864"/>
      <c r="HQ169" s="1864"/>
      <c r="HV169" s="1856">
        <f>+Model!AC88</f>
        <v>8.7531639999999999</v>
      </c>
      <c r="HW169" s="1848"/>
      <c r="HX169" s="1848"/>
      <c r="HY169" s="1848"/>
      <c r="IA169" s="1848"/>
      <c r="IB169" s="1848"/>
      <c r="IC169" s="1866"/>
      <c r="ID169" s="1848"/>
      <c r="IE169" s="1862">
        <f t="shared" ref="IE169:IH171" si="506">+$IR169</f>
        <v>8.7533030000000007</v>
      </c>
      <c r="IF169" s="1848">
        <f t="shared" si="506"/>
        <v>8.7533030000000007</v>
      </c>
      <c r="IG169" s="1848"/>
      <c r="IH169" s="1848">
        <f t="shared" si="506"/>
        <v>8.7533030000000007</v>
      </c>
      <c r="II169" s="1848"/>
      <c r="IJ169" s="1848"/>
      <c r="IK169" s="1848"/>
      <c r="IL169" s="1848"/>
      <c r="IM169" s="1848"/>
      <c r="IN169" s="1848"/>
      <c r="IO169" s="1848"/>
      <c r="IP169" s="1850"/>
      <c r="IQ169" s="1848"/>
      <c r="IR169" s="1850">
        <v>8.7533030000000007</v>
      </c>
      <c r="IS169" s="1867"/>
      <c r="IT169" s="1848"/>
      <c r="IU169" s="1848">
        <f t="shared" ref="IU169:IV171" si="507">+$JD169</f>
        <v>8.7536719999999999</v>
      </c>
      <c r="IV169" s="1848">
        <f t="shared" si="507"/>
        <v>8.7536719999999999</v>
      </c>
      <c r="IW169" s="1848"/>
      <c r="IX169" s="1848"/>
      <c r="IY169" s="1848"/>
      <c r="IZ169" s="1848">
        <f t="shared" ref="IZ169:IZ171" si="508">+$JD169</f>
        <v>8.7536719999999999</v>
      </c>
      <c r="JA169" s="1848"/>
      <c r="JB169" s="1848"/>
      <c r="JC169" s="1848"/>
      <c r="JD169" s="1848">
        <v>8.7536719999999999</v>
      </c>
      <c r="JE169" s="1848"/>
      <c r="JF169" s="1848"/>
      <c r="JG169" s="1848"/>
      <c r="JH169" s="1850"/>
      <c r="JI169" s="1867"/>
      <c r="JJ169" s="1862">
        <f t="shared" ref="JJ169:JU170" si="509">+$JD169</f>
        <v>8.7536719999999999</v>
      </c>
      <c r="JK169" s="1848">
        <f t="shared" si="509"/>
        <v>8.7536719999999999</v>
      </c>
      <c r="JL169" s="1848">
        <v>8.7539049999999996</v>
      </c>
      <c r="JM169" s="1848">
        <f t="shared" ref="JM169:JM171" si="510">+JP169</f>
        <v>8.7540469999999999</v>
      </c>
      <c r="JN169" s="1848">
        <f t="shared" ref="JN169:JN171" si="511">+JS169</f>
        <v>8.7541229999999999</v>
      </c>
      <c r="JO169" s="1848"/>
      <c r="JP169" s="1848">
        <v>8.7540469999999999</v>
      </c>
      <c r="JQ169" s="1848"/>
      <c r="JR169" s="1848"/>
      <c r="JS169" s="1848">
        <v>8.7541229999999999</v>
      </c>
      <c r="JT169" s="1848">
        <f t="shared" si="509"/>
        <v>8.7536719999999999</v>
      </c>
      <c r="JU169" s="1848">
        <f t="shared" si="509"/>
        <v>8.7536719999999999</v>
      </c>
      <c r="JV169" s="1848"/>
      <c r="JW169" s="1848"/>
      <c r="JX169" s="1848"/>
      <c r="JY169" s="1848"/>
      <c r="JZ169" s="1858"/>
      <c r="KA169" s="1859"/>
      <c r="KB169" s="1848"/>
      <c r="KC169" s="1848">
        <f t="shared" ref="KC169:KH170" si="512">+$JD169</f>
        <v>8.7536719999999999</v>
      </c>
      <c r="KD169" s="1848">
        <f t="shared" si="512"/>
        <v>8.7536719999999999</v>
      </c>
      <c r="KE169" s="1848">
        <f>+$JC169</f>
        <v>0</v>
      </c>
      <c r="KF169" s="1848"/>
      <c r="KG169" s="1848"/>
      <c r="KH169" s="1848">
        <f t="shared" si="512"/>
        <v>8.7536719999999999</v>
      </c>
      <c r="KI169" s="1859"/>
      <c r="KJ169" s="1858"/>
      <c r="KK169" s="1848"/>
      <c r="KL169" s="1848"/>
      <c r="KM169" s="1848"/>
      <c r="KN169" s="1858"/>
      <c r="KO169" s="1848"/>
      <c r="KP169" s="1848"/>
      <c r="KQ169" s="1850"/>
      <c r="KR169" s="1848"/>
      <c r="KS169" s="1850"/>
      <c r="KT169" s="1848"/>
      <c r="KU169" s="1848"/>
      <c r="KV169" s="1848"/>
      <c r="KW169" s="1850"/>
      <c r="KX169" s="1848"/>
      <c r="KY169" s="1848"/>
      <c r="KZ169" s="1850"/>
      <c r="LA169" s="1848"/>
      <c r="LB169" s="1848"/>
      <c r="LC169" s="1850"/>
      <c r="LD169" s="1850"/>
      <c r="LE169" s="1848"/>
      <c r="LF169" s="1848"/>
      <c r="LG169" s="1850"/>
    </row>
    <row r="170" spans="1:319" s="1856" customFormat="1">
      <c r="A170" s="1848"/>
      <c r="B170" s="1313" t="s">
        <v>1549</v>
      </c>
      <c r="C170" s="1850" t="s">
        <v>1447</v>
      </c>
      <c r="D170" s="1851"/>
      <c r="E170" s="1852"/>
      <c r="F170" s="1852"/>
      <c r="G170" s="1853"/>
      <c r="H170" s="1852"/>
      <c r="I170" s="1852"/>
      <c r="J170" s="1853"/>
      <c r="K170" s="1848"/>
      <c r="L170" s="1848"/>
      <c r="M170" s="1848"/>
      <c r="N170" s="1848"/>
      <c r="O170" s="1848"/>
      <c r="P170" s="1848"/>
      <c r="Q170" s="1848"/>
      <c r="R170" s="1848"/>
      <c r="S170" s="1851"/>
      <c r="T170" s="1848">
        <f t="shared" si="488"/>
        <v>102.18490899999999</v>
      </c>
      <c r="U170" s="1848">
        <f t="shared" si="488"/>
        <v>102.18490899999999</v>
      </c>
      <c r="V170" s="1848">
        <f t="shared" si="488"/>
        <v>102.18490899999999</v>
      </c>
      <c r="W170" s="1848"/>
      <c r="X170" s="1848"/>
      <c r="Y170" s="1848"/>
      <c r="Z170" s="1848"/>
      <c r="AA170" s="1848">
        <f>+AA168-AA169</f>
        <v>102.18490899999999</v>
      </c>
      <c r="AB170" s="1851"/>
      <c r="AC170" s="1848">
        <f t="shared" si="489"/>
        <v>102.17186100000001</v>
      </c>
      <c r="AD170" s="1848">
        <f t="shared" si="489"/>
        <v>102.17186100000001</v>
      </c>
      <c r="AE170" s="1848">
        <f t="shared" si="489"/>
        <v>102.17186100000001</v>
      </c>
      <c r="AF170" s="1848"/>
      <c r="AG170" s="1848"/>
      <c r="AH170" s="1848"/>
      <c r="AI170" s="1848"/>
      <c r="AJ170" s="1848">
        <f>+AJ168-AJ169</f>
        <v>102.17186100000001</v>
      </c>
      <c r="AK170" s="1851"/>
      <c r="AL170" s="1848">
        <f t="shared" si="490"/>
        <v>102.163117</v>
      </c>
      <c r="AM170" s="1848">
        <f t="shared" si="490"/>
        <v>102.163117</v>
      </c>
      <c r="AN170" s="1848">
        <f t="shared" si="490"/>
        <v>102.163117</v>
      </c>
      <c r="AO170" s="1848"/>
      <c r="AP170" s="1848"/>
      <c r="AQ170" s="1848"/>
      <c r="AR170" s="1848"/>
      <c r="AS170" s="1848">
        <f>+AS168-AS169</f>
        <v>102.163117</v>
      </c>
      <c r="AT170" s="1851"/>
      <c r="AU170" s="1848">
        <f t="shared" si="491"/>
        <v>102.156069</v>
      </c>
      <c r="AV170" s="1848">
        <f t="shared" si="491"/>
        <v>102.156069</v>
      </c>
      <c r="AW170" s="1848">
        <f t="shared" si="491"/>
        <v>102.156069</v>
      </c>
      <c r="AX170" s="1848"/>
      <c r="AY170" s="1848"/>
      <c r="AZ170" s="1848"/>
      <c r="BA170" s="1848"/>
      <c r="BB170" s="1854"/>
      <c r="BC170" s="1854"/>
      <c r="BD170" s="1855"/>
      <c r="BE170" s="1848">
        <f>+BE168-BE169</f>
        <v>102.156069</v>
      </c>
      <c r="BF170" s="1851"/>
      <c r="BG170" s="1848"/>
      <c r="BH170" s="1848"/>
      <c r="BI170" s="1848"/>
      <c r="BJ170" s="1851"/>
      <c r="BM170" s="1848"/>
      <c r="BO170" s="1851"/>
      <c r="BP170" s="1848">
        <f>+$CE170</f>
        <v>102.13635500000001</v>
      </c>
      <c r="BQ170" s="1855"/>
      <c r="BR170" s="1848">
        <f>+$CE170</f>
        <v>102.13635500000001</v>
      </c>
      <c r="BS170" s="1855"/>
      <c r="BT170" s="1848">
        <f>+$CE170</f>
        <v>102.13635500000001</v>
      </c>
      <c r="BU170" s="1848"/>
      <c r="BV170" s="1848"/>
      <c r="BW170" s="1855"/>
      <c r="BX170" s="1848"/>
      <c r="BY170" s="1848"/>
      <c r="BZ170" s="1855"/>
      <c r="CA170" s="1855"/>
      <c r="CB170" s="1855"/>
      <c r="CC170" s="1848"/>
      <c r="CD170" s="1848"/>
      <c r="CE170" s="1848">
        <f>+CE168-CE169</f>
        <v>102.13635500000001</v>
      </c>
      <c r="CF170" s="1851"/>
      <c r="CG170" s="1857">
        <f>+$CW170</f>
        <v>102.13039000000001</v>
      </c>
      <c r="CH170" s="1852"/>
      <c r="CI170" s="1852"/>
      <c r="CJ170" s="1852">
        <f>+$CW170</f>
        <v>102.13039000000001</v>
      </c>
      <c r="CK170" s="1852"/>
      <c r="CL170" s="1852">
        <f>+$CW170</f>
        <v>102.13039000000001</v>
      </c>
      <c r="CM170" s="1852"/>
      <c r="CN170" s="1852"/>
      <c r="CO170" s="1852"/>
      <c r="CP170" s="1852"/>
      <c r="CQ170" s="1852"/>
      <c r="CR170" s="1852"/>
      <c r="CS170" s="1852"/>
      <c r="CT170" s="1852"/>
      <c r="CU170" s="1852"/>
      <c r="CV170" s="1852"/>
      <c r="CW170" s="1853">
        <f>+CW168-CW169</f>
        <v>102.13039000000001</v>
      </c>
      <c r="CX170" s="1858"/>
      <c r="CY170" s="1862">
        <f t="shared" si="492"/>
        <v>102.129651</v>
      </c>
      <c r="CZ170" s="1848">
        <f t="shared" si="492"/>
        <v>102.129651</v>
      </c>
      <c r="DA170" s="1858"/>
      <c r="DB170" s="1858"/>
      <c r="DC170" s="1848">
        <f t="shared" si="493"/>
        <v>102.129651</v>
      </c>
      <c r="DD170" s="1858"/>
      <c r="DE170" s="1858"/>
      <c r="DF170" s="1858"/>
      <c r="DG170" s="1858"/>
      <c r="DH170" s="1858"/>
      <c r="DI170" s="1858"/>
      <c r="DJ170" s="1858"/>
      <c r="DK170" s="1858">
        <f>+DK168-DK169</f>
        <v>102.129651</v>
      </c>
      <c r="DL170" s="1850"/>
      <c r="DM170" s="1859"/>
      <c r="DN170" s="1848"/>
      <c r="DO170" s="1848"/>
      <c r="DP170" s="1848"/>
      <c r="DQ170" s="1848"/>
      <c r="DR170" s="1848"/>
      <c r="DS170" s="1850"/>
      <c r="DT170" s="1859"/>
      <c r="DU170" s="1848"/>
      <c r="DV170" s="1848"/>
      <c r="DW170" s="1849"/>
      <c r="DX170" s="1848"/>
      <c r="DY170" s="1848"/>
      <c r="DZ170" s="1860"/>
      <c r="EA170" s="1861"/>
      <c r="EB170" s="1861"/>
      <c r="EC170" s="1848"/>
      <c r="ED170" s="1850"/>
      <c r="EE170" s="1851"/>
      <c r="EG170" s="1862">
        <f t="shared" si="494"/>
        <v>102.12949500000001</v>
      </c>
      <c r="EI170" s="1848">
        <f t="shared" si="494"/>
        <v>102.12949500000001</v>
      </c>
      <c r="EM170" s="1848">
        <f t="shared" si="495"/>
        <v>102.12949500000001</v>
      </c>
      <c r="EU170" s="1850">
        <f>+EU168-EU169</f>
        <v>102.12949500000001</v>
      </c>
      <c r="EV170" s="1858"/>
      <c r="EX170" s="1856">
        <f t="shared" si="496"/>
        <v>102.12914600000001</v>
      </c>
      <c r="EZ170" s="1856">
        <f t="shared" si="496"/>
        <v>102.12914600000001</v>
      </c>
      <c r="FC170" s="1856">
        <f t="shared" si="497"/>
        <v>102.12914600000001</v>
      </c>
      <c r="FD170" s="1863"/>
      <c r="FE170" s="1864"/>
      <c r="FF170" s="1865"/>
      <c r="FG170" s="1865"/>
      <c r="FH170" s="1864"/>
      <c r="FK170" s="1850">
        <f>+FK168-FK169</f>
        <v>102.12914600000001</v>
      </c>
      <c r="FN170" s="1848"/>
      <c r="FO170" s="1848"/>
      <c r="FP170" s="1848"/>
      <c r="FQ170" s="1850"/>
      <c r="FR170" s="1850"/>
      <c r="FS170" s="1848">
        <f t="shared" si="498"/>
        <v>102.129034</v>
      </c>
      <c r="FT170" s="1848"/>
      <c r="FU170" s="1848"/>
      <c r="FV170" s="1848">
        <f t="shared" si="499"/>
        <v>102.129034</v>
      </c>
      <c r="FW170" s="1848"/>
      <c r="FX170" s="1848"/>
      <c r="FY170" s="1848"/>
      <c r="FZ170" s="1848">
        <f t="shared" si="500"/>
        <v>102.129034</v>
      </c>
      <c r="GA170" s="1864"/>
      <c r="GD170" s="1850">
        <f>+GD168-GD169</f>
        <v>102.129034</v>
      </c>
      <c r="GE170" s="1864"/>
      <c r="GF170" s="1848"/>
      <c r="GG170" s="1848"/>
      <c r="GH170" s="1848"/>
      <c r="GI170" s="1848"/>
      <c r="GJ170" s="1866"/>
      <c r="GK170" s="1848"/>
      <c r="GL170" s="1848">
        <f t="shared" si="501"/>
        <v>102.128546</v>
      </c>
      <c r="GM170" s="1848"/>
      <c r="GN170" s="1848"/>
      <c r="GO170" s="1848">
        <f t="shared" si="502"/>
        <v>102.128546</v>
      </c>
      <c r="GP170" s="1848"/>
      <c r="GQ170" s="1848"/>
      <c r="GR170" s="1848">
        <f t="shared" si="503"/>
        <v>102.128546</v>
      </c>
      <c r="GS170" s="1864"/>
      <c r="GV170" s="1850">
        <f>+GV168-GV169</f>
        <v>102.128546</v>
      </c>
      <c r="GW170" s="1864"/>
      <c r="GX170" s="1848"/>
      <c r="GY170" s="1848"/>
      <c r="GZ170" s="1848"/>
      <c r="HA170" s="1866"/>
      <c r="HB170" s="1848"/>
      <c r="HC170" s="1848"/>
      <c r="HD170" s="1848">
        <f t="shared" si="504"/>
        <v>102.12806399999999</v>
      </c>
      <c r="HE170" s="1848"/>
      <c r="HF170" s="1848">
        <f t="shared" si="504"/>
        <v>102.12806399999999</v>
      </c>
      <c r="HG170" s="1848"/>
      <c r="HH170" s="1848"/>
      <c r="HI170" s="1848"/>
      <c r="HJ170" s="1848"/>
      <c r="HK170" s="1848"/>
      <c r="HL170" s="1848"/>
      <c r="HM170" s="1848"/>
      <c r="HN170" s="1848">
        <f t="shared" si="505"/>
        <v>102.12806399999999</v>
      </c>
      <c r="HP170" s="1864"/>
      <c r="HQ170" s="1864"/>
      <c r="HV170" s="1856">
        <f>+HV168-HV169</f>
        <v>102.12806399999999</v>
      </c>
      <c r="HW170" s="1848"/>
      <c r="HX170" s="1848"/>
      <c r="HY170" s="1848"/>
      <c r="IA170" s="1848"/>
      <c r="IB170" s="1848"/>
      <c r="IC170" s="1866"/>
      <c r="ID170" s="1848"/>
      <c r="IE170" s="1862">
        <f t="shared" si="506"/>
        <v>102.127741</v>
      </c>
      <c r="IF170" s="1848">
        <f t="shared" si="506"/>
        <v>102.127741</v>
      </c>
      <c r="IG170" s="1848"/>
      <c r="IH170" s="1848">
        <f t="shared" si="506"/>
        <v>102.127741</v>
      </c>
      <c r="II170" s="1848"/>
      <c r="IJ170" s="1848"/>
      <c r="IK170" s="1848"/>
      <c r="IL170" s="1848"/>
      <c r="IM170" s="1848"/>
      <c r="IN170" s="1848"/>
      <c r="IO170" s="1848"/>
      <c r="IP170" s="1850"/>
      <c r="IQ170" s="1848"/>
      <c r="IR170" s="1850">
        <f>+IR168-IR169</f>
        <v>102.127741</v>
      </c>
      <c r="IS170" s="1867"/>
      <c r="IT170" s="1848"/>
      <c r="IU170" s="1848">
        <f t="shared" si="507"/>
        <v>102.12737200000001</v>
      </c>
      <c r="IV170" s="1848">
        <f t="shared" si="507"/>
        <v>102.12737200000001</v>
      </c>
      <c r="IW170" s="1848"/>
      <c r="IX170" s="1848"/>
      <c r="IY170" s="1848"/>
      <c r="IZ170" s="1848">
        <f t="shared" si="508"/>
        <v>102.12737200000001</v>
      </c>
      <c r="JA170" s="1848"/>
      <c r="JB170" s="1848"/>
      <c r="JC170" s="1848"/>
      <c r="JD170" s="1848">
        <f>+JD168-JD169</f>
        <v>102.12737200000001</v>
      </c>
      <c r="JE170" s="1848"/>
      <c r="JF170" s="1848"/>
      <c r="JG170" s="1848"/>
      <c r="JH170" s="1850"/>
      <c r="JI170" s="1867"/>
      <c r="JJ170" s="1862">
        <f t="shared" si="509"/>
        <v>102.12737200000001</v>
      </c>
      <c r="JK170" s="1848">
        <f t="shared" si="509"/>
        <v>102.12737200000001</v>
      </c>
      <c r="JL170" s="1848">
        <f>+JL168-JL169</f>
        <v>102.127139</v>
      </c>
      <c r="JM170" s="1848">
        <f t="shared" si="510"/>
        <v>102.126997</v>
      </c>
      <c r="JN170" s="1848">
        <f t="shared" si="511"/>
        <v>102.12692100000001</v>
      </c>
      <c r="JO170" s="1848"/>
      <c r="JP170" s="1848">
        <f>+JP168-JP169</f>
        <v>102.126997</v>
      </c>
      <c r="JQ170" s="1848"/>
      <c r="JR170" s="1848"/>
      <c r="JS170" s="1848">
        <f>+JS168-JS169</f>
        <v>102.12692100000001</v>
      </c>
      <c r="JT170" s="1848">
        <f t="shared" si="509"/>
        <v>102.12737200000001</v>
      </c>
      <c r="JU170" s="1848">
        <f t="shared" si="509"/>
        <v>102.12737200000001</v>
      </c>
      <c r="JV170" s="1848"/>
      <c r="JW170" s="1848"/>
      <c r="JX170" s="1848"/>
      <c r="JY170" s="1848"/>
      <c r="JZ170" s="1858"/>
      <c r="KA170" s="1859"/>
      <c r="KB170" s="1848"/>
      <c r="KC170" s="1848">
        <f t="shared" si="512"/>
        <v>102.12737200000001</v>
      </c>
      <c r="KD170" s="1848">
        <f t="shared" si="512"/>
        <v>102.12737200000001</v>
      </c>
      <c r="KE170" s="1848">
        <f>+$JC170</f>
        <v>0</v>
      </c>
      <c r="KF170" s="1848"/>
      <c r="KG170" s="1848"/>
      <c r="KH170" s="1848">
        <f t="shared" si="512"/>
        <v>102.12737200000001</v>
      </c>
      <c r="KI170" s="1859"/>
      <c r="KJ170" s="1858"/>
      <c r="KK170" s="1848"/>
      <c r="KL170" s="1848"/>
      <c r="KM170" s="1848"/>
      <c r="KN170" s="1858"/>
      <c r="KO170" s="1848"/>
      <c r="KP170" s="1848"/>
      <c r="KQ170" s="1850"/>
      <c r="KR170" s="1848"/>
      <c r="KS170" s="1850"/>
      <c r="KT170" s="1848"/>
      <c r="KU170" s="1848"/>
      <c r="KV170" s="1848"/>
      <c r="KW170" s="1850"/>
      <c r="KX170" s="1848"/>
      <c r="KY170" s="1848"/>
      <c r="KZ170" s="1850"/>
      <c r="LA170" s="1848"/>
      <c r="LB170" s="1848"/>
      <c r="LC170" s="1850"/>
      <c r="LD170" s="1850"/>
      <c r="LE170" s="1848"/>
      <c r="LF170" s="1848"/>
      <c r="LG170" s="1850"/>
    </row>
    <row r="171" spans="1:319" s="1856" customFormat="1">
      <c r="A171" s="1848"/>
      <c r="B171" s="1313" t="s">
        <v>1550</v>
      </c>
      <c r="C171" s="1850" t="s">
        <v>1448</v>
      </c>
      <c r="D171" s="1851"/>
      <c r="E171" s="1852"/>
      <c r="F171" s="1852"/>
      <c r="G171" s="1853"/>
      <c r="H171" s="1852"/>
      <c r="I171" s="1852"/>
      <c r="J171" s="1853"/>
      <c r="K171" s="1848"/>
      <c r="L171" s="1848"/>
      <c r="M171" s="1848"/>
      <c r="N171" s="1848"/>
      <c r="O171" s="1848"/>
      <c r="P171" s="1848"/>
      <c r="Q171" s="1848"/>
      <c r="R171" s="1848"/>
      <c r="S171" s="1851"/>
      <c r="T171" s="1848"/>
      <c r="U171" s="1848"/>
      <c r="V171" s="1848"/>
      <c r="W171" s="1848"/>
      <c r="X171" s="1848"/>
      <c r="Y171" s="1848"/>
      <c r="Z171" s="1848"/>
      <c r="AA171" s="1848"/>
      <c r="AB171" s="1851"/>
      <c r="AC171" s="1848"/>
      <c r="AD171" s="1848"/>
      <c r="AE171" s="1848"/>
      <c r="AF171" s="1848"/>
      <c r="AG171" s="1848"/>
      <c r="AH171" s="1848"/>
      <c r="AI171" s="1848"/>
      <c r="AJ171" s="1848"/>
      <c r="AK171" s="1851"/>
      <c r="AL171" s="1848"/>
      <c r="AM171" s="1848"/>
      <c r="AN171" s="1848"/>
      <c r="AO171" s="1848"/>
      <c r="AP171" s="1848"/>
      <c r="AQ171" s="1848"/>
      <c r="AR171" s="1848"/>
      <c r="AS171" s="1848"/>
      <c r="AT171" s="1851"/>
      <c r="AU171" s="1848"/>
      <c r="AV171" s="1848"/>
      <c r="AW171" s="1848"/>
      <c r="AX171" s="1848"/>
      <c r="AY171" s="1848"/>
      <c r="AZ171" s="1848"/>
      <c r="BA171" s="1848"/>
      <c r="BB171" s="1854"/>
      <c r="BC171" s="1854"/>
      <c r="BD171" s="1855"/>
      <c r="BE171" s="1848"/>
      <c r="BF171" s="1851"/>
      <c r="BG171" s="1848"/>
      <c r="BH171" s="1848"/>
      <c r="BI171" s="1848"/>
      <c r="BJ171" s="1851"/>
      <c r="BM171" s="1848"/>
      <c r="BO171" s="1851"/>
      <c r="BP171" s="1848"/>
      <c r="BQ171" s="1855"/>
      <c r="BR171" s="1848"/>
      <c r="BS171" s="1855"/>
      <c r="BT171" s="1848"/>
      <c r="BU171" s="1848"/>
      <c r="BV171" s="1848"/>
      <c r="BW171" s="1855"/>
      <c r="BX171" s="1848"/>
      <c r="BY171" s="1848"/>
      <c r="BZ171" s="1855"/>
      <c r="CA171" s="1855"/>
      <c r="CB171" s="1855"/>
      <c r="CC171" s="1848"/>
      <c r="CD171" s="1848"/>
      <c r="CE171" s="1848"/>
      <c r="CF171" s="1851"/>
      <c r="CG171" s="1857"/>
      <c r="CH171" s="1852"/>
      <c r="CI171" s="1852"/>
      <c r="CJ171" s="1852"/>
      <c r="CK171" s="1852"/>
      <c r="CL171" s="1852"/>
      <c r="CM171" s="1852"/>
      <c r="CN171" s="1852"/>
      <c r="CO171" s="1852"/>
      <c r="CP171" s="1852"/>
      <c r="CQ171" s="1852"/>
      <c r="CR171" s="1852"/>
      <c r="CS171" s="1852"/>
      <c r="CT171" s="1852"/>
      <c r="CU171" s="1852"/>
      <c r="CV171" s="1852"/>
      <c r="CW171" s="1853"/>
      <c r="CX171" s="1858"/>
      <c r="CY171" s="1858"/>
      <c r="CZ171" s="1858"/>
      <c r="DA171" s="1858"/>
      <c r="DB171" s="1858"/>
      <c r="DC171" s="1858"/>
      <c r="DD171" s="1858"/>
      <c r="DE171" s="1858"/>
      <c r="DF171" s="1858"/>
      <c r="DG171" s="1858"/>
      <c r="DH171" s="1858"/>
      <c r="DI171" s="1858"/>
      <c r="DJ171" s="1858"/>
      <c r="DK171" s="1858"/>
      <c r="DL171" s="1850"/>
      <c r="DM171" s="1859"/>
      <c r="DN171" s="1848"/>
      <c r="DO171" s="1848"/>
      <c r="DP171" s="1848"/>
      <c r="DQ171" s="1848"/>
      <c r="DR171" s="1848"/>
      <c r="DS171" s="1850"/>
      <c r="DT171" s="1859"/>
      <c r="DU171" s="1848"/>
      <c r="DV171" s="1848"/>
      <c r="DW171" s="1849"/>
      <c r="DX171" s="1848"/>
      <c r="DY171" s="1848"/>
      <c r="DZ171" s="1860"/>
      <c r="EA171" s="1861"/>
      <c r="EB171" s="1861"/>
      <c r="EC171" s="1848"/>
      <c r="ED171" s="1850"/>
      <c r="EE171" s="1851"/>
      <c r="EG171" s="1862"/>
      <c r="EU171" s="1850"/>
      <c r="EV171" s="1858"/>
      <c r="FD171" s="1863"/>
      <c r="FE171" s="1864"/>
      <c r="FF171" s="1865"/>
      <c r="FG171" s="1865"/>
      <c r="FH171" s="1864"/>
      <c r="FK171" s="1850"/>
      <c r="FN171" s="1848"/>
      <c r="FO171" s="1848"/>
      <c r="FP171" s="1848"/>
      <c r="FQ171" s="1850"/>
      <c r="FR171" s="1850"/>
      <c r="FS171" s="1848"/>
      <c r="FT171" s="1848"/>
      <c r="FU171" s="1848"/>
      <c r="FW171" s="1848"/>
      <c r="FX171" s="1848"/>
      <c r="FY171" s="1848"/>
      <c r="GA171" s="1864"/>
      <c r="GD171" s="1850"/>
      <c r="GE171" s="1864"/>
      <c r="GF171" s="1848"/>
      <c r="GG171" s="1848"/>
      <c r="GH171" s="1848"/>
      <c r="GI171" s="1848"/>
      <c r="GJ171" s="1866"/>
      <c r="GK171" s="1848"/>
      <c r="GL171" s="1848"/>
      <c r="GM171" s="1848"/>
      <c r="GN171" s="1848"/>
      <c r="GO171" s="1848"/>
      <c r="GP171" s="1848"/>
      <c r="GQ171" s="1848"/>
      <c r="GS171" s="1864"/>
      <c r="GV171" s="1850"/>
      <c r="GW171" s="1864"/>
      <c r="GX171" s="1848"/>
      <c r="GY171" s="1848"/>
      <c r="GZ171" s="1848"/>
      <c r="HA171" s="1866"/>
      <c r="HB171" s="1848"/>
      <c r="HC171" s="1848"/>
      <c r="HD171" s="1848"/>
      <c r="HE171" s="1848"/>
      <c r="HF171" s="1848"/>
      <c r="HG171" s="1848"/>
      <c r="HH171" s="1848"/>
      <c r="HI171" s="1848"/>
      <c r="HJ171" s="1848"/>
      <c r="HK171" s="1848"/>
      <c r="HL171" s="1848"/>
      <c r="HM171" s="1848"/>
      <c r="HP171" s="1864"/>
      <c r="HQ171" s="1864"/>
      <c r="HW171" s="1848"/>
      <c r="HX171" s="1848"/>
      <c r="HY171" s="1848"/>
      <c r="IA171" s="1848"/>
      <c r="IB171" s="1848"/>
      <c r="IC171" s="1866"/>
      <c r="ID171" s="1848"/>
      <c r="IE171" s="1862">
        <f t="shared" si="506"/>
        <v>102.127825</v>
      </c>
      <c r="IF171" s="1848">
        <f t="shared" si="506"/>
        <v>102.127825</v>
      </c>
      <c r="IG171" s="1848"/>
      <c r="IH171" s="1848">
        <f t="shared" si="506"/>
        <v>102.127825</v>
      </c>
      <c r="II171" s="1848"/>
      <c r="IJ171" s="1848"/>
      <c r="IK171" s="1848"/>
      <c r="IL171" s="1848"/>
      <c r="IM171" s="1848"/>
      <c r="IN171" s="1848"/>
      <c r="IO171" s="1848"/>
      <c r="IP171" s="1850"/>
      <c r="IQ171" s="1848"/>
      <c r="IR171" s="1850">
        <v>102.127825</v>
      </c>
      <c r="IS171" s="1867"/>
      <c r="IT171" s="1848"/>
      <c r="IU171" s="1848">
        <f t="shared" si="507"/>
        <v>102.127537</v>
      </c>
      <c r="IV171" s="1848">
        <f t="shared" si="507"/>
        <v>102.127537</v>
      </c>
      <c r="IW171" s="1848"/>
      <c r="IX171" s="1848"/>
      <c r="IY171" s="1848"/>
      <c r="IZ171" s="1848">
        <f t="shared" si="508"/>
        <v>102.127537</v>
      </c>
      <c r="JA171" s="1848"/>
      <c r="JB171" s="1848"/>
      <c r="JC171" s="1848"/>
      <c r="JD171" s="1848">
        <v>102.127537</v>
      </c>
      <c r="JE171" s="1848"/>
      <c r="JF171" s="1848"/>
      <c r="JG171" s="1848"/>
      <c r="JH171" s="1850"/>
      <c r="JI171" s="1867"/>
      <c r="JJ171" s="1862">
        <f>+$JD170/2+JJ170/2</f>
        <v>102.12737200000001</v>
      </c>
      <c r="JK171" s="1848">
        <f>+$JD170/2+JK170/2</f>
        <v>102.12737200000001</v>
      </c>
      <c r="JL171" s="1848">
        <f>+JD170/2+JL170/2</f>
        <v>102.1272555</v>
      </c>
      <c r="JM171" s="1848">
        <f t="shared" si="510"/>
        <v>102.1271845</v>
      </c>
      <c r="JN171" s="1848">
        <f t="shared" si="511"/>
        <v>102.127061</v>
      </c>
      <c r="JO171" s="1848"/>
      <c r="JP171" s="1848">
        <f>+JD170/2+JP170/2</f>
        <v>102.1271845</v>
      </c>
      <c r="JQ171" s="1848"/>
      <c r="JR171" s="1848"/>
      <c r="JS171" s="1848">
        <v>102.127061</v>
      </c>
      <c r="JT171" s="1848">
        <f t="shared" ref="JT171:JU171" si="513">+$JD170/2+JT170/2</f>
        <v>102.12737200000001</v>
      </c>
      <c r="JU171" s="1848">
        <f t="shared" si="513"/>
        <v>102.12737200000001</v>
      </c>
      <c r="JV171" s="1848"/>
      <c r="JW171" s="1848"/>
      <c r="JX171" s="1848"/>
      <c r="JY171" s="1848"/>
      <c r="JZ171" s="1858"/>
      <c r="KA171" s="1859"/>
      <c r="KB171" s="1848"/>
      <c r="KC171" s="1848">
        <f>+$JD170/2+KC170/2</f>
        <v>102.12737200000001</v>
      </c>
      <c r="KD171" s="1848">
        <f>+$JD170/2+KD170/2</f>
        <v>102.12737200000001</v>
      </c>
      <c r="KE171" s="1848">
        <f>+$JC170/2+KE170/2</f>
        <v>0</v>
      </c>
      <c r="KF171" s="1848"/>
      <c r="KG171" s="1848"/>
      <c r="KH171" s="1848">
        <f>+$JD170/2+KH170/2</f>
        <v>102.12737200000001</v>
      </c>
      <c r="KI171" s="1859"/>
      <c r="KJ171" s="1858"/>
      <c r="KK171" s="1848"/>
      <c r="KL171" s="1848"/>
      <c r="KM171" s="1848"/>
      <c r="KN171" s="1858"/>
      <c r="KO171" s="1848"/>
      <c r="KP171" s="1848"/>
      <c r="KQ171" s="1850"/>
      <c r="KR171" s="1848"/>
      <c r="KS171" s="1850"/>
      <c r="KT171" s="1848"/>
      <c r="KU171" s="1848"/>
      <c r="KV171" s="1848"/>
      <c r="KW171" s="1850"/>
      <c r="KX171" s="1848"/>
      <c r="KY171" s="1848"/>
      <c r="KZ171" s="1850"/>
      <c r="LA171" s="1848"/>
      <c r="LB171" s="1848"/>
      <c r="LC171" s="1850"/>
      <c r="LD171" s="1850"/>
      <c r="LE171" s="1848"/>
      <c r="LF171" s="1848"/>
      <c r="LG171" s="1850"/>
    </row>
    <row r="172" spans="1:319">
      <c r="A172" s="23"/>
      <c r="B172" s="697"/>
      <c r="C172" s="355"/>
      <c r="D172" s="1257"/>
      <c r="E172" s="812"/>
      <c r="F172" s="812"/>
      <c r="G172" s="815"/>
      <c r="H172" s="812"/>
      <c r="I172" s="812"/>
      <c r="J172" s="815"/>
      <c r="K172" s="23"/>
      <c r="L172" s="23"/>
      <c r="M172" s="23"/>
      <c r="N172" s="23"/>
      <c r="O172" s="23"/>
      <c r="P172" s="23"/>
      <c r="Q172" s="23"/>
      <c r="R172" s="23"/>
      <c r="S172" s="1257"/>
      <c r="T172" s="23"/>
      <c r="U172" s="23"/>
      <c r="V172" s="23"/>
      <c r="W172" s="23"/>
      <c r="X172" s="23"/>
      <c r="Y172" s="23"/>
      <c r="Z172" s="23"/>
      <c r="AA172" s="23"/>
      <c r="AB172" s="1257"/>
      <c r="AC172" s="23"/>
      <c r="AD172" s="23"/>
      <c r="AE172" s="23"/>
      <c r="AF172" s="23"/>
      <c r="AG172" s="23"/>
      <c r="AH172" s="23"/>
      <c r="AI172" s="23"/>
      <c r="AJ172" s="23"/>
      <c r="AK172" s="1257"/>
      <c r="AL172" s="23"/>
      <c r="AM172" s="23"/>
      <c r="AN172" s="23"/>
      <c r="AO172" s="23"/>
      <c r="AP172" s="23"/>
      <c r="AQ172" s="23"/>
      <c r="AR172" s="23"/>
      <c r="AS172" s="23"/>
      <c r="AT172" s="1257"/>
      <c r="AU172" s="23"/>
      <c r="AV172" s="23"/>
      <c r="AW172" s="23"/>
      <c r="AX172" s="23"/>
      <c r="AY172" s="23"/>
      <c r="AZ172" s="23"/>
      <c r="BA172" s="23"/>
      <c r="BB172" s="334"/>
      <c r="BC172" s="334"/>
      <c r="BD172" s="1258"/>
      <c r="BE172" s="23"/>
      <c r="BF172" s="1257"/>
      <c r="BG172" s="23"/>
      <c r="BH172" s="23"/>
      <c r="BI172" s="23"/>
      <c r="BJ172" s="1257"/>
      <c r="BO172" s="1257"/>
      <c r="BP172" s="23"/>
      <c r="BQ172" s="1258"/>
      <c r="BR172" s="23"/>
      <c r="BS172" s="1258"/>
      <c r="BT172" s="23"/>
      <c r="BU172" s="23"/>
      <c r="BV172" s="23"/>
      <c r="BW172" s="1258"/>
      <c r="BX172" s="23"/>
      <c r="BY172" s="23"/>
      <c r="BZ172" s="1258"/>
      <c r="CA172" s="1258"/>
      <c r="CB172" s="1258"/>
      <c r="CC172" s="23"/>
      <c r="CD172" s="23"/>
      <c r="CE172" s="23"/>
      <c r="CF172" s="1257"/>
      <c r="CG172" s="1259"/>
      <c r="CH172" s="812"/>
      <c r="CI172" s="812"/>
      <c r="CJ172" s="812"/>
      <c r="CK172" s="812"/>
      <c r="CL172" s="1260"/>
      <c r="CM172" s="812"/>
      <c r="CN172" s="812"/>
      <c r="CO172" s="812"/>
      <c r="CP172" s="812"/>
      <c r="CQ172" s="812"/>
      <c r="CR172" s="812"/>
      <c r="CS172" s="812"/>
      <c r="CT172" s="812"/>
      <c r="CU172" s="812"/>
      <c r="CV172" s="812"/>
      <c r="CW172" s="815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355"/>
      <c r="DM172" s="355"/>
      <c r="DN172" s="23"/>
      <c r="DO172" s="23"/>
      <c r="DP172" s="23"/>
      <c r="DQ172" s="23"/>
      <c r="DR172" s="23"/>
      <c r="DS172" s="355"/>
      <c r="DT172" s="355"/>
      <c r="DU172" s="23"/>
      <c r="DV172" s="23"/>
      <c r="DX172" s="23"/>
      <c r="DY172" s="23"/>
      <c r="DZ172" s="1262"/>
      <c r="EC172" s="23"/>
      <c r="ED172" s="355"/>
      <c r="EE172" s="1257"/>
      <c r="EV172" s="23"/>
      <c r="FD172" s="1847"/>
      <c r="FF172" s="1263"/>
      <c r="FG172" s="1263"/>
      <c r="FN172" s="23"/>
      <c r="FO172" s="23"/>
      <c r="FP172" s="23"/>
      <c r="FQ172" s="355"/>
      <c r="FR172" s="355"/>
      <c r="FS172" s="23"/>
      <c r="FT172" s="23"/>
      <c r="FU172" s="23"/>
      <c r="FW172" s="23"/>
      <c r="FX172" s="23"/>
      <c r="GH172" s="23"/>
      <c r="GI172" s="23"/>
      <c r="GJ172" s="1262"/>
      <c r="GK172" s="23"/>
      <c r="GL172" s="23"/>
      <c r="GM172" s="23"/>
      <c r="GN172" s="23"/>
      <c r="GO172" s="23"/>
      <c r="GP172" s="23"/>
      <c r="GQ172" s="23"/>
      <c r="GX172" s="23"/>
      <c r="GY172" s="23"/>
      <c r="GZ172" s="23"/>
      <c r="HA172" s="1262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W172" s="23"/>
      <c r="HX172" s="23"/>
      <c r="HY172" s="23"/>
      <c r="IA172" s="23"/>
      <c r="IB172" s="23"/>
      <c r="IC172" s="1262"/>
      <c r="ID172" s="23"/>
      <c r="IE172" s="1264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355"/>
      <c r="IQ172" s="23"/>
      <c r="IR172" s="355"/>
      <c r="IS172" s="1264"/>
      <c r="IT172" s="23"/>
      <c r="IU172" s="23"/>
      <c r="IV172" s="23"/>
      <c r="IW172" s="23"/>
      <c r="IX172" s="23"/>
      <c r="IY172" s="23"/>
      <c r="IZ172" s="23"/>
      <c r="JA172" s="23"/>
      <c r="JB172" s="23"/>
      <c r="JC172" s="23"/>
      <c r="JD172" s="23"/>
      <c r="JE172" s="23"/>
      <c r="JF172" s="23"/>
      <c r="JG172" s="23"/>
      <c r="JH172" s="355"/>
      <c r="JI172" s="1264"/>
      <c r="JJ172" s="1264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3"/>
      <c r="KA172" s="355"/>
      <c r="KB172" s="23"/>
      <c r="KC172" s="23"/>
      <c r="KD172" s="23"/>
      <c r="KE172" s="23"/>
      <c r="KF172" s="23"/>
      <c r="KG172" s="23"/>
      <c r="KH172" s="23"/>
      <c r="KI172" s="355"/>
      <c r="KJ172" s="23"/>
      <c r="KK172" s="23"/>
      <c r="KL172" s="23"/>
      <c r="KM172" s="23"/>
      <c r="KN172" s="23"/>
      <c r="KO172" s="23"/>
      <c r="KP172" s="23"/>
      <c r="KQ172" s="355"/>
      <c r="KR172" s="23"/>
      <c r="KS172" s="355"/>
      <c r="KT172" s="23"/>
      <c r="KU172" s="23"/>
      <c r="KV172" s="23"/>
      <c r="KW172" s="355"/>
      <c r="KX172" s="23"/>
      <c r="KY172" s="23"/>
      <c r="KZ172" s="355"/>
      <c r="LA172" s="23"/>
      <c r="LB172" s="23"/>
      <c r="LC172" s="355"/>
      <c r="LD172" s="355"/>
      <c r="LE172" s="23"/>
      <c r="LF172" s="23"/>
      <c r="LG172" s="355"/>
    </row>
    <row r="173" spans="1:319">
      <c r="A173" s="23"/>
      <c r="B173" s="697"/>
      <c r="C173" s="355"/>
      <c r="D173" s="1257"/>
      <c r="E173" s="812"/>
      <c r="F173" s="812"/>
      <c r="G173" s="815"/>
      <c r="H173" s="812"/>
      <c r="I173" s="812"/>
      <c r="J173" s="815"/>
      <c r="K173" s="23"/>
      <c r="L173" s="23"/>
      <c r="M173" s="23"/>
      <c r="N173" s="23"/>
      <c r="O173" s="23"/>
      <c r="P173" s="23"/>
      <c r="Q173" s="23"/>
      <c r="R173" s="23"/>
      <c r="S173" s="1257"/>
      <c r="T173" s="23"/>
      <c r="U173" s="23"/>
      <c r="V173" s="23"/>
      <c r="W173" s="23"/>
      <c r="X173" s="23"/>
      <c r="Y173" s="23"/>
      <c r="Z173" s="23"/>
      <c r="AA173" s="23"/>
      <c r="AB173" s="1257"/>
      <c r="AC173" s="23"/>
      <c r="AD173" s="23"/>
      <c r="AE173" s="23"/>
      <c r="AF173" s="23"/>
      <c r="AG173" s="23"/>
      <c r="AH173" s="23"/>
      <c r="AI173" s="23"/>
      <c r="AJ173" s="23"/>
      <c r="AK173" s="1257"/>
      <c r="AL173" s="23"/>
      <c r="AM173" s="23"/>
      <c r="AN173" s="23"/>
      <c r="AO173" s="23"/>
      <c r="AP173" s="23"/>
      <c r="AQ173" s="23"/>
      <c r="AR173" s="23"/>
      <c r="AS173" s="23"/>
      <c r="AT173" s="1257"/>
      <c r="AU173" s="23"/>
      <c r="AV173" s="23"/>
      <c r="AW173" s="23"/>
      <c r="AX173" s="23"/>
      <c r="AY173" s="23"/>
      <c r="AZ173" s="23"/>
      <c r="BA173" s="23"/>
      <c r="BB173" s="334"/>
      <c r="BC173" s="334"/>
      <c r="BD173" s="1258"/>
      <c r="BE173" s="23"/>
      <c r="BF173" s="1257"/>
      <c r="BG173" s="23"/>
      <c r="BH173" s="23"/>
      <c r="BI173" s="23"/>
      <c r="BJ173" s="1257"/>
      <c r="BO173" s="1257"/>
      <c r="BP173" s="23"/>
      <c r="BQ173" s="1258"/>
      <c r="BR173" s="23"/>
      <c r="BS173" s="1258"/>
      <c r="BT173" s="23"/>
      <c r="BU173" s="23"/>
      <c r="BV173" s="23"/>
      <c r="BW173" s="1258"/>
      <c r="BX173" s="23"/>
      <c r="BY173" s="23"/>
      <c r="BZ173" s="1258"/>
      <c r="CA173" s="1258"/>
      <c r="CB173" s="1258"/>
      <c r="CC173" s="23"/>
      <c r="CD173" s="23"/>
      <c r="CE173" s="23"/>
      <c r="CF173" s="1257"/>
      <c r="CG173" s="1259"/>
      <c r="CH173" s="812"/>
      <c r="CI173" s="812"/>
      <c r="CJ173" s="812"/>
      <c r="CK173" s="812"/>
      <c r="CL173" s="1260"/>
      <c r="CM173" s="812"/>
      <c r="CN173" s="812"/>
      <c r="CO173" s="812"/>
      <c r="CP173" s="812"/>
      <c r="CQ173" s="812"/>
      <c r="CR173" s="812"/>
      <c r="CS173" s="812"/>
      <c r="CT173" s="812"/>
      <c r="CU173" s="812"/>
      <c r="CV173" s="812"/>
      <c r="CW173" s="815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355"/>
      <c r="DM173" s="355"/>
      <c r="DN173" s="23"/>
      <c r="DO173" s="23"/>
      <c r="DP173" s="23"/>
      <c r="DQ173" s="23"/>
      <c r="DR173" s="23"/>
      <c r="DS173" s="355"/>
      <c r="DT173" s="355"/>
      <c r="DU173" s="23"/>
      <c r="DV173" s="23"/>
      <c r="DX173" s="23"/>
      <c r="DY173" s="23"/>
      <c r="DZ173" s="1262"/>
      <c r="EC173" s="23"/>
      <c r="ED173" s="355"/>
      <c r="EE173" s="1257"/>
      <c r="EV173" s="23"/>
      <c r="FD173" s="1847"/>
      <c r="FF173" s="1263"/>
      <c r="FG173" s="1263"/>
      <c r="FN173" s="23"/>
      <c r="FO173" s="23"/>
      <c r="FP173" s="23"/>
      <c r="FQ173" s="355"/>
      <c r="FR173" s="355"/>
      <c r="FS173" s="23"/>
      <c r="FT173" s="23"/>
      <c r="FU173" s="23"/>
      <c r="FW173" s="23"/>
      <c r="FX173" s="23"/>
      <c r="GH173" s="23"/>
      <c r="GI173" s="23"/>
      <c r="GJ173" s="1262"/>
      <c r="GK173" s="23"/>
      <c r="GL173" s="23"/>
      <c r="GM173" s="23"/>
      <c r="GN173" s="23"/>
      <c r="GO173" s="23"/>
      <c r="GP173" s="23"/>
      <c r="GQ173" s="23"/>
      <c r="GX173" s="23"/>
      <c r="GY173" s="23"/>
      <c r="GZ173" s="23"/>
      <c r="HA173" s="1262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W173" s="23"/>
      <c r="HX173" s="23"/>
      <c r="HY173" s="23"/>
      <c r="IA173" s="23"/>
      <c r="IB173" s="23"/>
      <c r="IC173" s="1262"/>
      <c r="ID173" s="23"/>
      <c r="IE173" s="1264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355"/>
      <c r="IQ173" s="23"/>
      <c r="IR173" s="355"/>
      <c r="IS173" s="1264"/>
      <c r="IT173" s="23"/>
      <c r="IU173" s="23"/>
      <c r="IV173" s="23"/>
      <c r="IW173" s="23"/>
      <c r="IX173" s="23"/>
      <c r="IY173" s="23"/>
      <c r="IZ173" s="23"/>
      <c r="JA173" s="23"/>
      <c r="JB173" s="23"/>
      <c r="JC173" s="23"/>
      <c r="JD173" s="23"/>
      <c r="JE173" s="23"/>
      <c r="JF173" s="23"/>
      <c r="JG173" s="23"/>
      <c r="JH173" s="355"/>
      <c r="JI173" s="1264"/>
      <c r="JJ173" s="1264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3"/>
      <c r="KA173" s="355"/>
      <c r="KB173" s="23"/>
      <c r="KC173" s="23"/>
      <c r="KD173" s="23"/>
      <c r="KE173" s="23"/>
      <c r="KF173" s="23"/>
      <c r="KG173" s="23"/>
      <c r="KH173" s="23"/>
      <c r="KI173" s="355"/>
      <c r="KJ173" s="23"/>
      <c r="KK173" s="23"/>
      <c r="KL173" s="23"/>
      <c r="KM173" s="23"/>
      <c r="KN173" s="23"/>
      <c r="KO173" s="23"/>
      <c r="KP173" s="23"/>
      <c r="KQ173" s="355"/>
      <c r="KR173" s="23"/>
      <c r="KS173" s="355"/>
      <c r="KT173" s="23"/>
      <c r="KU173" s="23"/>
      <c r="KV173" s="23"/>
      <c r="KW173" s="355"/>
      <c r="KX173" s="23"/>
      <c r="KY173" s="23"/>
      <c r="KZ173" s="355"/>
      <c r="LA173" s="23"/>
      <c r="LB173" s="23"/>
      <c r="LC173" s="355"/>
      <c r="LD173" s="355"/>
      <c r="LE173" s="23"/>
      <c r="LF173" s="23"/>
      <c r="LG173" s="355"/>
    </row>
    <row r="174" spans="1:319">
      <c r="A174" s="23"/>
      <c r="B174" s="697"/>
      <c r="C174" s="355"/>
      <c r="D174" s="1257"/>
      <c r="E174" s="812"/>
      <c r="F174" s="812"/>
      <c r="G174" s="815"/>
      <c r="H174" s="812"/>
      <c r="I174" s="812"/>
      <c r="J174" s="815"/>
      <c r="K174" s="23"/>
      <c r="L174" s="23"/>
      <c r="M174" s="23"/>
      <c r="N174" s="23"/>
      <c r="O174" s="23"/>
      <c r="P174" s="23"/>
      <c r="Q174" s="23"/>
      <c r="R174" s="23"/>
      <c r="S174" s="1257"/>
      <c r="T174" s="23"/>
      <c r="U174" s="23"/>
      <c r="V174" s="23"/>
      <c r="W174" s="23"/>
      <c r="X174" s="23"/>
      <c r="Y174" s="23"/>
      <c r="Z174" s="23"/>
      <c r="AA174" s="23"/>
      <c r="AB174" s="1257"/>
      <c r="AC174" s="23"/>
      <c r="AD174" s="23"/>
      <c r="AE174" s="23"/>
      <c r="AF174" s="23"/>
      <c r="AG174" s="23"/>
      <c r="AH174" s="23"/>
      <c r="AI174" s="23"/>
      <c r="AJ174" s="23"/>
      <c r="AK174" s="1257"/>
      <c r="AL174" s="23"/>
      <c r="AM174" s="23"/>
      <c r="AN174" s="23"/>
      <c r="AO174" s="23"/>
      <c r="AP174" s="23"/>
      <c r="AQ174" s="23"/>
      <c r="AR174" s="23"/>
      <c r="AS174" s="23"/>
      <c r="AT174" s="1257"/>
      <c r="AU174" s="23"/>
      <c r="AV174" s="23"/>
      <c r="AW174" s="23"/>
      <c r="AX174" s="23"/>
      <c r="AY174" s="23"/>
      <c r="AZ174" s="23"/>
      <c r="BA174" s="23"/>
      <c r="BB174" s="334"/>
      <c r="BC174" s="334"/>
      <c r="BD174" s="1258"/>
      <c r="BE174" s="23"/>
      <c r="BF174" s="1257"/>
      <c r="BG174" s="23"/>
      <c r="BH174" s="23"/>
      <c r="BI174" s="23"/>
      <c r="BJ174" s="1257"/>
      <c r="BO174" s="1257"/>
      <c r="BP174" s="23"/>
      <c r="BQ174" s="1258"/>
      <c r="BR174" s="23"/>
      <c r="BS174" s="1258"/>
      <c r="BT174" s="23"/>
      <c r="BU174" s="23"/>
      <c r="BV174" s="23"/>
      <c r="BW174" s="1258"/>
      <c r="BX174" s="23"/>
      <c r="BY174" s="23"/>
      <c r="BZ174" s="1258"/>
      <c r="CA174" s="1258"/>
      <c r="CB174" s="1258"/>
      <c r="CC174" s="23"/>
      <c r="CD174" s="23"/>
      <c r="CE174" s="23"/>
      <c r="CF174" s="1257"/>
      <c r="CG174" s="1259"/>
      <c r="CH174" s="812"/>
      <c r="CI174" s="812"/>
      <c r="CJ174" s="812"/>
      <c r="CK174" s="812"/>
      <c r="CL174" s="1260"/>
      <c r="CM174" s="812"/>
      <c r="CN174" s="812"/>
      <c r="CO174" s="812"/>
      <c r="CP174" s="812"/>
      <c r="CQ174" s="812"/>
      <c r="CR174" s="812"/>
      <c r="CS174" s="812"/>
      <c r="CT174" s="812"/>
      <c r="CU174" s="812"/>
      <c r="CV174" s="812"/>
      <c r="CW174" s="815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355"/>
      <c r="DM174" s="355"/>
      <c r="DN174" s="23"/>
      <c r="DO174" s="23"/>
      <c r="DP174" s="23"/>
      <c r="DQ174" s="23"/>
      <c r="DR174" s="23"/>
      <c r="DS174" s="355"/>
      <c r="DT174" s="355"/>
      <c r="DU174" s="23"/>
      <c r="DV174" s="23"/>
      <c r="DX174" s="23"/>
      <c r="DY174" s="23"/>
      <c r="DZ174" s="1262"/>
      <c r="EC174" s="23"/>
      <c r="ED174" s="355"/>
      <c r="EE174" s="1257"/>
      <c r="EV174" s="23"/>
      <c r="FD174" s="1847"/>
      <c r="FF174" s="1263"/>
      <c r="FG174" s="1263"/>
      <c r="FN174" s="23"/>
      <c r="FO174" s="23"/>
      <c r="FP174" s="23"/>
      <c r="FQ174" s="355"/>
      <c r="FR174" s="355"/>
      <c r="FS174" s="23"/>
      <c r="FT174" s="23"/>
      <c r="FU174" s="23"/>
      <c r="FW174" s="23"/>
      <c r="FX174" s="23"/>
      <c r="GH174" s="23"/>
      <c r="GI174" s="23"/>
      <c r="GJ174" s="1262"/>
      <c r="GK174" s="23"/>
      <c r="GL174" s="23"/>
      <c r="GM174" s="23"/>
      <c r="GN174" s="23"/>
      <c r="GO174" s="23"/>
      <c r="GP174" s="23"/>
      <c r="GQ174" s="23"/>
      <c r="GX174" s="23"/>
      <c r="GY174" s="23"/>
      <c r="GZ174" s="23"/>
      <c r="HA174" s="1262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W174" s="23"/>
      <c r="HX174" s="23"/>
      <c r="HY174" s="23"/>
      <c r="IA174" s="23"/>
      <c r="IB174" s="23"/>
      <c r="IC174" s="1262"/>
      <c r="ID174" s="23"/>
      <c r="IE174" s="1264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355"/>
      <c r="IQ174" s="23"/>
      <c r="IR174" s="355"/>
      <c r="IS174" s="1264"/>
      <c r="IT174" s="23"/>
      <c r="IU174" s="23"/>
      <c r="IV174" s="23"/>
      <c r="IW174" s="23"/>
      <c r="IX174" s="23"/>
      <c r="IY174" s="23"/>
      <c r="IZ174" s="23"/>
      <c r="JA174" s="23"/>
      <c r="JB174" s="23"/>
      <c r="JC174" s="23"/>
      <c r="JD174" s="23"/>
      <c r="JE174" s="23"/>
      <c r="JF174" s="23"/>
      <c r="JG174" s="23"/>
      <c r="JH174" s="355"/>
      <c r="JI174" s="1264"/>
      <c r="JJ174" s="1264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3"/>
      <c r="KA174" s="355"/>
      <c r="KB174" s="23"/>
      <c r="KC174" s="23"/>
      <c r="KD174" s="23"/>
      <c r="KE174" s="23"/>
      <c r="KF174" s="23"/>
      <c r="KG174" s="23"/>
      <c r="KH174" s="23"/>
      <c r="KI174" s="355"/>
      <c r="KJ174" s="23"/>
      <c r="KK174" s="23"/>
      <c r="KL174" s="23"/>
      <c r="KM174" s="23"/>
      <c r="KN174" s="23"/>
      <c r="KO174" s="23"/>
      <c r="KP174" s="23"/>
      <c r="KQ174" s="355"/>
      <c r="KR174" s="23"/>
      <c r="KS174" s="355"/>
      <c r="KT174" s="23"/>
      <c r="KU174" s="23"/>
      <c r="KV174" s="23"/>
      <c r="KW174" s="355"/>
      <c r="KX174" s="23"/>
      <c r="KY174" s="23"/>
      <c r="KZ174" s="355"/>
      <c r="LA174" s="23"/>
      <c r="LB174" s="23"/>
      <c r="LC174" s="355"/>
      <c r="LD174" s="355"/>
      <c r="LE174" s="23"/>
      <c r="LF174" s="23"/>
      <c r="LG174" s="355"/>
    </row>
    <row r="175" spans="1:319">
      <c r="A175" s="23"/>
      <c r="B175" s="697" t="s">
        <v>10</v>
      </c>
      <c r="C175" s="355" t="s">
        <v>0</v>
      </c>
      <c r="D175" s="1257"/>
      <c r="E175" s="812"/>
      <c r="F175" s="812"/>
      <c r="G175" s="815"/>
      <c r="H175" s="812"/>
      <c r="I175" s="812"/>
      <c r="J175" s="815"/>
      <c r="K175" s="23"/>
      <c r="L175" s="23"/>
      <c r="M175" s="23"/>
      <c r="N175" s="23"/>
      <c r="O175" s="23"/>
      <c r="P175" s="23"/>
      <c r="Q175" s="23"/>
      <c r="R175" s="23"/>
      <c r="S175" s="1257"/>
      <c r="T175" s="23"/>
      <c r="U175" s="23"/>
      <c r="V175" s="23"/>
      <c r="W175" s="23"/>
      <c r="X175" s="23"/>
      <c r="Y175" s="23"/>
      <c r="Z175" s="23"/>
      <c r="AA175" s="23"/>
      <c r="AB175" s="1257"/>
      <c r="AC175" s="23"/>
      <c r="AD175" s="23"/>
      <c r="AE175" s="23"/>
      <c r="AF175" s="23"/>
      <c r="AG175" s="23"/>
      <c r="AH175" s="23"/>
      <c r="AI175" s="23"/>
      <c r="AJ175" s="23"/>
      <c r="AK175" s="1257"/>
      <c r="AL175" s="23"/>
      <c r="AM175" s="23"/>
      <c r="AN175" s="23"/>
      <c r="AO175" s="23"/>
      <c r="AP175" s="23"/>
      <c r="AQ175" s="23"/>
      <c r="AR175" s="23"/>
      <c r="AS175" s="23"/>
      <c r="AT175" s="1257"/>
      <c r="AU175" s="23"/>
      <c r="AV175" s="23"/>
      <c r="AW175" s="23"/>
      <c r="AX175" s="23"/>
      <c r="AY175" s="23"/>
      <c r="AZ175" s="23"/>
      <c r="BA175" s="23"/>
      <c r="BB175" s="334"/>
      <c r="BC175" s="334"/>
      <c r="BD175" s="1258"/>
      <c r="BE175" s="23"/>
      <c r="BF175" s="1257"/>
      <c r="BG175" s="23"/>
      <c r="BH175" s="23"/>
      <c r="BI175" s="23"/>
      <c r="BJ175" s="1257"/>
      <c r="BO175" s="1257"/>
      <c r="BP175" s="23"/>
      <c r="BQ175" s="1258"/>
      <c r="BR175" s="23"/>
      <c r="BS175" s="1258"/>
      <c r="BT175" s="23"/>
      <c r="BU175" s="23"/>
      <c r="BV175" s="23"/>
      <c r="BW175" s="1258"/>
      <c r="BX175" s="23"/>
      <c r="BY175" s="23"/>
      <c r="BZ175" s="1258"/>
      <c r="CA175" s="1258"/>
      <c r="CB175" s="1258"/>
      <c r="CC175" s="23"/>
      <c r="CD175" s="23"/>
      <c r="CE175" s="23"/>
      <c r="CF175" s="1257"/>
      <c r="CG175" s="1259"/>
      <c r="CH175" s="812"/>
      <c r="CI175" s="812"/>
      <c r="CJ175" s="812"/>
      <c r="CK175" s="812"/>
      <c r="CL175" s="812"/>
      <c r="CM175" s="812"/>
      <c r="CN175" s="812"/>
      <c r="CO175" s="812"/>
      <c r="CP175" s="812"/>
      <c r="CQ175" s="812"/>
      <c r="CR175" s="812"/>
      <c r="CS175" s="812"/>
      <c r="CT175" s="812"/>
      <c r="CU175" s="812"/>
      <c r="CV175" s="812"/>
      <c r="CW175" s="815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>
        <f t="shared" si="224"/>
        <v>0</v>
      </c>
      <c r="DJ175" s="23"/>
      <c r="DK175" s="23"/>
      <c r="DL175" s="355"/>
      <c r="DM175" s="355"/>
      <c r="DN175" s="23"/>
      <c r="DO175" s="23"/>
      <c r="DP175" s="23"/>
      <c r="DQ175" s="23"/>
      <c r="DR175" s="23"/>
      <c r="DS175" s="355"/>
      <c r="DT175" s="355"/>
      <c r="DU175" s="23"/>
      <c r="DV175" s="23"/>
      <c r="DX175" s="23"/>
      <c r="DY175" s="23"/>
      <c r="DZ175" s="1262"/>
      <c r="EC175" s="23"/>
      <c r="ED175" s="355"/>
      <c r="EE175" s="1257"/>
      <c r="EV175" s="23"/>
      <c r="FD175" s="893"/>
      <c r="FF175" s="180"/>
      <c r="FG175" s="180"/>
      <c r="FN175" s="23"/>
      <c r="FO175" s="23"/>
      <c r="FP175" s="23"/>
      <c r="FQ175" s="355"/>
      <c r="FR175" s="355"/>
      <c r="FS175" s="23"/>
      <c r="FT175" s="23"/>
      <c r="FU175" s="23"/>
      <c r="FW175" s="23"/>
      <c r="FX175" s="23"/>
      <c r="GH175" s="23"/>
      <c r="GI175" s="23"/>
      <c r="GJ175" s="1262"/>
      <c r="GK175" s="23"/>
      <c r="GL175" s="23"/>
      <c r="GM175" s="23"/>
      <c r="GN175" s="23"/>
      <c r="GO175" s="23"/>
      <c r="GP175" s="23"/>
      <c r="GQ175" s="23"/>
      <c r="GX175" s="23"/>
      <c r="GY175" s="23"/>
      <c r="GZ175" s="23"/>
      <c r="HA175" s="1262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W175" s="23"/>
      <c r="HX175" s="23"/>
      <c r="HY175" s="23"/>
      <c r="IA175" s="23"/>
      <c r="IB175" s="23"/>
      <c r="IC175" s="1262"/>
      <c r="ID175" s="23"/>
      <c r="IE175" s="1264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355"/>
      <c r="IQ175" s="23"/>
      <c r="IR175" s="355"/>
      <c r="IS175" s="1264"/>
      <c r="IT175" s="23"/>
      <c r="IU175" s="23"/>
      <c r="IV175" s="23"/>
      <c r="IW175" s="23"/>
      <c r="IX175" s="23"/>
      <c r="IY175" s="23"/>
      <c r="IZ175" s="23"/>
      <c r="JA175" s="23"/>
      <c r="JB175" s="23"/>
      <c r="JC175" s="23"/>
      <c r="JD175" s="23"/>
      <c r="JE175" s="23"/>
      <c r="JF175" s="23"/>
      <c r="JG175" s="23"/>
      <c r="JH175" s="355"/>
      <c r="JI175" s="1264"/>
      <c r="JJ175" s="1264"/>
      <c r="JK175" s="23"/>
      <c r="JL175" s="23"/>
      <c r="JM175" s="23"/>
      <c r="JN175" s="23"/>
      <c r="JO175" s="23"/>
      <c r="JP175" s="23"/>
      <c r="JQ175" s="23"/>
      <c r="JR175" s="23"/>
      <c r="JS175" s="23"/>
      <c r="JT175" s="23"/>
      <c r="JU175" s="23"/>
      <c r="JV175" s="23"/>
      <c r="JW175" s="23"/>
      <c r="JX175" s="23"/>
      <c r="JY175" s="23"/>
      <c r="JZ175" s="23"/>
      <c r="KA175" s="355"/>
      <c r="KB175" s="23"/>
      <c r="KC175" s="23"/>
      <c r="KD175" s="23"/>
      <c r="KE175" s="23"/>
      <c r="KF175" s="23"/>
      <c r="KG175" s="23"/>
      <c r="KH175" s="23"/>
      <c r="KI175" s="355"/>
      <c r="KJ175" s="23"/>
      <c r="KK175" s="23"/>
      <c r="KL175" s="23"/>
      <c r="KM175" s="23"/>
      <c r="KN175" s="23"/>
      <c r="KO175" s="23"/>
      <c r="KP175" s="23"/>
      <c r="KQ175" s="355"/>
      <c r="KR175" s="23"/>
      <c r="KS175" s="355"/>
      <c r="KT175" s="23"/>
      <c r="KU175" s="23"/>
      <c r="KV175" s="23"/>
      <c r="KW175" s="355"/>
      <c r="KX175" s="23"/>
      <c r="KY175" s="23"/>
      <c r="KZ175" s="355"/>
      <c r="LA175" s="23"/>
      <c r="LB175" s="23"/>
      <c r="LC175" s="355"/>
      <c r="LD175" s="355"/>
      <c r="LE175" s="23"/>
      <c r="LF175" s="23"/>
      <c r="LG175" s="355"/>
    </row>
    <row r="176" spans="1:319">
      <c r="K176" s="23"/>
      <c r="L176" s="23"/>
      <c r="M176" s="23"/>
      <c r="N176" s="23"/>
      <c r="O176" s="23"/>
      <c r="P176" s="23"/>
      <c r="Q176" s="23"/>
      <c r="R176" s="23"/>
      <c r="T176" s="23"/>
      <c r="U176" s="23"/>
      <c r="V176" s="23"/>
      <c r="W176" s="23"/>
      <c r="X176" s="23"/>
      <c r="Y176" s="23"/>
      <c r="Z176" s="23"/>
      <c r="AA176" s="23"/>
      <c r="AC176" s="23"/>
      <c r="AD176" s="23"/>
      <c r="AE176" s="23"/>
      <c r="AF176" s="23"/>
      <c r="AG176" s="23"/>
      <c r="AH176" s="23"/>
      <c r="AI176" s="23"/>
      <c r="AJ176" s="23"/>
      <c r="AL176" s="23"/>
      <c r="AM176" s="23"/>
      <c r="AN176" s="23"/>
      <c r="AO176" s="23"/>
      <c r="AP176" s="23"/>
      <c r="AQ176" s="23"/>
      <c r="AR176" s="23"/>
      <c r="AS176" s="23"/>
      <c r="AU176" s="23"/>
      <c r="AV176" s="23"/>
      <c r="AW176" s="23"/>
      <c r="AX176" s="23"/>
      <c r="AY176" s="23"/>
      <c r="AZ176" s="23"/>
      <c r="BA176" s="23"/>
      <c r="BB176" s="334"/>
      <c r="BC176" s="334"/>
      <c r="BD176" s="1258"/>
      <c r="BE176" s="23"/>
      <c r="BG176" s="23"/>
      <c r="BH176" s="23"/>
      <c r="BI176" s="23"/>
      <c r="BP176" s="23"/>
      <c r="BQ176" s="1258"/>
      <c r="BR176" s="23"/>
      <c r="BS176" s="1258"/>
      <c r="BT176" s="23"/>
      <c r="BU176" s="23"/>
      <c r="BV176" s="23"/>
      <c r="BW176" s="1258"/>
      <c r="BX176" s="23"/>
      <c r="BY176" s="23"/>
      <c r="BZ176" s="1258"/>
      <c r="CA176" s="1258"/>
      <c r="CB176" s="1258"/>
      <c r="CC176" s="23"/>
      <c r="CD176" s="23"/>
      <c r="CE176" s="23"/>
      <c r="DI176" s="1">
        <f t="shared" si="224"/>
        <v>0</v>
      </c>
      <c r="DL176" s="355"/>
      <c r="DM176" s="355"/>
      <c r="DN176" s="23"/>
      <c r="DO176" s="23"/>
      <c r="DP176" s="23"/>
      <c r="DQ176" s="23"/>
      <c r="DR176" s="23"/>
      <c r="DS176" s="355"/>
      <c r="DT176" s="355"/>
      <c r="DU176" s="23"/>
      <c r="DV176" s="23"/>
      <c r="DX176" s="23"/>
      <c r="DY176" s="23"/>
      <c r="EC176" s="23"/>
      <c r="ED176" s="355"/>
      <c r="EV176" s="23"/>
      <c r="FD176" s="805"/>
      <c r="FF176" s="702"/>
      <c r="FG176" s="702"/>
      <c r="FN176" s="23"/>
      <c r="FO176" s="23"/>
      <c r="FP176" s="23"/>
      <c r="FQ176" s="355"/>
      <c r="FR176" s="355"/>
      <c r="FS176" s="23"/>
      <c r="FT176" s="23"/>
      <c r="FU176" s="23"/>
      <c r="FW176" s="23"/>
      <c r="FX176" s="23"/>
      <c r="GH176" s="23"/>
      <c r="GI176" s="23"/>
      <c r="GJ176" s="1262"/>
      <c r="GK176" s="23"/>
      <c r="GL176" s="23"/>
      <c r="GM176" s="23"/>
      <c r="GN176" s="23"/>
      <c r="GO176" s="23"/>
      <c r="GP176" s="23"/>
      <c r="GQ176" s="23"/>
      <c r="GX176" s="23"/>
      <c r="GY176" s="23"/>
      <c r="GZ176" s="23"/>
      <c r="HA176" s="1262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W176" s="23"/>
      <c r="HX176" s="23"/>
      <c r="HY176" s="23"/>
      <c r="IA176" s="23"/>
      <c r="IB176" s="23"/>
      <c r="IC176" s="1262"/>
      <c r="ID176" s="23"/>
      <c r="IE176" s="1264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355"/>
      <c r="IQ176" s="23"/>
      <c r="IR176" s="355"/>
      <c r="IS176" s="1264"/>
      <c r="IT176" s="23"/>
      <c r="IU176" s="23"/>
      <c r="IV176" s="23"/>
      <c r="IW176" s="23"/>
      <c r="IX176" s="23"/>
      <c r="IY176" s="23"/>
      <c r="IZ176" s="23"/>
      <c r="JA176" s="23"/>
      <c r="JB176" s="23"/>
      <c r="JC176" s="23"/>
      <c r="JD176" s="23"/>
      <c r="JE176" s="23"/>
      <c r="JF176" s="23"/>
      <c r="JG176" s="23"/>
      <c r="JH176" s="355"/>
      <c r="JI176" s="1264"/>
      <c r="JJ176" s="1264"/>
      <c r="JK176" s="23"/>
      <c r="JL176" s="23"/>
      <c r="JM176" s="23"/>
      <c r="JN176" s="23"/>
      <c r="JO176" s="23"/>
      <c r="JP176" s="23"/>
      <c r="JQ176" s="23"/>
      <c r="JR176" s="23"/>
      <c r="JS176" s="23"/>
      <c r="JT176" s="23"/>
      <c r="JU176" s="23"/>
      <c r="JV176" s="23"/>
      <c r="JW176" s="23"/>
      <c r="JX176" s="23"/>
      <c r="JY176" s="23"/>
      <c r="JZ176" s="23"/>
      <c r="KA176" s="355"/>
      <c r="KB176" s="23"/>
      <c r="KC176" s="23"/>
      <c r="KD176" s="23"/>
      <c r="KE176" s="23"/>
      <c r="KF176" s="23"/>
      <c r="KG176" s="23"/>
      <c r="KH176" s="23"/>
      <c r="KI176" s="355"/>
      <c r="KJ176" s="23"/>
      <c r="KK176" s="23"/>
      <c r="KL176" s="23"/>
      <c r="KM176" s="23"/>
      <c r="KN176" s="23"/>
      <c r="KO176" s="23"/>
      <c r="KP176" s="23"/>
      <c r="KQ176" s="355"/>
      <c r="KR176" s="23"/>
      <c r="KS176" s="355"/>
      <c r="KT176" s="23"/>
      <c r="KU176" s="23"/>
      <c r="KV176" s="23"/>
      <c r="KW176" s="355"/>
      <c r="KX176" s="23"/>
      <c r="KY176" s="23"/>
      <c r="KZ176" s="355"/>
      <c r="LA176" s="23"/>
      <c r="LB176" s="23"/>
      <c r="LC176" s="355"/>
      <c r="LD176" s="355"/>
      <c r="LE176" s="23"/>
      <c r="LF176" s="23"/>
      <c r="LG176" s="355"/>
    </row>
    <row r="177" spans="113:173">
      <c r="DI177" s="1">
        <f t="shared" si="224"/>
        <v>0</v>
      </c>
      <c r="FQ177" s="356"/>
    </row>
    <row r="178" spans="113:173">
      <c r="DI178" s="1">
        <f t="shared" si="224"/>
        <v>0</v>
      </c>
      <c r="FQ178" s="356"/>
    </row>
    <row r="179" spans="113:173">
      <c r="FQ179" s="356"/>
    </row>
    <row r="180" spans="113:173">
      <c r="FQ180" s="356"/>
    </row>
  </sheetData>
  <mergeCells count="26">
    <mergeCell ref="CG2:CW2"/>
    <mergeCell ref="DU2:DY2"/>
    <mergeCell ref="EW2:FL2"/>
    <mergeCell ref="LF2:LG2"/>
    <mergeCell ref="GL2:GW2"/>
    <mergeCell ref="FN2:FQ2"/>
    <mergeCell ref="EG2:EU2"/>
    <mergeCell ref="LA2:LC2"/>
    <mergeCell ref="KU2:KW2"/>
    <mergeCell ref="KX2:KZ2"/>
    <mergeCell ref="KO1:KQ1"/>
    <mergeCell ref="KL1:KM1"/>
    <mergeCell ref="E2:G2"/>
    <mergeCell ref="H2:J2"/>
    <mergeCell ref="CY2:DL2"/>
    <mergeCell ref="BP2:CE2"/>
    <mergeCell ref="BK2:BM2"/>
    <mergeCell ref="K2:R2"/>
    <mergeCell ref="T2:AA2"/>
    <mergeCell ref="AC2:AJ2"/>
    <mergeCell ref="AL2:AS2"/>
    <mergeCell ref="AU2:BE2"/>
    <mergeCell ref="BG2:BI2"/>
    <mergeCell ref="DR1:DS1"/>
    <mergeCell ref="EA2:ED2"/>
    <mergeCell ref="FS2:GI2"/>
  </mergeCells>
  <phoneticPr fontId="96"/>
  <dataValidations disablePrompts="1" count="1">
    <dataValidation allowBlank="1" sqref="BF162:BF163 D162:J163 BJ157:BJ158 AK157:AK158 B1 D54:J55 AK54:AK55 S162:S163 D157:J158 AB54:AB55 AB162:AB163 S157:S158 S54:S55 AK162:AK163 AB157:AB158 AT162:AT163 AT54:AT55 BO162:BO163 AT157:AT158 BJ54:BJ55 BF54:BF55 BF157:BF158 BO157:BO158 BO54:BO55 BJ162:BJ163 EE162:EE163 EE54:EE55 EE157:EE158 DZ162:DZ163 DZ157:DZ158 CM157:CM158 CF157:CK158 DZ54:DZ55 CN158:CQ158 CT158 CO159:CO163 CU163 CF162:CN163 CP162:CT163 CF54:DK55 CV158:DK158 CV162:DK163 B168:B171" xr:uid="{00000000-0002-0000-0700-000000000000}"/>
  </dataValidations>
  <pageMargins left="0" right="0" top="0.15748031496063" bottom="0" header="0.31496062992126" footer="0.31496062992126"/>
  <pageSetup paperSize="8" scale="10" orientation="portrait" r:id="rId1"/>
  <colBreaks count="1" manualBreakCount="1">
    <brk id="134" max="114" man="1"/>
  </colBreaks>
  <customProperties>
    <customPr name="Qube.Worksheet.Visibility" r:id="rId2"/>
    <customPr name="QXL_SHEET_ID" r:id="rId3"/>
  </customProperties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pageSetUpPr fitToPage="1"/>
  </sheetPr>
  <dimension ref="A1:BM573"/>
  <sheetViews>
    <sheetView showGridLines="0" zoomScaleNormal="100" zoomScaleSheetLayoutView="85" workbookViewId="0">
      <pane xSplit="16" ySplit="11" topLeftCell="V12" activePane="bottomRight" state="frozen"/>
      <selection activeCell="AH168" sqref="AH168"/>
      <selection pane="topRight" activeCell="AH168" sqref="AH168"/>
      <selection pane="bottomLeft" activeCell="AH168" sqref="AH168"/>
      <selection pane="bottomRight"/>
    </sheetView>
  </sheetViews>
  <sheetFormatPr defaultColWidth="9.75" defaultRowHeight="12" outlineLevelRow="1" outlineLevelCol="1"/>
  <cols>
    <col min="1" max="1" width="2.08203125" style="1" customWidth="1"/>
    <col min="2" max="2" width="26.83203125" style="1261" customWidth="1" outlineLevel="1"/>
    <col min="3" max="3" width="28.08203125" style="1" customWidth="1"/>
    <col min="4" max="7" width="9.75" style="1" hidden="1" customWidth="1" outlineLevel="1"/>
    <col min="8" max="16" width="0" style="1" hidden="1" customWidth="1" outlineLevel="1"/>
    <col min="17" max="17" width="0" style="1" hidden="1" customWidth="1" collapsed="1"/>
    <col min="18" max="21" width="9.75" style="1" hidden="1" customWidth="1" outlineLevel="1"/>
    <col min="22" max="22" width="9.5" style="1" hidden="1" customWidth="1" outlineLevel="1" collapsed="1"/>
    <col min="23" max="31" width="9.5" style="1" hidden="1" customWidth="1" outlineLevel="1"/>
    <col min="32" max="32" width="9.5" style="1" customWidth="1" collapsed="1"/>
    <col min="33" max="33" width="9.5" style="1" customWidth="1"/>
    <col min="34" max="34" width="9.5" style="1934" customWidth="1"/>
    <col min="35" max="35" width="9.5" style="1" customWidth="1"/>
    <col min="36" max="36" width="9.5" style="1934" customWidth="1"/>
    <col min="37" max="37" width="9.5" style="356" customWidth="1"/>
    <col min="38" max="42" width="9.5" style="1" customWidth="1"/>
    <col min="43" max="43" width="3" style="1" customWidth="1"/>
    <col min="44" max="44" width="12.75" style="1" customWidth="1"/>
    <col min="45" max="45" width="3" style="1" customWidth="1"/>
    <col min="46" max="46" width="9.75" style="1" customWidth="1"/>
    <col min="47" max="47" width="12.75" style="1" hidden="1" customWidth="1" outlineLevel="1"/>
    <col min="48" max="48" width="2.75" style="1" customWidth="1" collapsed="1"/>
    <col min="49" max="16384" width="9.75" style="1"/>
  </cols>
  <sheetData>
    <row r="1" spans="1:65" ht="12.5" thickBot="1">
      <c r="A1" s="100"/>
      <c r="B1" s="100"/>
      <c r="C1" s="100"/>
      <c r="D1" s="100"/>
      <c r="E1" s="100"/>
      <c r="F1" s="100"/>
      <c r="G1" s="100"/>
      <c r="H1" s="100"/>
      <c r="I1" s="100"/>
      <c r="J1" s="186"/>
      <c r="K1" s="186"/>
      <c r="L1" s="186"/>
      <c r="O1" s="186"/>
      <c r="P1" s="186"/>
      <c r="Q1" s="186"/>
      <c r="R1" s="186"/>
      <c r="S1" s="103" t="s">
        <v>294</v>
      </c>
      <c r="T1" s="104" t="e">
        <f>#REF!</f>
        <v>#REF!</v>
      </c>
      <c r="U1" s="186"/>
    </row>
    <row r="2" spans="1:65" ht="15.5">
      <c r="B2" s="2" t="s">
        <v>9</v>
      </c>
      <c r="C2" s="2" t="s">
        <v>8</v>
      </c>
      <c r="D2" s="25"/>
      <c r="E2" s="25"/>
      <c r="F2" s="25"/>
      <c r="G2" s="25"/>
      <c r="H2" s="25"/>
      <c r="I2" s="2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935"/>
      <c r="AI2" s="105"/>
      <c r="AJ2" s="1935"/>
      <c r="AK2" s="191"/>
      <c r="AL2" s="105"/>
      <c r="AM2" s="105"/>
      <c r="AN2" s="105"/>
      <c r="AO2" s="105"/>
      <c r="AP2" s="105"/>
      <c r="AR2" s="1321"/>
      <c r="AT2" s="1321" t="s">
        <v>1283</v>
      </c>
      <c r="AU2" s="1321"/>
    </row>
    <row r="3" spans="1:65" ht="15.5">
      <c r="B3" s="2" t="s">
        <v>7</v>
      </c>
      <c r="C3" s="2" t="s">
        <v>6</v>
      </c>
      <c r="D3" s="192">
        <v>33694</v>
      </c>
      <c r="E3" s="192">
        <v>34059</v>
      </c>
      <c r="F3" s="192">
        <v>34424</v>
      </c>
      <c r="G3" s="192">
        <v>34789</v>
      </c>
      <c r="H3" s="192">
        <f>+'Raw Data'!D6</f>
        <v>35155</v>
      </c>
      <c r="I3" s="192">
        <f>+'Raw Data'!E6</f>
        <v>35520</v>
      </c>
      <c r="J3" s="192">
        <f>+'Raw Data'!F6</f>
        <v>35885</v>
      </c>
      <c r="K3" s="192">
        <f>+'Raw Data'!G6</f>
        <v>36250</v>
      </c>
      <c r="L3" s="192">
        <f>+'Raw Data'!H6</f>
        <v>36616</v>
      </c>
      <c r="M3" s="192">
        <f>+'Raw Data'!I6</f>
        <v>36981</v>
      </c>
      <c r="N3" s="192">
        <f>+'Raw Data'!J6</f>
        <v>37346</v>
      </c>
      <c r="O3" s="192">
        <f>+'Raw Data'!K6</f>
        <v>37711</v>
      </c>
      <c r="P3" s="192">
        <f>+'Raw Data'!L6</f>
        <v>38077</v>
      </c>
      <c r="Q3" s="192">
        <f>+'Raw Data'!M6</f>
        <v>38442</v>
      </c>
      <c r="R3" s="192">
        <f>+'Raw Data'!N6</f>
        <v>38807</v>
      </c>
      <c r="S3" s="192">
        <f>+'Raw Data'!O6</f>
        <v>39172</v>
      </c>
      <c r="T3" s="192">
        <f>+'Raw Data'!P6</f>
        <v>39538</v>
      </c>
      <c r="U3" s="192">
        <f>+'Raw Data'!Q6</f>
        <v>39903</v>
      </c>
      <c r="V3" s="192">
        <f>+'Raw Data'!R6</f>
        <v>40268</v>
      </c>
      <c r="W3" s="192">
        <f>+'Raw Data'!S6</f>
        <v>40633</v>
      </c>
      <c r="X3" s="192">
        <v>40999</v>
      </c>
      <c r="Y3" s="192">
        <v>41364</v>
      </c>
      <c r="Z3" s="192">
        <v>41699</v>
      </c>
      <c r="AA3" s="192">
        <v>42064</v>
      </c>
      <c r="AB3" s="192">
        <v>42430</v>
      </c>
      <c r="AC3" s="192">
        <v>42795</v>
      </c>
      <c r="AD3" s="192">
        <v>43160</v>
      </c>
      <c r="AE3" s="192" t="s">
        <v>1205</v>
      </c>
      <c r="AF3" s="192" t="s">
        <v>1206</v>
      </c>
      <c r="AG3" s="192" t="s">
        <v>1207</v>
      </c>
      <c r="AH3" s="1936" t="s">
        <v>1233</v>
      </c>
      <c r="AI3" s="192" t="s">
        <v>1233</v>
      </c>
      <c r="AJ3" s="1936" t="s">
        <v>1337</v>
      </c>
      <c r="AK3" s="1322" t="s">
        <v>1252</v>
      </c>
      <c r="AL3" s="192" t="s">
        <v>1279</v>
      </c>
      <c r="AM3" s="192" t="s">
        <v>1307</v>
      </c>
      <c r="AN3" s="192" t="s">
        <v>1333</v>
      </c>
      <c r="AO3" s="192" t="s">
        <v>1370</v>
      </c>
      <c r="AP3" s="192" t="s">
        <v>1399</v>
      </c>
      <c r="AR3" s="192" t="s">
        <v>1458</v>
      </c>
      <c r="AT3" s="192" t="s">
        <v>1391</v>
      </c>
      <c r="AU3" s="192" t="s">
        <v>1354</v>
      </c>
    </row>
    <row r="4" spans="1:65" s="199" customFormat="1" ht="11.5">
      <c r="A4" s="1924"/>
      <c r="B4" s="196"/>
      <c r="C4" s="196"/>
      <c r="D4" s="197">
        <v>1991</v>
      </c>
      <c r="E4" s="197">
        <v>1992</v>
      </c>
      <c r="F4" s="197">
        <v>1993</v>
      </c>
      <c r="G4" s="197">
        <v>1994</v>
      </c>
      <c r="H4" s="197">
        <f>+'Raw Data'!D7</f>
        <v>1995</v>
      </c>
      <c r="I4" s="197">
        <f>+'Raw Data'!E7</f>
        <v>1996</v>
      </c>
      <c r="J4" s="197">
        <f>+'Raw Data'!F7</f>
        <v>1997</v>
      </c>
      <c r="K4" s="197">
        <f>+'Raw Data'!G7</f>
        <v>1998</v>
      </c>
      <c r="L4" s="197">
        <f>+'Raw Data'!H7</f>
        <v>1999</v>
      </c>
      <c r="M4" s="197">
        <f>+'Raw Data'!I7</f>
        <v>2000</v>
      </c>
      <c r="N4" s="197">
        <f>+'Raw Data'!J7</f>
        <v>2001</v>
      </c>
      <c r="O4" s="197">
        <f>+'Raw Data'!K7</f>
        <v>2002</v>
      </c>
      <c r="P4" s="197">
        <f>+'Raw Data'!L7</f>
        <v>2003</v>
      </c>
      <c r="Q4" s="197">
        <f>+'Raw Data'!M7</f>
        <v>2004</v>
      </c>
      <c r="R4" s="197">
        <f>+'Raw Data'!N7</f>
        <v>2005</v>
      </c>
      <c r="S4" s="197">
        <f>+'Raw Data'!O7</f>
        <v>2006</v>
      </c>
      <c r="T4" s="197">
        <f>+'Raw Data'!P7</f>
        <v>2007</v>
      </c>
      <c r="U4" s="197">
        <f>+'Raw Data'!Q7</f>
        <v>2008</v>
      </c>
      <c r="V4" s="197">
        <f>+'Raw Data'!R7</f>
        <v>2009</v>
      </c>
      <c r="W4" s="197">
        <f>+'Raw Data'!S7</f>
        <v>2010</v>
      </c>
      <c r="X4" s="196">
        <v>2011</v>
      </c>
      <c r="Y4" s="196">
        <v>2012</v>
      </c>
      <c r="Z4" s="196">
        <f>+Y4+1</f>
        <v>2013</v>
      </c>
      <c r="AA4" s="196">
        <f t="shared" ref="AA4:AC4" si="0">+Z4+1</f>
        <v>2014</v>
      </c>
      <c r="AB4" s="196">
        <f t="shared" si="0"/>
        <v>2015</v>
      </c>
      <c r="AC4" s="196">
        <f t="shared" si="0"/>
        <v>2016</v>
      </c>
      <c r="AD4" s="196">
        <v>2017</v>
      </c>
      <c r="AE4" s="196" t="s">
        <v>1204</v>
      </c>
      <c r="AF4" s="196">
        <v>2019</v>
      </c>
      <c r="AG4" s="196">
        <v>2020</v>
      </c>
      <c r="AH4" s="1937">
        <v>2021</v>
      </c>
      <c r="AI4" s="196">
        <v>2021</v>
      </c>
      <c r="AJ4" s="1937">
        <v>2022</v>
      </c>
      <c r="AK4" s="198">
        <v>2022</v>
      </c>
      <c r="AL4" s="196" t="s">
        <v>1278</v>
      </c>
      <c r="AM4" s="196" t="s">
        <v>1306</v>
      </c>
      <c r="AN4" s="196" t="s">
        <v>1332</v>
      </c>
      <c r="AO4" s="196" t="s">
        <v>1369</v>
      </c>
      <c r="AP4" s="196" t="s">
        <v>1400</v>
      </c>
      <c r="AR4" s="1323" t="s">
        <v>1432</v>
      </c>
      <c r="AT4" s="1323" t="s">
        <v>1392</v>
      </c>
      <c r="AU4" s="1323" t="s">
        <v>1355</v>
      </c>
    </row>
    <row r="5" spans="1:65" outlineLevel="1">
      <c r="B5" s="1324"/>
      <c r="C5" s="1325"/>
      <c r="D5" s="1326"/>
      <c r="E5" s="1326"/>
      <c r="F5" s="1326"/>
      <c r="G5" s="1326"/>
      <c r="H5" s="1325"/>
      <c r="I5" s="1325"/>
      <c r="J5" s="1325"/>
      <c r="K5" s="1325"/>
      <c r="L5" s="1325"/>
      <c r="M5" s="1325"/>
      <c r="N5" s="1325"/>
      <c r="O5" s="1325"/>
      <c r="P5" s="1325"/>
      <c r="Q5" s="1325"/>
      <c r="R5" s="1325"/>
      <c r="S5" s="1325"/>
      <c r="T5" s="1325"/>
      <c r="U5" s="1325"/>
      <c r="V5" s="1325"/>
      <c r="W5" s="1325"/>
      <c r="X5" s="1325"/>
      <c r="Y5" s="1325"/>
      <c r="Z5" s="1325"/>
      <c r="AA5" s="1325"/>
      <c r="AB5" s="1325"/>
      <c r="AC5" s="1325"/>
      <c r="AD5" s="1325"/>
      <c r="AE5" s="1325"/>
      <c r="AF5" s="1325"/>
      <c r="AG5" s="1325"/>
      <c r="AI5" s="1325"/>
      <c r="AK5" s="1327"/>
      <c r="AL5" s="1325"/>
      <c r="AM5" s="1325"/>
      <c r="AN5" s="1325"/>
      <c r="AO5" s="1325"/>
      <c r="AP5" s="1325"/>
    </row>
    <row r="6" spans="1:65" outlineLevel="1">
      <c r="B6" s="1324" t="s">
        <v>1131</v>
      </c>
      <c r="C6" s="1325" t="s">
        <v>624</v>
      </c>
      <c r="D6" s="1326"/>
      <c r="E6" s="1326"/>
      <c r="F6" s="1326"/>
      <c r="G6" s="1326"/>
      <c r="H6" s="1325"/>
      <c r="I6" s="1325"/>
      <c r="J6" s="1325"/>
      <c r="K6" s="1325"/>
      <c r="L6" s="1325"/>
      <c r="M6" s="1325"/>
      <c r="N6" s="1325"/>
      <c r="O6" s="1325"/>
      <c r="P6" s="1325"/>
      <c r="Q6" s="1325"/>
      <c r="R6" s="1325"/>
      <c r="S6" s="1325"/>
      <c r="T6" s="1325"/>
      <c r="U6" s="1325"/>
      <c r="V6" s="1325"/>
      <c r="W6" s="1325"/>
      <c r="X6" s="1325"/>
      <c r="Y6" s="1325"/>
      <c r="Z6" s="1325"/>
      <c r="AA6" s="1325"/>
      <c r="AB6" s="1325"/>
      <c r="AC6" s="1325"/>
      <c r="AD6" s="1325"/>
      <c r="AE6" s="1325"/>
      <c r="AF6" s="1325"/>
      <c r="AG6" s="1325"/>
      <c r="AI6" s="1325"/>
      <c r="AK6" s="1327"/>
      <c r="AL6" s="1325"/>
      <c r="AM6" s="1325"/>
      <c r="AN6" s="1325"/>
      <c r="AO6" s="1325"/>
      <c r="AP6" s="1325"/>
    </row>
    <row r="7" spans="1:65" outlineLevel="1">
      <c r="B7" s="1324" t="s">
        <v>1132</v>
      </c>
      <c r="C7" s="1325" t="s">
        <v>623</v>
      </c>
      <c r="D7" s="1326">
        <v>1991</v>
      </c>
      <c r="E7" s="1326">
        <f t="shared" ref="E7:T7" si="1">D7+1</f>
        <v>1992</v>
      </c>
      <c r="F7" s="1326">
        <f t="shared" si="1"/>
        <v>1993</v>
      </c>
      <c r="G7" s="1326">
        <f t="shared" si="1"/>
        <v>1994</v>
      </c>
      <c r="H7" s="1325">
        <f t="shared" si="1"/>
        <v>1995</v>
      </c>
      <c r="I7" s="1325">
        <f t="shared" si="1"/>
        <v>1996</v>
      </c>
      <c r="J7" s="1325">
        <f t="shared" si="1"/>
        <v>1997</v>
      </c>
      <c r="K7" s="1325">
        <f t="shared" si="1"/>
        <v>1998</v>
      </c>
      <c r="L7" s="1325">
        <f t="shared" si="1"/>
        <v>1999</v>
      </c>
      <c r="M7" s="1325">
        <f t="shared" si="1"/>
        <v>2000</v>
      </c>
      <c r="N7" s="1325">
        <f t="shared" si="1"/>
        <v>2001</v>
      </c>
      <c r="O7" s="1325">
        <f t="shared" si="1"/>
        <v>2002</v>
      </c>
      <c r="P7" s="1325">
        <f t="shared" si="1"/>
        <v>2003</v>
      </c>
      <c r="Q7" s="1325">
        <f t="shared" si="1"/>
        <v>2004</v>
      </c>
      <c r="R7" s="1325">
        <f t="shared" si="1"/>
        <v>2005</v>
      </c>
      <c r="S7" s="1325">
        <f t="shared" si="1"/>
        <v>2006</v>
      </c>
      <c r="T7" s="1325">
        <f t="shared" si="1"/>
        <v>2007</v>
      </c>
      <c r="U7" s="1325">
        <v>2008</v>
      </c>
      <c r="V7" s="1325">
        <v>2009</v>
      </c>
      <c r="W7" s="1325">
        <f t="shared" ref="W7:AP7" si="2">V7+1</f>
        <v>2010</v>
      </c>
      <c r="X7" s="1325">
        <f t="shared" si="2"/>
        <v>2011</v>
      </c>
      <c r="Y7" s="1325">
        <f t="shared" si="2"/>
        <v>2012</v>
      </c>
      <c r="Z7" s="1325">
        <f t="shared" si="2"/>
        <v>2013</v>
      </c>
      <c r="AA7" s="1325">
        <f t="shared" si="2"/>
        <v>2014</v>
      </c>
      <c r="AB7" s="1325">
        <f t="shared" si="2"/>
        <v>2015</v>
      </c>
      <c r="AC7" s="1325">
        <f t="shared" si="2"/>
        <v>2016</v>
      </c>
      <c r="AD7" s="1325">
        <f t="shared" si="2"/>
        <v>2017</v>
      </c>
      <c r="AE7" s="1325">
        <f t="shared" si="2"/>
        <v>2018</v>
      </c>
      <c r="AF7" s="1325">
        <f t="shared" si="2"/>
        <v>2019</v>
      </c>
      <c r="AG7" s="1325">
        <f t="shared" si="2"/>
        <v>2020</v>
      </c>
      <c r="AH7" s="1934">
        <f>AG7+1</f>
        <v>2021</v>
      </c>
      <c r="AI7" s="1325">
        <f>AG7+1</f>
        <v>2021</v>
      </c>
      <c r="AJ7" s="1934">
        <f>AI7+1</f>
        <v>2022</v>
      </c>
      <c r="AK7" s="1327">
        <f>AI7+1</f>
        <v>2022</v>
      </c>
      <c r="AL7" s="1325">
        <f t="shared" si="2"/>
        <v>2023</v>
      </c>
      <c r="AM7" s="1325">
        <f t="shared" si="2"/>
        <v>2024</v>
      </c>
      <c r="AN7" s="1325">
        <f t="shared" si="2"/>
        <v>2025</v>
      </c>
      <c r="AO7" s="1325">
        <f t="shared" si="2"/>
        <v>2026</v>
      </c>
      <c r="AP7" s="1325">
        <f t="shared" si="2"/>
        <v>2027</v>
      </c>
    </row>
    <row r="8" spans="1:65" outlineLevel="1">
      <c r="B8" s="1324"/>
      <c r="C8" s="1325" t="s">
        <v>493</v>
      </c>
      <c r="D8" s="1328" t="s">
        <v>1567</v>
      </c>
      <c r="E8" s="1328" t="s">
        <v>1568</v>
      </c>
      <c r="F8" s="1328" t="s">
        <v>1569</v>
      </c>
      <c r="G8" s="1328" t="s">
        <v>1570</v>
      </c>
      <c r="H8" s="1329" t="s">
        <v>1571</v>
      </c>
      <c r="I8" s="1329" t="s">
        <v>1572</v>
      </c>
      <c r="J8" s="1329" t="s">
        <v>1573</v>
      </c>
      <c r="K8" s="1329" t="s">
        <v>1574</v>
      </c>
      <c r="L8" s="1330">
        <v>36586</v>
      </c>
      <c r="M8" s="1330">
        <v>36951</v>
      </c>
      <c r="N8" s="1330">
        <v>37316</v>
      </c>
      <c r="O8" s="1330">
        <v>37681</v>
      </c>
      <c r="P8" s="1330">
        <v>38047</v>
      </c>
      <c r="Q8" s="1330">
        <v>38412</v>
      </c>
      <c r="R8" s="1330">
        <v>38777</v>
      </c>
      <c r="S8" s="1330">
        <v>39142</v>
      </c>
      <c r="T8" s="1330">
        <v>39508</v>
      </c>
      <c r="U8" s="1330">
        <v>39873</v>
      </c>
      <c r="V8" s="1330">
        <v>40238</v>
      </c>
      <c r="W8" s="1331">
        <v>40603</v>
      </c>
      <c r="X8" s="1331">
        <v>40969</v>
      </c>
      <c r="Y8" s="1331" t="s">
        <v>618</v>
      </c>
      <c r="Z8" s="1331" t="s">
        <v>622</v>
      </c>
      <c r="AA8" s="1331" t="s">
        <v>621</v>
      </c>
      <c r="AB8" s="1331" t="s">
        <v>620</v>
      </c>
      <c r="AC8" s="1331" t="s">
        <v>619</v>
      </c>
      <c r="AD8" s="1331" t="s">
        <v>1111</v>
      </c>
      <c r="AE8" s="1331" t="s">
        <v>1452</v>
      </c>
      <c r="AF8" s="1331" t="s">
        <v>1462</v>
      </c>
      <c r="AG8" s="1331" t="s">
        <v>1463</v>
      </c>
      <c r="AH8" s="1938" t="s">
        <v>1464</v>
      </c>
      <c r="AI8" s="1331" t="s">
        <v>1464</v>
      </c>
      <c r="AJ8" s="1938" t="s">
        <v>1465</v>
      </c>
      <c r="AK8" s="1332" t="s">
        <v>1465</v>
      </c>
      <c r="AL8" s="1331" t="s">
        <v>1453</v>
      </c>
      <c r="AM8" s="1331" t="s">
        <v>1454</v>
      </c>
      <c r="AN8" s="1331" t="s">
        <v>1455</v>
      </c>
      <c r="AO8" s="1331" t="s">
        <v>1456</v>
      </c>
      <c r="AP8" s="1331" t="s">
        <v>1457</v>
      </c>
      <c r="AQ8" s="1333"/>
      <c r="AR8" s="1333"/>
      <c r="AS8" s="1333"/>
      <c r="AT8" s="1333"/>
      <c r="AU8" s="1333"/>
      <c r="AV8" s="1333"/>
      <c r="AW8" s="1333"/>
      <c r="AX8" s="1333"/>
      <c r="AY8" s="1333"/>
      <c r="AZ8" s="1333"/>
      <c r="BA8" s="1333"/>
      <c r="BB8" s="1333"/>
      <c r="BC8" s="1333"/>
      <c r="BD8" s="1333"/>
      <c r="BE8" s="1333"/>
      <c r="BF8" s="1333"/>
      <c r="BG8" s="1333"/>
      <c r="BH8" s="1333"/>
      <c r="BI8" s="1333"/>
      <c r="BJ8" s="1333"/>
      <c r="BK8" s="1333"/>
      <c r="BL8" s="1333"/>
      <c r="BM8" s="1333"/>
    </row>
    <row r="9" spans="1:65" outlineLevel="1">
      <c r="B9" s="1324" t="s">
        <v>1133</v>
      </c>
      <c r="C9" s="1325" t="s">
        <v>617</v>
      </c>
      <c r="D9" s="1326"/>
      <c r="E9" s="1326"/>
      <c r="F9" s="1326"/>
      <c r="G9" s="1326"/>
    </row>
    <row r="10" spans="1:65" outlineLevel="1">
      <c r="B10" s="1324" t="s">
        <v>1134</v>
      </c>
      <c r="C10" s="1325" t="s">
        <v>490</v>
      </c>
      <c r="D10" s="1326"/>
      <c r="E10" s="1326"/>
      <c r="F10" s="1326"/>
      <c r="G10" s="1326"/>
      <c r="H10" s="1334">
        <v>35155</v>
      </c>
      <c r="I10" s="1334">
        <v>35520</v>
      </c>
      <c r="J10" s="1334">
        <v>35885</v>
      </c>
      <c r="K10" s="1334">
        <v>36250</v>
      </c>
      <c r="L10" s="1334">
        <v>36616</v>
      </c>
      <c r="M10" s="1334"/>
      <c r="N10" s="1335"/>
      <c r="O10" s="1334"/>
      <c r="P10" s="1334"/>
      <c r="Q10" s="1334"/>
      <c r="R10" s="1334"/>
      <c r="S10" s="1334"/>
      <c r="T10" s="1334"/>
      <c r="U10" s="1334"/>
      <c r="V10" s="1334"/>
      <c r="W10" s="1336"/>
      <c r="X10" s="1336"/>
      <c r="Y10" s="1336"/>
      <c r="Z10" s="1336"/>
      <c r="AA10" s="1336"/>
      <c r="AB10" s="1336"/>
      <c r="AC10" s="1336"/>
      <c r="AD10" s="1336"/>
      <c r="AE10" s="1336"/>
      <c r="AF10" s="1336"/>
      <c r="AG10" s="1336"/>
      <c r="AH10" s="1939"/>
      <c r="AI10" s="1336"/>
      <c r="AJ10" s="1939"/>
      <c r="AK10" s="1337"/>
      <c r="AL10" s="1336"/>
      <c r="AM10" s="1336"/>
      <c r="AN10" s="1336"/>
      <c r="AO10" s="1336"/>
      <c r="AP10" s="1336"/>
    </row>
    <row r="11" spans="1:65">
      <c r="B11" s="1338"/>
      <c r="D11" s="1339" t="str">
        <f t="shared" ref="D11:L11" si="3">D8</f>
        <v>92/3</v>
      </c>
      <c r="E11" s="1339" t="str">
        <f t="shared" si="3"/>
        <v>93/3</v>
      </c>
      <c r="F11" s="1339" t="str">
        <f t="shared" si="3"/>
        <v>94/3</v>
      </c>
      <c r="G11" s="1339" t="str">
        <f t="shared" si="3"/>
        <v>95/3</v>
      </c>
      <c r="H11" s="1339" t="str">
        <f t="shared" si="3"/>
        <v>96/3</v>
      </c>
      <c r="I11" s="1339" t="str">
        <f t="shared" si="3"/>
        <v>97/3</v>
      </c>
      <c r="J11" s="1339" t="str">
        <f t="shared" si="3"/>
        <v>98/3</v>
      </c>
      <c r="K11" s="1339" t="str">
        <f t="shared" si="3"/>
        <v>99/3</v>
      </c>
      <c r="L11" s="1333">
        <f t="shared" si="3"/>
        <v>36586</v>
      </c>
      <c r="M11" s="1333"/>
      <c r="N11" s="1333"/>
      <c r="O11" s="1333"/>
      <c r="P11" s="1333"/>
      <c r="Q11" s="1333"/>
      <c r="R11" s="1333"/>
      <c r="S11" s="1333"/>
      <c r="T11" s="1333"/>
      <c r="U11" s="1333"/>
      <c r="V11" s="1333"/>
      <c r="W11" s="1333"/>
      <c r="X11" s="1333"/>
      <c r="Y11" s="1333"/>
      <c r="Z11" s="1333"/>
      <c r="AA11" s="1333"/>
      <c r="AB11" s="1333"/>
      <c r="AC11" s="1333"/>
      <c r="AD11" s="1333"/>
      <c r="AE11" s="1333"/>
      <c r="AF11" s="1333"/>
      <c r="AG11" s="1333"/>
      <c r="AH11" s="1940"/>
      <c r="AI11" s="1333"/>
      <c r="AJ11" s="1940"/>
      <c r="AK11" s="1340"/>
      <c r="AL11" s="1333"/>
      <c r="AM11" s="1333"/>
      <c r="AN11" s="1333"/>
      <c r="AO11" s="1333"/>
      <c r="AP11" s="1333"/>
      <c r="AQ11" s="1333"/>
      <c r="AR11" s="1333"/>
      <c r="AS11" s="1333"/>
      <c r="AT11" s="1333"/>
      <c r="AU11" s="1333"/>
      <c r="AV11" s="1333"/>
      <c r="AW11" s="1333"/>
      <c r="AX11" s="1333"/>
      <c r="AY11" s="1333"/>
      <c r="AZ11" s="1333"/>
      <c r="BA11" s="1333"/>
      <c r="BB11" s="1333"/>
      <c r="BC11" s="1333"/>
      <c r="BD11" s="1333"/>
      <c r="BE11" s="1333"/>
      <c r="BF11" s="1333"/>
      <c r="BG11" s="1333"/>
      <c r="BH11" s="1333"/>
      <c r="BI11" s="1333"/>
      <c r="BJ11" s="1333"/>
      <c r="BK11" s="1333"/>
      <c r="BL11" s="1333"/>
      <c r="BM11" s="1333"/>
    </row>
    <row r="12" spans="1:65">
      <c r="A12" s="1341"/>
      <c r="B12" s="1342" t="s">
        <v>5</v>
      </c>
      <c r="C12" s="1343" t="s">
        <v>282</v>
      </c>
      <c r="D12" s="1344">
        <v>205080</v>
      </c>
      <c r="E12" s="1344">
        <v>208290</v>
      </c>
      <c r="F12" s="1344">
        <v>219899</v>
      </c>
      <c r="G12" s="1344">
        <v>244021</v>
      </c>
      <c r="H12" s="1345">
        <v>263300</v>
      </c>
      <c r="I12" s="1345">
        <v>305574</v>
      </c>
      <c r="J12" s="1345">
        <v>314257</v>
      </c>
      <c r="K12" s="1345">
        <v>302821</v>
      </c>
      <c r="L12" s="1346">
        <v>309822</v>
      </c>
      <c r="M12" s="1346">
        <v>319035</v>
      </c>
      <c r="N12" s="1346">
        <v>326334</v>
      </c>
      <c r="O12" s="1346">
        <v>319373</v>
      </c>
      <c r="P12" s="1346">
        <v>310292</v>
      </c>
      <c r="Q12" s="1346">
        <v>307561</v>
      </c>
      <c r="R12" s="1346">
        <v>325679</v>
      </c>
      <c r="S12" s="1346">
        <v>321356</v>
      </c>
      <c r="T12" s="1346">
        <v>314744</v>
      </c>
      <c r="U12" s="1346">
        <v>322063</v>
      </c>
      <c r="V12" s="1346">
        <v>315337</v>
      </c>
      <c r="W12" s="1346">
        <v>305911</v>
      </c>
      <c r="X12" s="1346">
        <f>+'Raw Data'!T9</f>
        <v>320988</v>
      </c>
      <c r="Y12" s="1346">
        <f t="shared" ref="Y12:AD12" si="4">Y152</f>
        <v>344527</v>
      </c>
      <c r="Z12" s="1346">
        <f t="shared" si="4"/>
        <v>372231</v>
      </c>
      <c r="AA12" s="1346">
        <f t="shared" si="4"/>
        <v>381322</v>
      </c>
      <c r="AB12" s="1346">
        <f t="shared" si="4"/>
        <v>383559</v>
      </c>
      <c r="AC12" s="1347">
        <f t="shared" si="4"/>
        <v>382248</v>
      </c>
      <c r="AD12" s="1347">
        <f t="shared" si="4"/>
        <v>388797</v>
      </c>
      <c r="AE12" s="1347">
        <f t="shared" ref="AE12:AH12" si="5">AE152</f>
        <v>401200</v>
      </c>
      <c r="AF12" s="1347">
        <f t="shared" si="5"/>
        <v>416700</v>
      </c>
      <c r="AG12" s="1347">
        <f t="shared" si="5"/>
        <v>421800</v>
      </c>
      <c r="AH12" s="1941">
        <f t="shared" si="5"/>
        <v>341300</v>
      </c>
      <c r="AI12" s="1347">
        <f t="shared" ref="AI12:AK12" si="6">AI152</f>
        <v>361500</v>
      </c>
      <c r="AJ12" s="1941">
        <f t="shared" ref="AJ12" si="7">AJ152</f>
        <v>367300</v>
      </c>
      <c r="AK12" s="1348">
        <f t="shared" si="6"/>
        <v>435786</v>
      </c>
      <c r="AL12" s="1347">
        <f t="shared" ref="AL12" si="8">AL152</f>
        <v>480500</v>
      </c>
      <c r="AM12" s="1347">
        <f t="shared" ref="AM12:AN12" si="9">AM152</f>
        <v>496100</v>
      </c>
      <c r="AN12" s="1347">
        <f t="shared" si="9"/>
        <v>511000</v>
      </c>
      <c r="AO12" s="1347">
        <f t="shared" ref="AO12" si="10">AO152</f>
        <v>527300</v>
      </c>
      <c r="AP12" s="1347">
        <f t="shared" ref="AP12" si="11">AP152</f>
        <v>542400</v>
      </c>
      <c r="AQ12" s="1349"/>
      <c r="AR12" s="1349"/>
      <c r="AS12" s="1349"/>
      <c r="AT12" s="1349">
        <f>Quarterly!KM5</f>
        <v>443000</v>
      </c>
      <c r="AU12" s="1349">
        <f>Quarterly!KW5</f>
        <v>353500</v>
      </c>
      <c r="AV12" s="1349"/>
      <c r="AW12" s="1349"/>
      <c r="AX12" s="1349"/>
      <c r="AY12" s="1349"/>
      <c r="AZ12" s="1349"/>
      <c r="BA12" s="1349"/>
      <c r="BB12" s="1349"/>
      <c r="BC12" s="1349"/>
      <c r="BD12" s="1349"/>
      <c r="BE12" s="1349"/>
      <c r="BF12" s="1349"/>
      <c r="BG12" s="1349"/>
      <c r="BH12" s="1349"/>
      <c r="BI12" s="1349"/>
      <c r="BJ12" s="1349"/>
      <c r="BK12" s="1349"/>
      <c r="BL12" s="1349"/>
      <c r="BM12" s="1349"/>
    </row>
    <row r="13" spans="1:65">
      <c r="A13" s="1341"/>
      <c r="B13" s="1350" t="s">
        <v>616</v>
      </c>
      <c r="C13" s="1341" t="s">
        <v>197</v>
      </c>
      <c r="D13" s="1349">
        <v>150212</v>
      </c>
      <c r="E13" s="1349">
        <v>151743</v>
      </c>
      <c r="F13" s="1349">
        <v>158289</v>
      </c>
      <c r="G13" s="1351">
        <v>178573</v>
      </c>
      <c r="H13" s="1351">
        <v>197415</v>
      </c>
      <c r="I13" s="1351">
        <v>228533</v>
      </c>
      <c r="J13" s="1351">
        <v>235319</v>
      </c>
      <c r="K13" s="1351">
        <v>219316</v>
      </c>
      <c r="L13" s="1351">
        <v>213251</v>
      </c>
      <c r="M13" s="1351">
        <v>214451</v>
      </c>
      <c r="N13" s="1351">
        <v>216057</v>
      </c>
      <c r="O13" s="1351">
        <v>212850</v>
      </c>
      <c r="P13" s="1351">
        <v>203747</v>
      </c>
      <c r="Q13" s="1351">
        <v>197773</v>
      </c>
      <c r="R13" s="1351">
        <v>207905</v>
      </c>
      <c r="S13" s="1351">
        <v>205365</v>
      </c>
      <c r="T13" s="1351">
        <v>199162</v>
      </c>
      <c r="U13" s="1351">
        <v>208620</v>
      </c>
      <c r="V13" s="1351">
        <v>195467</v>
      </c>
      <c r="W13" s="1351">
        <f>W12-W14</f>
        <v>191118</v>
      </c>
      <c r="X13" s="1351">
        <f>+-'Raw Data'!T12</f>
        <v>202610</v>
      </c>
      <c r="Y13" s="1351">
        <f t="shared" ref="Y13:AC13" si="12">Y12-Y14</f>
        <v>214908</v>
      </c>
      <c r="Z13" s="1351">
        <f t="shared" si="12"/>
        <v>230221</v>
      </c>
      <c r="AA13" s="1351">
        <f t="shared" si="12"/>
        <v>244987</v>
      </c>
      <c r="AB13" s="1351">
        <f t="shared" si="12"/>
        <v>240773</v>
      </c>
      <c r="AC13" s="1351">
        <f t="shared" si="12"/>
        <v>237262</v>
      </c>
      <c r="AD13" s="1351">
        <f>AD12-AD14</f>
        <v>241990</v>
      </c>
      <c r="AE13" s="1351">
        <f t="shared" ref="AE13:AH13" si="13">AE12-AE14</f>
        <v>254890</v>
      </c>
      <c r="AF13" s="1351">
        <f t="shared" si="13"/>
        <v>262580</v>
      </c>
      <c r="AG13" s="1351">
        <f t="shared" si="13"/>
        <v>256550</v>
      </c>
      <c r="AH13" s="1942">
        <f t="shared" si="13"/>
        <v>176050</v>
      </c>
      <c r="AI13" s="1351">
        <f t="shared" ref="AI13:AK13" si="14">AI12-AI14</f>
        <v>270982</v>
      </c>
      <c r="AJ13" s="1942">
        <f t="shared" ref="AJ13" si="15">AJ12-AJ14</f>
        <v>259258</v>
      </c>
      <c r="AK13" s="1352">
        <f t="shared" si="14"/>
        <v>327744</v>
      </c>
      <c r="AL13" s="1351">
        <f t="shared" ref="AL13" si="16">AL12-AL14</f>
        <v>353900</v>
      </c>
      <c r="AM13" s="1351">
        <f t="shared" ref="AM13:AN13" si="17">AM12-AM14</f>
        <v>363400</v>
      </c>
      <c r="AN13" s="1351">
        <f t="shared" si="17"/>
        <v>374200</v>
      </c>
      <c r="AO13" s="1351">
        <f t="shared" ref="AO13" si="18">AO12-AO14</f>
        <v>386300</v>
      </c>
      <c r="AP13" s="1351">
        <f t="shared" ref="AP13" si="19">AP12-AP14</f>
        <v>397200</v>
      </c>
      <c r="AQ13" s="1349"/>
      <c r="AR13" s="1349"/>
      <c r="AS13" s="1349"/>
      <c r="AT13" s="1349"/>
      <c r="AU13" s="1349"/>
      <c r="AV13" s="1349"/>
      <c r="AW13" s="1349"/>
      <c r="AX13" s="1349"/>
      <c r="AY13" s="1349"/>
      <c r="AZ13" s="1349"/>
      <c r="BA13" s="1349"/>
      <c r="BB13" s="1349"/>
      <c r="BC13" s="1349"/>
      <c r="BD13" s="1349"/>
      <c r="BE13" s="1349"/>
      <c r="BF13" s="1349"/>
      <c r="BG13" s="1349"/>
      <c r="BH13" s="1349"/>
      <c r="BI13" s="1349"/>
      <c r="BJ13" s="1349"/>
      <c r="BK13" s="1349"/>
      <c r="BL13" s="1349"/>
      <c r="BM13" s="1349"/>
    </row>
    <row r="14" spans="1:65">
      <c r="A14" s="1341"/>
      <c r="B14" s="1350" t="s">
        <v>615</v>
      </c>
      <c r="C14" s="1341" t="s">
        <v>489</v>
      </c>
      <c r="D14" s="1349">
        <v>54867</v>
      </c>
      <c r="E14" s="1349">
        <v>56546</v>
      </c>
      <c r="F14" s="1349">
        <v>61609</v>
      </c>
      <c r="G14" s="1353">
        <v>65448</v>
      </c>
      <c r="H14" s="1353">
        <v>65884</v>
      </c>
      <c r="I14" s="1353">
        <v>77041</v>
      </c>
      <c r="J14" s="1353">
        <v>78938</v>
      </c>
      <c r="K14" s="1353">
        <v>83504</v>
      </c>
      <c r="L14" s="1353">
        <v>96571</v>
      </c>
      <c r="M14" s="1353">
        <v>104583</v>
      </c>
      <c r="N14" s="1353">
        <v>110277</v>
      </c>
      <c r="O14" s="1353">
        <v>106522</v>
      </c>
      <c r="P14" s="1353">
        <v>106545</v>
      </c>
      <c r="Q14" s="1353">
        <v>109787</v>
      </c>
      <c r="R14" s="1353">
        <v>117774</v>
      </c>
      <c r="S14" s="1353">
        <v>115991</v>
      </c>
      <c r="T14" s="1353">
        <f>T12-T13-1</f>
        <v>115581</v>
      </c>
      <c r="U14" s="1353">
        <v>113442</v>
      </c>
      <c r="V14" s="1353">
        <v>119870</v>
      </c>
      <c r="W14" s="1353">
        <v>114793</v>
      </c>
      <c r="X14" s="1353">
        <f>+'Raw Data'!T16</f>
        <v>118378</v>
      </c>
      <c r="Y14" s="1353">
        <f>+'Raw Data'!U16</f>
        <v>129619</v>
      </c>
      <c r="Z14" s="1353">
        <f>+'Raw Data'!V16</f>
        <v>142010</v>
      </c>
      <c r="AA14" s="1353">
        <f>+'Raw Data'!W16</f>
        <v>136335</v>
      </c>
      <c r="AB14" s="1353">
        <f>+'Raw Data'!X16</f>
        <v>142786</v>
      </c>
      <c r="AC14" s="1353">
        <f>+Model!Y23</f>
        <v>144986</v>
      </c>
      <c r="AD14" s="1353">
        <f>+Model!Z23</f>
        <v>146807</v>
      </c>
      <c r="AE14" s="1353">
        <f>+Model!AA23</f>
        <v>146310</v>
      </c>
      <c r="AF14" s="1353">
        <f>+Model!AB23</f>
        <v>154120</v>
      </c>
      <c r="AG14" s="1353">
        <f>+Model!AC23</f>
        <v>165250</v>
      </c>
      <c r="AH14" s="1943">
        <f>+Model!AC23</f>
        <v>165250</v>
      </c>
      <c r="AI14" s="1353">
        <f>+Model!AD23</f>
        <v>90518</v>
      </c>
      <c r="AJ14" s="1943">
        <f>+Model!AE23</f>
        <v>108042</v>
      </c>
      <c r="AK14" s="1353">
        <f>+Model!AE23</f>
        <v>108042</v>
      </c>
      <c r="AL14" s="1353">
        <f>ROUND(AL12*AL57/100,-2)</f>
        <v>126600</v>
      </c>
      <c r="AM14" s="1353">
        <f t="shared" ref="AM14:AN14" si="20">ROUND(AM12*AM57/100,-2)</f>
        <v>132700</v>
      </c>
      <c r="AN14" s="1353">
        <f t="shared" si="20"/>
        <v>136800</v>
      </c>
      <c r="AO14" s="1353">
        <f t="shared" ref="AO14" si="21">ROUND(AO12*AO57/100,-2)</f>
        <v>141000</v>
      </c>
      <c r="AP14" s="1353">
        <f t="shared" ref="AP14" si="22">ROUND(AP12*AP57/100,-2)</f>
        <v>145200</v>
      </c>
      <c r="AQ14" s="1349"/>
      <c r="AR14" s="1349"/>
      <c r="AS14" s="1349"/>
      <c r="AT14" s="1349"/>
      <c r="AU14" s="1349"/>
      <c r="AV14" s="1349"/>
      <c r="AW14" s="1349"/>
      <c r="AX14" s="1349"/>
      <c r="AY14" s="1349"/>
      <c r="AZ14" s="1349"/>
      <c r="BA14" s="1349"/>
      <c r="BB14" s="1349"/>
      <c r="BC14" s="1349"/>
      <c r="BD14" s="1349"/>
      <c r="BE14" s="1349"/>
      <c r="BF14" s="1349"/>
      <c r="BG14" s="1349"/>
      <c r="BH14" s="1349"/>
      <c r="BI14" s="1349"/>
      <c r="BJ14" s="1349"/>
      <c r="BK14" s="1349"/>
      <c r="BL14" s="1349"/>
      <c r="BM14" s="1349"/>
    </row>
    <row r="15" spans="1:65">
      <c r="A15" s="1341"/>
      <c r="B15" s="1350" t="s">
        <v>614</v>
      </c>
      <c r="C15" s="1341" t="s">
        <v>488</v>
      </c>
      <c r="D15" s="1349">
        <v>44151</v>
      </c>
      <c r="E15" s="1349">
        <v>48315</v>
      </c>
      <c r="F15" s="1349">
        <v>52243</v>
      </c>
      <c r="G15" s="1349">
        <v>55451</v>
      </c>
      <c r="H15" s="1349">
        <v>59398</v>
      </c>
      <c r="I15" s="1349">
        <v>67341</v>
      </c>
      <c r="J15" s="1349">
        <v>70173</v>
      </c>
      <c r="K15" s="1349">
        <v>71362</v>
      </c>
      <c r="L15" s="1349">
        <v>80579</v>
      </c>
      <c r="M15" s="1349">
        <v>88287</v>
      </c>
      <c r="N15" s="1349">
        <v>93779</v>
      </c>
      <c r="O15" s="1349">
        <v>87127</v>
      </c>
      <c r="P15" s="1349">
        <v>87900</v>
      </c>
      <c r="Q15" s="1349">
        <v>89542</v>
      </c>
      <c r="R15" s="1349">
        <v>97838</v>
      </c>
      <c r="S15" s="1349">
        <v>96420</v>
      </c>
      <c r="T15" s="1349">
        <v>95359</v>
      </c>
      <c r="U15" s="1349">
        <v>88464</v>
      </c>
      <c r="V15" s="1349">
        <v>88748</v>
      </c>
      <c r="W15" s="1349">
        <f>W14-W23</f>
        <v>88982</v>
      </c>
      <c r="X15" s="1349">
        <f>+-'Raw Data'!T25</f>
        <v>92863</v>
      </c>
      <c r="Y15" s="1349">
        <f t="shared" ref="Y15:AD15" si="23">Y14-Y23</f>
        <v>99996</v>
      </c>
      <c r="Z15" s="1349">
        <f t="shared" si="23"/>
        <v>111415</v>
      </c>
      <c r="AA15" s="1349">
        <f t="shared" si="23"/>
        <v>111196</v>
      </c>
      <c r="AB15" s="1349">
        <f t="shared" si="23"/>
        <v>114855</v>
      </c>
      <c r="AC15" s="1349">
        <f t="shared" si="23"/>
        <v>115561</v>
      </c>
      <c r="AD15" s="1349">
        <f t="shared" si="23"/>
        <v>119660</v>
      </c>
      <c r="AE15" s="1349">
        <f t="shared" ref="AE15:AH15" si="24">AE14-AE23</f>
        <v>122310</v>
      </c>
      <c r="AF15" s="1349">
        <f t="shared" si="24"/>
        <v>125420</v>
      </c>
      <c r="AG15" s="1349">
        <f t="shared" si="24"/>
        <v>128150</v>
      </c>
      <c r="AH15" s="1944">
        <f t="shared" si="24"/>
        <v>129350</v>
      </c>
      <c r="AI15" s="1349">
        <f t="shared" ref="AI15:AK15" si="25">AI14-AI23</f>
        <v>60784</v>
      </c>
      <c r="AJ15" s="1944">
        <f t="shared" ref="AJ15" si="26">AJ14-AJ23</f>
        <v>85781</v>
      </c>
      <c r="AK15" s="1355">
        <f t="shared" si="25"/>
        <v>67713</v>
      </c>
      <c r="AL15" s="1349">
        <f t="shared" ref="AL15" si="27">AL14-AL23</f>
        <v>67100</v>
      </c>
      <c r="AM15" s="1349">
        <f t="shared" ref="AM15:AN15" si="28">AM14-AM23</f>
        <v>68700</v>
      </c>
      <c r="AN15" s="1349">
        <f t="shared" si="28"/>
        <v>70700</v>
      </c>
      <c r="AO15" s="1349">
        <f t="shared" ref="AO15" si="29">AO14-AO23</f>
        <v>73000</v>
      </c>
      <c r="AP15" s="1349">
        <f t="shared" ref="AP15" si="30">AP14-AP23</f>
        <v>75000</v>
      </c>
      <c r="AQ15" s="1349"/>
      <c r="AR15" s="1349"/>
      <c r="AS15" s="1349"/>
      <c r="AT15" s="1349"/>
      <c r="AU15" s="1349"/>
      <c r="AV15" s="1349"/>
      <c r="AW15" s="1349"/>
      <c r="AX15" s="1349"/>
      <c r="AY15" s="1349"/>
      <c r="AZ15" s="1349"/>
      <c r="BA15" s="1349"/>
      <c r="BB15" s="1349"/>
      <c r="BC15" s="1349"/>
      <c r="BD15" s="1349"/>
      <c r="BE15" s="1349"/>
      <c r="BF15" s="1349"/>
      <c r="BG15" s="1349"/>
      <c r="BH15" s="1349"/>
      <c r="BI15" s="1349"/>
      <c r="BJ15" s="1349"/>
      <c r="BK15" s="1349"/>
      <c r="BL15" s="1349"/>
      <c r="BM15" s="1349"/>
    </row>
    <row r="16" spans="1:65" outlineLevel="1">
      <c r="A16" s="1341"/>
      <c r="B16" s="1356" t="s">
        <v>178</v>
      </c>
      <c r="C16" s="1357" t="s">
        <v>177</v>
      </c>
      <c r="D16" s="1344">
        <v>11312</v>
      </c>
      <c r="E16" s="1344">
        <v>12063</v>
      </c>
      <c r="F16" s="1344">
        <v>12715</v>
      </c>
      <c r="G16" s="1344">
        <v>13405</v>
      </c>
      <c r="H16" s="1358">
        <v>13826</v>
      </c>
      <c r="I16" s="1358">
        <v>15367</v>
      </c>
      <c r="J16" s="1358">
        <v>15896</v>
      </c>
      <c r="K16" s="1358">
        <v>14657</v>
      </c>
      <c r="L16" s="1358">
        <v>16844</v>
      </c>
      <c r="M16" s="1358">
        <v>18181</v>
      </c>
      <c r="N16" s="1358">
        <v>19301</v>
      </c>
      <c r="O16" s="1358">
        <v>18897</v>
      </c>
      <c r="P16" s="1358">
        <v>18685</v>
      </c>
      <c r="Q16" s="1358">
        <v>18595</v>
      </c>
      <c r="R16" s="1358">
        <v>20398</v>
      </c>
      <c r="S16" s="1358">
        <v>19725</v>
      </c>
      <c r="T16" s="1358">
        <v>19425</v>
      </c>
      <c r="U16" s="1358">
        <v>20038</v>
      </c>
      <c r="V16" s="1358">
        <v>19334</v>
      </c>
      <c r="W16" s="1358">
        <v>19271</v>
      </c>
      <c r="X16" s="1358">
        <f>+'Raw Data'!T19</f>
        <v>21308</v>
      </c>
      <c r="Y16" s="1358">
        <f t="shared" ref="Y16:AP19" si="31">ROUND(X16*Y$12/X$12,-2)</f>
        <v>22900</v>
      </c>
      <c r="Z16" s="1358">
        <f t="shared" si="31"/>
        <v>24700</v>
      </c>
      <c r="AA16" s="1358">
        <f t="shared" si="31"/>
        <v>25300</v>
      </c>
      <c r="AB16" s="1358">
        <f t="shared" si="31"/>
        <v>25400</v>
      </c>
      <c r="AC16" s="1358">
        <f t="shared" si="31"/>
        <v>25300</v>
      </c>
      <c r="AD16" s="1358">
        <f t="shared" si="31"/>
        <v>25700</v>
      </c>
      <c r="AE16" s="1358">
        <f t="shared" si="31"/>
        <v>26500</v>
      </c>
      <c r="AF16" s="1358">
        <f t="shared" si="31"/>
        <v>27500</v>
      </c>
      <c r="AG16" s="1358">
        <f t="shared" si="31"/>
        <v>27800</v>
      </c>
      <c r="AH16" s="1944">
        <f>ROUND(AG16*AH$12/AG$12,-2)</f>
        <v>22500</v>
      </c>
      <c r="AI16" s="1358">
        <f>+Model!AD112</f>
        <v>30195</v>
      </c>
      <c r="AJ16" s="1944">
        <f>ROUND(AI16*AJ$12/AI$12,-2)</f>
        <v>30700</v>
      </c>
      <c r="AK16" s="1359">
        <f>+Model!AE112</f>
        <v>32242</v>
      </c>
      <c r="AL16" s="1358">
        <f t="shared" si="31"/>
        <v>35600</v>
      </c>
      <c r="AM16" s="1358">
        <f t="shared" si="31"/>
        <v>36800</v>
      </c>
      <c r="AN16" s="1358">
        <f t="shared" si="31"/>
        <v>37900</v>
      </c>
      <c r="AO16" s="1358">
        <f t="shared" si="31"/>
        <v>39100</v>
      </c>
      <c r="AP16" s="1358">
        <f t="shared" si="31"/>
        <v>40200</v>
      </c>
      <c r="AQ16" s="1349"/>
      <c r="AR16" s="1349"/>
      <c r="AS16" s="1349"/>
      <c r="AT16" s="1349"/>
      <c r="AU16" s="1349"/>
      <c r="AV16" s="1349"/>
      <c r="AW16" s="1349"/>
      <c r="AX16" s="1349"/>
      <c r="AY16" s="1349"/>
      <c r="AZ16" s="1349"/>
      <c r="BA16" s="1349"/>
      <c r="BB16" s="1349"/>
      <c r="BC16" s="1349"/>
      <c r="BD16" s="1349"/>
      <c r="BE16" s="1349"/>
      <c r="BF16" s="1349"/>
      <c r="BG16" s="1349"/>
      <c r="BH16" s="1349"/>
      <c r="BI16" s="1349"/>
      <c r="BJ16" s="1349"/>
      <c r="BK16" s="1349"/>
      <c r="BL16" s="1349"/>
      <c r="BM16" s="1349"/>
    </row>
    <row r="17" spans="1:65" outlineLevel="1">
      <c r="A17" s="1341"/>
      <c r="B17" s="1356" t="s">
        <v>1135</v>
      </c>
      <c r="C17" s="1357" t="s">
        <v>175</v>
      </c>
      <c r="D17" s="1344">
        <v>2885</v>
      </c>
      <c r="E17" s="1344">
        <v>4587</v>
      </c>
      <c r="F17" s="1344">
        <v>3864</v>
      </c>
      <c r="G17" s="1344">
        <v>3920</v>
      </c>
      <c r="H17" s="1358">
        <v>3774</v>
      </c>
      <c r="I17" s="1358">
        <v>3843</v>
      </c>
      <c r="J17" s="1358">
        <v>3694</v>
      </c>
      <c r="K17" s="1358">
        <v>3507</v>
      </c>
      <c r="L17" s="1358">
        <v>3467</v>
      </c>
      <c r="M17" s="1358">
        <v>3491</v>
      </c>
      <c r="N17" s="1358">
        <v>3255</v>
      </c>
      <c r="O17" s="1358">
        <v>2985</v>
      </c>
      <c r="P17" s="1358">
        <v>2879</v>
      </c>
      <c r="Q17" s="1358">
        <v>3515</v>
      </c>
      <c r="R17" s="1358">
        <v>3461</v>
      </c>
      <c r="S17" s="1358">
        <v>3105</v>
      </c>
      <c r="T17" s="1358">
        <v>3000</v>
      </c>
      <c r="U17" s="1358">
        <v>3573</v>
      </c>
      <c r="V17" s="1358">
        <v>3511</v>
      </c>
      <c r="W17" s="1358">
        <v>3344</v>
      </c>
      <c r="X17" s="1358">
        <f>+'Raw Data'!T20</f>
        <v>3761</v>
      </c>
      <c r="Y17" s="1358">
        <f t="shared" si="31"/>
        <v>4000</v>
      </c>
      <c r="Z17" s="1358">
        <f t="shared" si="31"/>
        <v>4300</v>
      </c>
      <c r="AA17" s="1358">
        <f t="shared" si="31"/>
        <v>4400</v>
      </c>
      <c r="AB17" s="1358">
        <f t="shared" si="31"/>
        <v>4400</v>
      </c>
      <c r="AC17" s="1358">
        <f t="shared" si="31"/>
        <v>4400</v>
      </c>
      <c r="AD17" s="1358">
        <f t="shared" si="31"/>
        <v>4500</v>
      </c>
      <c r="AE17" s="1358">
        <f t="shared" si="31"/>
        <v>4600</v>
      </c>
      <c r="AF17" s="1358">
        <f t="shared" si="31"/>
        <v>4800</v>
      </c>
      <c r="AG17" s="1358">
        <f t="shared" si="31"/>
        <v>4900</v>
      </c>
      <c r="AH17" s="1944">
        <f>ROUND(AG17*AH$12/AG$12,-2)</f>
        <v>4000</v>
      </c>
      <c r="AI17" s="1358">
        <f>+Model!AD113</f>
        <v>4281</v>
      </c>
      <c r="AJ17" s="1944">
        <f>ROUND(AI17*AJ$12/AI$12,-2)</f>
        <v>4300</v>
      </c>
      <c r="AK17" s="1359">
        <f>+Model!AE113</f>
        <v>5947</v>
      </c>
      <c r="AL17" s="1358">
        <f t="shared" si="31"/>
        <v>6600</v>
      </c>
      <c r="AM17" s="1358">
        <f t="shared" si="31"/>
        <v>6800</v>
      </c>
      <c r="AN17" s="1358">
        <f t="shared" si="31"/>
        <v>7000</v>
      </c>
      <c r="AO17" s="1358">
        <f t="shared" si="31"/>
        <v>7200</v>
      </c>
      <c r="AP17" s="1358">
        <f t="shared" si="31"/>
        <v>7400</v>
      </c>
      <c r="AQ17" s="1349"/>
      <c r="AR17" s="1349"/>
      <c r="AS17" s="1349"/>
      <c r="AT17" s="1349"/>
      <c r="AU17" s="1349"/>
      <c r="AV17" s="1349"/>
      <c r="AW17" s="1349"/>
      <c r="AX17" s="1349"/>
      <c r="AY17" s="1349"/>
      <c r="AZ17" s="1349"/>
      <c r="BA17" s="1349"/>
      <c r="BB17" s="1349"/>
      <c r="BC17" s="1349"/>
      <c r="BD17" s="1349"/>
      <c r="BE17" s="1349"/>
      <c r="BF17" s="1349"/>
      <c r="BG17" s="1349"/>
      <c r="BH17" s="1349"/>
      <c r="BI17" s="1349"/>
      <c r="BJ17" s="1349"/>
      <c r="BK17" s="1349"/>
      <c r="BL17" s="1349"/>
      <c r="BM17" s="1349"/>
    </row>
    <row r="18" spans="1:65" outlineLevel="1">
      <c r="A18" s="1341"/>
      <c r="B18" s="1356" t="s">
        <v>1136</v>
      </c>
      <c r="C18" s="1357" t="s">
        <v>613</v>
      </c>
      <c r="D18" s="1344">
        <v>17688</v>
      </c>
      <c r="E18" s="1344">
        <v>19236</v>
      </c>
      <c r="F18" s="1344">
        <v>21758</v>
      </c>
      <c r="G18" s="1344">
        <v>23495</v>
      </c>
      <c r="H18" s="1358">
        <v>25839</v>
      </c>
      <c r="I18" s="1358">
        <v>31505</v>
      </c>
      <c r="J18" s="1358">
        <v>33941</v>
      </c>
      <c r="K18" s="1358">
        <v>37567</v>
      </c>
      <c r="L18" s="1358">
        <v>43781</v>
      </c>
      <c r="M18" s="1358">
        <v>48765</v>
      </c>
      <c r="N18" s="1358">
        <v>52634</v>
      </c>
      <c r="O18" s="1358">
        <v>46492</v>
      </c>
      <c r="P18" s="1358">
        <v>48291</v>
      </c>
      <c r="Q18" s="1358">
        <v>49317</v>
      </c>
      <c r="R18" s="1358">
        <v>54846</v>
      </c>
      <c r="S18" s="1358">
        <v>54988</v>
      </c>
      <c r="T18" s="1358">
        <v>54441</v>
      </c>
      <c r="U18" s="1358">
        <v>45135</v>
      </c>
      <c r="V18" s="1358">
        <v>46915</v>
      </c>
      <c r="W18" s="1358">
        <v>48231</v>
      </c>
      <c r="X18" s="1358">
        <f>+'Raw Data'!T21</f>
        <v>49984</v>
      </c>
      <c r="Y18" s="1358">
        <f t="shared" si="31"/>
        <v>53600</v>
      </c>
      <c r="Z18" s="1358">
        <f t="shared" si="31"/>
        <v>57900</v>
      </c>
      <c r="AA18" s="1358">
        <f t="shared" si="31"/>
        <v>59300</v>
      </c>
      <c r="AB18" s="1358">
        <f t="shared" si="31"/>
        <v>59600</v>
      </c>
      <c r="AC18" s="1358">
        <f t="shared" si="31"/>
        <v>59400</v>
      </c>
      <c r="AD18" s="1358">
        <f t="shared" si="31"/>
        <v>60400</v>
      </c>
      <c r="AE18" s="1358">
        <f t="shared" si="31"/>
        <v>62300</v>
      </c>
      <c r="AF18" s="1358">
        <f t="shared" si="31"/>
        <v>64700</v>
      </c>
      <c r="AG18" s="1358">
        <f t="shared" si="31"/>
        <v>65500</v>
      </c>
      <c r="AH18" s="1944">
        <f>ROUND(AG18*AH$12/AG$12,-2)</f>
        <v>53000</v>
      </c>
      <c r="AI18" s="1358">
        <f>+Model!AD114</f>
        <v>3550</v>
      </c>
      <c r="AJ18" s="1944">
        <f>ROUND(AI18*AJ$12/AI$12,-2)</f>
        <v>3600</v>
      </c>
      <c r="AK18" s="1359">
        <f>+Model!AE114</f>
        <v>4593</v>
      </c>
      <c r="AL18" s="1358">
        <f t="shared" si="31"/>
        <v>5100</v>
      </c>
      <c r="AM18" s="1358">
        <f t="shared" si="31"/>
        <v>5300</v>
      </c>
      <c r="AN18" s="1358">
        <f t="shared" si="31"/>
        <v>5500</v>
      </c>
      <c r="AO18" s="1358">
        <f t="shared" si="31"/>
        <v>5700</v>
      </c>
      <c r="AP18" s="1358">
        <f t="shared" si="31"/>
        <v>5900</v>
      </c>
      <c r="AQ18" s="1349"/>
      <c r="AR18" s="1349"/>
      <c r="AS18" s="1349"/>
      <c r="AT18" s="1349"/>
      <c r="AU18" s="1349"/>
      <c r="AV18" s="1349"/>
      <c r="AW18" s="1349"/>
      <c r="AX18" s="1349"/>
      <c r="AY18" s="1349"/>
      <c r="AZ18" s="1349"/>
      <c r="BA18" s="1349"/>
      <c r="BB18" s="1349"/>
      <c r="BC18" s="1349"/>
      <c r="BD18" s="1349"/>
      <c r="BE18" s="1349"/>
      <c r="BF18" s="1349"/>
      <c r="BG18" s="1349"/>
      <c r="BH18" s="1349"/>
      <c r="BI18" s="1349"/>
      <c r="BJ18" s="1349"/>
      <c r="BK18" s="1349"/>
      <c r="BL18" s="1349"/>
      <c r="BM18" s="1349"/>
    </row>
    <row r="19" spans="1:65" outlineLevel="1">
      <c r="A19" s="1341"/>
      <c r="B19" s="1356" t="s">
        <v>172</v>
      </c>
      <c r="C19" s="1357" t="s">
        <v>171</v>
      </c>
      <c r="D19" s="1344">
        <v>5169</v>
      </c>
      <c r="E19" s="1344">
        <v>5330</v>
      </c>
      <c r="F19" s="1344">
        <v>6117</v>
      </c>
      <c r="G19" s="1344">
        <v>6419</v>
      </c>
      <c r="H19" s="1358">
        <v>7050</v>
      </c>
      <c r="I19" s="1358">
        <v>7654</v>
      </c>
      <c r="J19" s="1358">
        <v>6987</v>
      </c>
      <c r="K19" s="1358">
        <v>6978</v>
      </c>
      <c r="L19" s="1358">
        <v>8125</v>
      </c>
      <c r="M19" s="1358">
        <v>8361</v>
      </c>
      <c r="N19" s="1358">
        <f>5694+1935+1565+100</f>
        <v>9294</v>
      </c>
      <c r="O19" s="1358">
        <f>5462+2234+1625+111</f>
        <v>9432</v>
      </c>
      <c r="P19" s="1358">
        <f>5308+1780+1483+84</f>
        <v>8655</v>
      </c>
      <c r="Q19" s="1358">
        <f>5341+1656+1053+97</f>
        <v>8147</v>
      </c>
      <c r="R19" s="1358">
        <f>4653+1642+1187+112</f>
        <v>7594</v>
      </c>
      <c r="S19" s="1358">
        <f>5181+1617+1390+98+51</f>
        <v>8337</v>
      </c>
      <c r="T19" s="1358">
        <f>4992+1828+1400+130+29</f>
        <v>8379</v>
      </c>
      <c r="U19" s="1358">
        <f>5147+2535+1421+248+28</f>
        <v>9379</v>
      </c>
      <c r="V19" s="1358">
        <f>5466+2329+1372+173+26</f>
        <v>9366</v>
      </c>
      <c r="W19" s="1358">
        <f>5200+1907+1322+101+20</f>
        <v>8550</v>
      </c>
      <c r="X19" s="1358">
        <f>+'Raw Data'!T22</f>
        <v>8452</v>
      </c>
      <c r="Y19" s="1358">
        <f t="shared" si="31"/>
        <v>9100</v>
      </c>
      <c r="Z19" s="1358">
        <f t="shared" si="31"/>
        <v>9800</v>
      </c>
      <c r="AA19" s="1358">
        <f t="shared" si="31"/>
        <v>10000</v>
      </c>
      <c r="AB19" s="1358">
        <f t="shared" si="31"/>
        <v>10100</v>
      </c>
      <c r="AC19" s="1358">
        <f t="shared" si="31"/>
        <v>10100</v>
      </c>
      <c r="AD19" s="1358">
        <f t="shared" si="31"/>
        <v>10300</v>
      </c>
      <c r="AE19" s="1358">
        <f t="shared" si="31"/>
        <v>10600</v>
      </c>
      <c r="AF19" s="1358">
        <f t="shared" si="31"/>
        <v>11000</v>
      </c>
      <c r="AG19" s="1358">
        <f t="shared" si="31"/>
        <v>11100</v>
      </c>
      <c r="AH19" s="1944">
        <f>ROUND(AG19*AH$12/AG$12,-2)</f>
        <v>9000</v>
      </c>
      <c r="AI19" s="1358">
        <f>+Model!AD115</f>
        <v>9960</v>
      </c>
      <c r="AJ19" s="1944">
        <f>ROUND(AI19*AJ$12/AI$12,-2)</f>
        <v>10100</v>
      </c>
      <c r="AK19" s="1359">
        <f>+Model!AE115</f>
        <v>10131</v>
      </c>
      <c r="AL19" s="1358">
        <f t="shared" si="31"/>
        <v>11200</v>
      </c>
      <c r="AM19" s="1358">
        <f t="shared" si="31"/>
        <v>11600</v>
      </c>
      <c r="AN19" s="1358">
        <f t="shared" si="31"/>
        <v>11900</v>
      </c>
      <c r="AO19" s="1358">
        <f t="shared" si="31"/>
        <v>12300</v>
      </c>
      <c r="AP19" s="1358">
        <f t="shared" si="31"/>
        <v>12700</v>
      </c>
      <c r="AQ19" s="1349"/>
      <c r="AR19" s="1349"/>
      <c r="AS19" s="1349"/>
      <c r="AT19" s="1349"/>
      <c r="AU19" s="1349"/>
      <c r="AV19" s="1349"/>
      <c r="AW19" s="1349"/>
      <c r="AX19" s="1349"/>
      <c r="AY19" s="1349"/>
      <c r="AZ19" s="1349"/>
      <c r="BA19" s="1349"/>
      <c r="BB19" s="1349"/>
      <c r="BC19" s="1349"/>
      <c r="BD19" s="1349"/>
      <c r="BE19" s="1349"/>
      <c r="BF19" s="1349"/>
      <c r="BG19" s="1349"/>
      <c r="BH19" s="1349"/>
      <c r="BI19" s="1349"/>
      <c r="BJ19" s="1349"/>
      <c r="BK19" s="1349"/>
      <c r="BL19" s="1349"/>
      <c r="BM19" s="1349"/>
    </row>
    <row r="20" spans="1:65" outlineLevel="1">
      <c r="A20" s="1341"/>
      <c r="B20" s="1356" t="s">
        <v>170</v>
      </c>
      <c r="C20" s="1357" t="s">
        <v>71</v>
      </c>
      <c r="D20" s="1344">
        <v>786</v>
      </c>
      <c r="E20" s="1344">
        <v>813</v>
      </c>
      <c r="F20" s="1344">
        <v>732</v>
      </c>
      <c r="G20" s="1344">
        <v>670</v>
      </c>
      <c r="H20" s="1358">
        <v>868</v>
      </c>
      <c r="I20" s="1358">
        <v>792</v>
      </c>
      <c r="J20" s="1358">
        <v>733</v>
      </c>
      <c r="K20" s="1358">
        <v>806</v>
      </c>
      <c r="L20" s="1358">
        <v>891</v>
      </c>
      <c r="M20" s="1358">
        <v>888</v>
      </c>
      <c r="N20" s="1358">
        <v>927</v>
      </c>
      <c r="O20" s="1358">
        <v>1054</v>
      </c>
      <c r="P20" s="1358">
        <v>1139</v>
      </c>
      <c r="Q20" s="1358">
        <v>1174</v>
      </c>
      <c r="R20" s="1358">
        <f>1177+262</f>
        <v>1439</v>
      </c>
      <c r="S20" s="1358">
        <f>1166+64</f>
        <v>1230</v>
      </c>
      <c r="T20" s="1358">
        <f>1156+38</f>
        <v>1194</v>
      </c>
      <c r="U20" s="1358">
        <v>1191</v>
      </c>
      <c r="V20" s="1358">
        <v>1030</v>
      </c>
      <c r="W20" s="1358">
        <v>1061</v>
      </c>
      <c r="X20" s="1358">
        <v>801</v>
      </c>
      <c r="Y20" s="1358">
        <v>1000</v>
      </c>
      <c r="Z20" s="1358">
        <f t="shared" ref="Z20:AP21" si="32">ROUND(Y20,-2)</f>
        <v>1000</v>
      </c>
      <c r="AA20" s="1358">
        <f t="shared" si="32"/>
        <v>1000</v>
      </c>
      <c r="AB20" s="1358">
        <f t="shared" si="32"/>
        <v>1000</v>
      </c>
      <c r="AC20" s="1358">
        <f t="shared" si="32"/>
        <v>1000</v>
      </c>
      <c r="AD20" s="1358">
        <f t="shared" si="32"/>
        <v>1000</v>
      </c>
      <c r="AE20" s="1358">
        <f t="shared" si="32"/>
        <v>1000</v>
      </c>
      <c r="AF20" s="1358">
        <f t="shared" si="32"/>
        <v>1000</v>
      </c>
      <c r="AG20" s="1358">
        <f t="shared" si="32"/>
        <v>1000</v>
      </c>
      <c r="AH20" s="1944">
        <f>ROUND(AG20,-2)</f>
        <v>1000</v>
      </c>
      <c r="AI20" s="1358"/>
      <c r="AJ20" s="1944">
        <f>ROUND(AI20,-2)</f>
        <v>0</v>
      </c>
      <c r="AK20" s="1359">
        <f>ROUND(AI20,-2)</f>
        <v>0</v>
      </c>
      <c r="AL20" s="1358">
        <f t="shared" si="32"/>
        <v>0</v>
      </c>
      <c r="AM20" s="1358">
        <f t="shared" si="32"/>
        <v>0</v>
      </c>
      <c r="AN20" s="1358">
        <f t="shared" si="32"/>
        <v>0</v>
      </c>
      <c r="AO20" s="1358">
        <f t="shared" si="32"/>
        <v>0</v>
      </c>
      <c r="AP20" s="1358">
        <f t="shared" si="32"/>
        <v>0</v>
      </c>
      <c r="AQ20" s="1349"/>
      <c r="AR20" s="1349"/>
      <c r="AS20" s="1349"/>
      <c r="AT20" s="1349"/>
      <c r="AU20" s="1349"/>
      <c r="AV20" s="1349"/>
      <c r="AW20" s="1349"/>
      <c r="AX20" s="1349"/>
      <c r="AY20" s="1349"/>
      <c r="AZ20" s="1349"/>
      <c r="BA20" s="1349"/>
      <c r="BB20" s="1349"/>
      <c r="BC20" s="1349"/>
      <c r="BD20" s="1349"/>
      <c r="BE20" s="1349"/>
      <c r="BF20" s="1349"/>
      <c r="BG20" s="1349"/>
      <c r="BH20" s="1349"/>
      <c r="BI20" s="1349"/>
      <c r="BJ20" s="1349"/>
      <c r="BK20" s="1349"/>
      <c r="BL20" s="1349"/>
      <c r="BM20" s="1349"/>
    </row>
    <row r="21" spans="1:65" outlineLevel="1">
      <c r="A21" s="1341"/>
      <c r="B21" s="1356" t="s">
        <v>612</v>
      </c>
      <c r="C21" s="1357" t="s">
        <v>611</v>
      </c>
      <c r="D21" s="1344">
        <v>0</v>
      </c>
      <c r="E21" s="1344">
        <v>0</v>
      </c>
      <c r="F21" s="1344">
        <v>0</v>
      </c>
      <c r="G21" s="1344">
        <v>0</v>
      </c>
      <c r="H21" s="1358">
        <v>0</v>
      </c>
      <c r="I21" s="1358">
        <v>0</v>
      </c>
      <c r="J21" s="1358">
        <v>813</v>
      </c>
      <c r="K21" s="1358">
        <v>874</v>
      </c>
      <c r="L21" s="1358">
        <v>883</v>
      </c>
      <c r="M21" s="1358">
        <v>892</v>
      </c>
      <c r="N21" s="1358">
        <v>752</v>
      </c>
      <c r="O21" s="1358">
        <v>836</v>
      </c>
      <c r="P21" s="1358">
        <v>850</v>
      </c>
      <c r="Q21" s="1358">
        <v>951</v>
      </c>
      <c r="R21" s="1358">
        <v>1061</v>
      </c>
      <c r="S21" s="1358">
        <v>1111</v>
      </c>
      <c r="T21" s="1358">
        <v>1142</v>
      </c>
      <c r="U21" s="1358">
        <v>1100</v>
      </c>
      <c r="V21" s="1358">
        <v>1208</v>
      </c>
      <c r="W21" s="1358">
        <v>1208</v>
      </c>
      <c r="X21" s="1358">
        <v>1233</v>
      </c>
      <c r="Y21" s="1358">
        <f>ROUND(X21,-2)</f>
        <v>1200</v>
      </c>
      <c r="Z21" s="1358">
        <f t="shared" si="32"/>
        <v>1200</v>
      </c>
      <c r="AA21" s="1358">
        <f t="shared" si="32"/>
        <v>1200</v>
      </c>
      <c r="AB21" s="1358">
        <f t="shared" si="32"/>
        <v>1200</v>
      </c>
      <c r="AC21" s="1358">
        <f t="shared" si="32"/>
        <v>1200</v>
      </c>
      <c r="AD21" s="1358">
        <f t="shared" si="32"/>
        <v>1200</v>
      </c>
      <c r="AE21" s="1358">
        <f t="shared" si="32"/>
        <v>1200</v>
      </c>
      <c r="AF21" s="1358">
        <f t="shared" si="32"/>
        <v>1200</v>
      </c>
      <c r="AG21" s="1358">
        <f t="shared" si="32"/>
        <v>1200</v>
      </c>
      <c r="AH21" s="1944">
        <f>ROUND(AG21,-2)</f>
        <v>1200</v>
      </c>
      <c r="AI21" s="1358"/>
      <c r="AJ21" s="1944">
        <f>ROUND(AI21,-2)</f>
        <v>0</v>
      </c>
      <c r="AK21" s="1359">
        <f>ROUND(AI21,-2)</f>
        <v>0</v>
      </c>
      <c r="AL21" s="1358">
        <f t="shared" si="32"/>
        <v>0</v>
      </c>
      <c r="AM21" s="1358">
        <f t="shared" si="32"/>
        <v>0</v>
      </c>
      <c r="AN21" s="1358">
        <f t="shared" si="32"/>
        <v>0</v>
      </c>
      <c r="AO21" s="1358">
        <f t="shared" si="32"/>
        <v>0</v>
      </c>
      <c r="AP21" s="1358">
        <f t="shared" si="32"/>
        <v>0</v>
      </c>
      <c r="AQ21" s="1349"/>
      <c r="AR21" s="1349"/>
      <c r="AS21" s="1349"/>
      <c r="AT21" s="1349"/>
      <c r="AU21" s="1349"/>
      <c r="AV21" s="1349"/>
      <c r="AW21" s="1349"/>
      <c r="AX21" s="1349"/>
      <c r="AY21" s="1349"/>
      <c r="AZ21" s="1349"/>
      <c r="BA21" s="1349"/>
      <c r="BB21" s="1349"/>
      <c r="BC21" s="1349"/>
      <c r="BD21" s="1349"/>
      <c r="BE21" s="1349"/>
      <c r="BF21" s="1349"/>
      <c r="BG21" s="1349"/>
      <c r="BH21" s="1349"/>
      <c r="BI21" s="1349"/>
      <c r="BJ21" s="1349"/>
      <c r="BK21" s="1349"/>
      <c r="BL21" s="1349"/>
      <c r="BM21" s="1349"/>
    </row>
    <row r="22" spans="1:65" outlineLevel="1">
      <c r="A22" s="1341"/>
      <c r="B22" s="1356" t="s">
        <v>1137</v>
      </c>
      <c r="C22" s="1357" t="s">
        <v>610</v>
      </c>
      <c r="D22" s="1344"/>
      <c r="E22" s="1344"/>
      <c r="F22" s="1344"/>
      <c r="G22" s="1344"/>
      <c r="H22" s="1358"/>
      <c r="I22" s="1358"/>
      <c r="J22" s="1358"/>
      <c r="K22" s="1358"/>
      <c r="L22" s="1358"/>
      <c r="M22" s="1358"/>
      <c r="N22" s="1358"/>
      <c r="O22" s="1358"/>
      <c r="P22" s="1358"/>
      <c r="Q22" s="1358">
        <f t="shared" ref="Q22:AC22" si="33">Q15-Q16-Q17-Q18-Q19-Q20-Q21</f>
        <v>7843</v>
      </c>
      <c r="R22" s="1358">
        <f t="shared" si="33"/>
        <v>9039</v>
      </c>
      <c r="S22" s="1358">
        <f t="shared" si="33"/>
        <v>7924</v>
      </c>
      <c r="T22" s="1358">
        <f t="shared" si="33"/>
        <v>7778</v>
      </c>
      <c r="U22" s="1358">
        <f t="shared" si="33"/>
        <v>8048</v>
      </c>
      <c r="V22" s="1358">
        <f t="shared" si="33"/>
        <v>7384</v>
      </c>
      <c r="W22" s="1358">
        <f t="shared" si="33"/>
        <v>7317</v>
      </c>
      <c r="X22" s="1358">
        <f t="shared" si="33"/>
        <v>7324</v>
      </c>
      <c r="Y22" s="1358">
        <f t="shared" si="33"/>
        <v>8196</v>
      </c>
      <c r="Z22" s="1358">
        <f t="shared" si="33"/>
        <v>12515</v>
      </c>
      <c r="AA22" s="1358">
        <f t="shared" si="33"/>
        <v>9996</v>
      </c>
      <c r="AB22" s="1358">
        <f t="shared" si="33"/>
        <v>13155</v>
      </c>
      <c r="AC22" s="1358">
        <f t="shared" si="33"/>
        <v>14161</v>
      </c>
      <c r="AD22" s="1358">
        <f t="shared" ref="AD22:AE22" si="34">AD15-AD16-AD17-AD18-AD19-AD20-AD21</f>
        <v>16560</v>
      </c>
      <c r="AE22" s="1358">
        <f t="shared" si="34"/>
        <v>16110</v>
      </c>
      <c r="AF22" s="1358">
        <f t="shared" ref="AF22:AH22" si="35">AF15-AF16-AF17-AF18-AF19-AF20-AF21</f>
        <v>15220</v>
      </c>
      <c r="AG22" s="1358">
        <f t="shared" si="35"/>
        <v>16650</v>
      </c>
      <c r="AH22" s="1944">
        <f t="shared" si="35"/>
        <v>38650</v>
      </c>
      <c r="AI22" s="1358">
        <f>AI15-AI16-AI17-AI18-AI19</f>
        <v>12798</v>
      </c>
      <c r="AJ22" s="1944">
        <f t="shared" ref="AJ22" si="36">AJ15-AJ16-AJ17-AJ18-AJ19-AJ20-AJ21</f>
        <v>37081</v>
      </c>
      <c r="AK22" s="1359">
        <f t="shared" ref="AK22" si="37">AK15-AK16-AK17-AK18-AK19-AK20-AK21</f>
        <v>14800</v>
      </c>
      <c r="AL22" s="1358">
        <f t="shared" ref="AL22" si="38">AL15-AL16-AL17-AL18-AL19-AL20-AL21</f>
        <v>8600</v>
      </c>
      <c r="AM22" s="1358">
        <f t="shared" ref="AM22:AN22" si="39">AM15-AM16-AM17-AM18-AM19-AM20-AM21</f>
        <v>8200</v>
      </c>
      <c r="AN22" s="1358">
        <f t="shared" si="39"/>
        <v>8400</v>
      </c>
      <c r="AO22" s="1358">
        <f t="shared" ref="AO22" si="40">AO15-AO16-AO17-AO18-AO19-AO20-AO21</f>
        <v>8700</v>
      </c>
      <c r="AP22" s="1358">
        <f t="shared" ref="AP22" si="41">AP15-AP16-AP17-AP18-AP19-AP20-AP21</f>
        <v>8800</v>
      </c>
      <c r="AQ22" s="1349"/>
      <c r="AR22" s="1349"/>
      <c r="AS22" s="1349"/>
      <c r="AT22" s="1349"/>
      <c r="AU22" s="1349"/>
      <c r="AV22" s="1349"/>
      <c r="AW22" s="1349"/>
      <c r="AX22" s="1349"/>
      <c r="AY22" s="1349"/>
      <c r="AZ22" s="1349"/>
      <c r="BA22" s="1349"/>
      <c r="BB22" s="1349"/>
      <c r="BC22" s="1349"/>
      <c r="BD22" s="1349"/>
      <c r="BE22" s="1349"/>
      <c r="BF22" s="1349"/>
      <c r="BG22" s="1349"/>
      <c r="BH22" s="1349"/>
      <c r="BI22" s="1349"/>
      <c r="BJ22" s="1349"/>
      <c r="BK22" s="1349"/>
      <c r="BL22" s="1349"/>
      <c r="BM22" s="1349"/>
    </row>
    <row r="23" spans="1:65">
      <c r="A23" s="1341"/>
      <c r="B23" s="1342" t="s">
        <v>609</v>
      </c>
      <c r="C23" s="1343" t="s">
        <v>190</v>
      </c>
      <c r="D23" s="1344">
        <v>10716</v>
      </c>
      <c r="E23" s="1344">
        <v>8230</v>
      </c>
      <c r="F23" s="1344">
        <v>9366</v>
      </c>
      <c r="G23" s="1360">
        <v>9996</v>
      </c>
      <c r="H23" s="1361">
        <v>6486</v>
      </c>
      <c r="I23" s="1361">
        <v>9699</v>
      </c>
      <c r="J23" s="1361">
        <v>8765</v>
      </c>
      <c r="K23" s="1361">
        <v>12142</v>
      </c>
      <c r="L23" s="1361">
        <v>15991</v>
      </c>
      <c r="M23" s="1361">
        <v>16296</v>
      </c>
      <c r="N23" s="1361">
        <v>16498</v>
      </c>
      <c r="O23" s="1361">
        <v>19395</v>
      </c>
      <c r="P23" s="1361">
        <v>18644</v>
      </c>
      <c r="Q23" s="1361">
        <v>20245</v>
      </c>
      <c r="R23" s="1361">
        <v>19935</v>
      </c>
      <c r="S23" s="1361">
        <v>19570</v>
      </c>
      <c r="T23" s="1361">
        <v>20222</v>
      </c>
      <c r="U23" s="1361">
        <v>24978</v>
      </c>
      <c r="V23" s="1361">
        <v>31121</v>
      </c>
      <c r="W23" s="1361">
        <v>25811</v>
      </c>
      <c r="X23" s="1361">
        <f>+'Raw Data'!T35</f>
        <v>25514</v>
      </c>
      <c r="Y23" s="1361">
        <f t="shared" ref="Y23:AD23" si="42">Y242</f>
        <v>29623</v>
      </c>
      <c r="Z23" s="1361">
        <f t="shared" si="42"/>
        <v>30595</v>
      </c>
      <c r="AA23" s="1361">
        <f t="shared" si="42"/>
        <v>25139</v>
      </c>
      <c r="AB23" s="1361">
        <f t="shared" si="42"/>
        <v>27931</v>
      </c>
      <c r="AC23" s="1361">
        <f t="shared" si="42"/>
        <v>29425</v>
      </c>
      <c r="AD23" s="1361">
        <f t="shared" si="42"/>
        <v>27147</v>
      </c>
      <c r="AE23" s="1361">
        <f t="shared" ref="AE23:AH23" si="43">AE242</f>
        <v>24000</v>
      </c>
      <c r="AF23" s="1361">
        <f t="shared" si="43"/>
        <v>28700</v>
      </c>
      <c r="AG23" s="1361">
        <f t="shared" si="43"/>
        <v>37100</v>
      </c>
      <c r="AH23" s="1942">
        <f t="shared" si="43"/>
        <v>35900</v>
      </c>
      <c r="AI23" s="1361">
        <f t="shared" ref="AI23:AK23" si="44">AI242</f>
        <v>29734</v>
      </c>
      <c r="AJ23" s="1942">
        <f t="shared" ref="AJ23" si="45">AJ242</f>
        <v>22261</v>
      </c>
      <c r="AK23" s="1362">
        <f t="shared" si="44"/>
        <v>40329</v>
      </c>
      <c r="AL23" s="1361">
        <f>AL242</f>
        <v>59500</v>
      </c>
      <c r="AM23" s="1361">
        <f t="shared" ref="AM23" si="46">AM242</f>
        <v>64000</v>
      </c>
      <c r="AN23" s="1361">
        <f>AN242</f>
        <v>66100</v>
      </c>
      <c r="AO23" s="1361">
        <f t="shared" ref="AO23" si="47">AO242</f>
        <v>68000</v>
      </c>
      <c r="AP23" s="1361">
        <f t="shared" ref="AP23" si="48">AP242</f>
        <v>70200</v>
      </c>
      <c r="AQ23" s="1349"/>
      <c r="AR23" s="1349"/>
      <c r="AS23" s="1349"/>
      <c r="AT23" s="1349">
        <f>Quarterly!KM69</f>
        <v>41000</v>
      </c>
      <c r="AU23" s="1349">
        <f>Quarterly!KW69</f>
        <v>33500</v>
      </c>
      <c r="AV23" s="1349"/>
      <c r="AW23" s="1349"/>
      <c r="AX23" s="1349"/>
      <c r="AY23" s="1349"/>
      <c r="AZ23" s="1349"/>
      <c r="BA23" s="1349"/>
      <c r="BB23" s="1349"/>
      <c r="BC23" s="1349"/>
      <c r="BD23" s="1349"/>
      <c r="BE23" s="1349"/>
      <c r="BF23" s="1349"/>
      <c r="BG23" s="1349"/>
      <c r="BH23" s="1349"/>
      <c r="BI23" s="1349"/>
      <c r="BJ23" s="1349"/>
      <c r="BK23" s="1349"/>
      <c r="BL23" s="1349"/>
      <c r="BM23" s="1349"/>
    </row>
    <row r="24" spans="1:65" outlineLevel="1">
      <c r="A24" s="1341"/>
      <c r="B24" s="1356" t="s">
        <v>608</v>
      </c>
      <c r="C24" s="1357" t="s">
        <v>486</v>
      </c>
      <c r="D24" s="1344">
        <v>-1009</v>
      </c>
      <c r="E24" s="1344">
        <v>-1077</v>
      </c>
      <c r="F24" s="1344">
        <v>-1185</v>
      </c>
      <c r="G24" s="1344">
        <v>-1267</v>
      </c>
      <c r="H24" s="1358">
        <f t="shared" ref="H24:AC24" si="49">H25-H26</f>
        <v>-1874</v>
      </c>
      <c r="I24" s="1358">
        <f t="shared" si="49"/>
        <v>-1963</v>
      </c>
      <c r="J24" s="1358">
        <f t="shared" si="49"/>
        <v>-1872</v>
      </c>
      <c r="K24" s="1358">
        <f t="shared" si="49"/>
        <v>-2050</v>
      </c>
      <c r="L24" s="1358">
        <f t="shared" si="49"/>
        <v>-1323</v>
      </c>
      <c r="M24" s="1358">
        <f t="shared" si="49"/>
        <v>-1477</v>
      </c>
      <c r="N24" s="1358">
        <f t="shared" si="49"/>
        <v>-682</v>
      </c>
      <c r="O24" s="1358">
        <f t="shared" si="49"/>
        <v>-490</v>
      </c>
      <c r="P24" s="1358">
        <f t="shared" si="49"/>
        <v>-411</v>
      </c>
      <c r="Q24" s="1358">
        <f t="shared" si="49"/>
        <v>-272</v>
      </c>
      <c r="R24" s="1358">
        <f t="shared" si="49"/>
        <v>507</v>
      </c>
      <c r="S24" s="1358">
        <f t="shared" si="49"/>
        <v>1372</v>
      </c>
      <c r="T24" s="1358">
        <f t="shared" si="49"/>
        <v>2766</v>
      </c>
      <c r="U24" s="1358">
        <f t="shared" si="49"/>
        <v>975</v>
      </c>
      <c r="V24" s="1358">
        <f t="shared" si="49"/>
        <v>556</v>
      </c>
      <c r="W24" s="1363">
        <f t="shared" si="49"/>
        <v>405</v>
      </c>
      <c r="X24" s="1363">
        <f t="shared" si="49"/>
        <v>422</v>
      </c>
      <c r="Y24" s="1358">
        <f t="shared" si="49"/>
        <v>460</v>
      </c>
      <c r="Z24" s="1358">
        <f t="shared" si="49"/>
        <v>460</v>
      </c>
      <c r="AA24" s="1358">
        <f t="shared" si="49"/>
        <v>460</v>
      </c>
      <c r="AB24" s="1358">
        <f t="shared" si="49"/>
        <v>460</v>
      </c>
      <c r="AC24" s="1358">
        <f t="shared" si="49"/>
        <v>460</v>
      </c>
      <c r="AD24" s="1358">
        <f t="shared" ref="AD24:AE24" si="50">AD25-AD26</f>
        <v>460</v>
      </c>
      <c r="AE24" s="1358">
        <f t="shared" si="50"/>
        <v>460</v>
      </c>
      <c r="AF24" s="1358">
        <f t="shared" ref="AF24:AH24" si="51">AF25-AF26</f>
        <v>460</v>
      </c>
      <c r="AG24" s="1358">
        <f t="shared" si="51"/>
        <v>460</v>
      </c>
      <c r="AH24" s="1944">
        <f t="shared" si="51"/>
        <v>460</v>
      </c>
      <c r="AI24" s="1358">
        <f t="shared" ref="AI24:AK24" si="52">AI25-AI26</f>
        <v>154</v>
      </c>
      <c r="AJ24" s="1944">
        <f t="shared" ref="AJ24" si="53">AJ25-AJ26</f>
        <v>460</v>
      </c>
      <c r="AK24" s="1359">
        <f t="shared" si="52"/>
        <v>2017</v>
      </c>
      <c r="AL24" s="1358">
        <f>+Model!AF56</f>
        <v>2100</v>
      </c>
      <c r="AM24" s="1358">
        <f t="shared" ref="AM24:AN24" si="54">AM25-AM26</f>
        <v>2100</v>
      </c>
      <c r="AN24" s="1358">
        <f t="shared" si="54"/>
        <v>2200</v>
      </c>
      <c r="AO24" s="1358">
        <f t="shared" ref="AO24" si="55">AO25-AO26</f>
        <v>2200</v>
      </c>
      <c r="AP24" s="1358">
        <f t="shared" ref="AP24" si="56">AP25-AP26</f>
        <v>2300</v>
      </c>
      <c r="AQ24" s="1349"/>
      <c r="AR24" s="1349"/>
      <c r="AS24" s="1349"/>
      <c r="AT24" s="1349"/>
      <c r="AU24" s="1349"/>
      <c r="AV24" s="1349"/>
      <c r="AW24" s="1349"/>
      <c r="AX24" s="1349"/>
      <c r="AY24" s="1349"/>
      <c r="AZ24" s="1349"/>
      <c r="BA24" s="1349"/>
      <c r="BB24" s="1349"/>
      <c r="BC24" s="1349"/>
      <c r="BD24" s="1349"/>
      <c r="BE24" s="1349"/>
      <c r="BF24" s="1349"/>
      <c r="BG24" s="1349"/>
      <c r="BH24" s="1349"/>
      <c r="BI24" s="1349"/>
      <c r="BJ24" s="1349"/>
      <c r="BK24" s="1349"/>
      <c r="BL24" s="1349"/>
      <c r="BM24" s="1349"/>
    </row>
    <row r="25" spans="1:65" outlineLevel="1">
      <c r="A25" s="1341"/>
      <c r="B25" s="1350" t="s">
        <v>1138</v>
      </c>
      <c r="C25" s="1341" t="s">
        <v>607</v>
      </c>
      <c r="D25" s="1344"/>
      <c r="E25" s="1344"/>
      <c r="F25" s="1344"/>
      <c r="G25" s="1344"/>
      <c r="H25" s="1349">
        <f>604+284</f>
        <v>888</v>
      </c>
      <c r="I25" s="1349">
        <f>378+259</f>
        <v>637</v>
      </c>
      <c r="J25" s="1349">
        <f>283+269</f>
        <v>552</v>
      </c>
      <c r="K25" s="1349">
        <f>322+268</f>
        <v>590</v>
      </c>
      <c r="L25" s="1349">
        <f>244+423</f>
        <v>667</v>
      </c>
      <c r="M25" s="1349">
        <f>291+225</f>
        <v>516</v>
      </c>
      <c r="N25" s="1349">
        <f>227+197</f>
        <v>424</v>
      </c>
      <c r="O25" s="1349">
        <f>119+186</f>
        <v>305</v>
      </c>
      <c r="P25" s="1349">
        <f>119+169</f>
        <v>288</v>
      </c>
      <c r="Q25" s="1349">
        <f>159+179</f>
        <v>338</v>
      </c>
      <c r="R25" s="1349">
        <f>648+249</f>
        <v>897</v>
      </c>
      <c r="S25" s="1349">
        <f>1307+332</f>
        <v>1639</v>
      </c>
      <c r="T25" s="1349">
        <f>1250+1695</f>
        <v>2945</v>
      </c>
      <c r="U25" s="1349">
        <f>705+313</f>
        <v>1018</v>
      </c>
      <c r="V25" s="1349">
        <f>347+236</f>
        <v>583</v>
      </c>
      <c r="W25" s="1363">
        <f>141+284</f>
        <v>425</v>
      </c>
      <c r="X25" s="1363">
        <f>+'Raw Data'!T40</f>
        <v>430</v>
      </c>
      <c r="Y25" s="1364">
        <v>500</v>
      </c>
      <c r="Z25" s="1364">
        <v>500</v>
      </c>
      <c r="AA25" s="1364">
        <v>500</v>
      </c>
      <c r="AB25" s="1364">
        <v>500</v>
      </c>
      <c r="AC25" s="1364">
        <v>500</v>
      </c>
      <c r="AD25" s="1364">
        <v>500</v>
      </c>
      <c r="AE25" s="1364">
        <v>500</v>
      </c>
      <c r="AF25" s="1364">
        <v>500</v>
      </c>
      <c r="AG25" s="1364">
        <v>500</v>
      </c>
      <c r="AH25" s="1945">
        <v>500</v>
      </c>
      <c r="AI25" s="1364">
        <f>+Model!AD52</f>
        <v>385</v>
      </c>
      <c r="AJ25" s="1945">
        <v>500</v>
      </c>
      <c r="AK25" s="1365">
        <f>+Model!AE52</f>
        <v>2239</v>
      </c>
      <c r="AL25" s="1364">
        <f>+Model!AF52</f>
        <v>2300</v>
      </c>
      <c r="AM25" s="1364">
        <f>+Model!AG52</f>
        <v>2300</v>
      </c>
      <c r="AN25" s="1364">
        <f>+Model!AH52</f>
        <v>2400</v>
      </c>
      <c r="AO25" s="1364">
        <f>+Model!AI52</f>
        <v>2400</v>
      </c>
      <c r="AP25" s="1364">
        <f>+Model!AJ52</f>
        <v>2500</v>
      </c>
      <c r="AQ25" s="1349"/>
      <c r="AR25" s="1349"/>
      <c r="AS25" s="1349"/>
      <c r="AT25" s="1349"/>
      <c r="AU25" s="1349"/>
      <c r="AV25" s="1349"/>
      <c r="AW25" s="1349"/>
      <c r="AX25" s="1349"/>
      <c r="AY25" s="1349"/>
      <c r="AZ25" s="1349"/>
      <c r="BA25" s="1349"/>
      <c r="BB25" s="1349"/>
      <c r="BC25" s="1349"/>
      <c r="BD25" s="1349"/>
      <c r="BE25" s="1349"/>
      <c r="BF25" s="1349"/>
      <c r="BG25" s="1349"/>
      <c r="BH25" s="1349"/>
      <c r="BI25" s="1349"/>
      <c r="BJ25" s="1349"/>
      <c r="BK25" s="1349"/>
      <c r="BL25" s="1349"/>
      <c r="BM25" s="1349"/>
    </row>
    <row r="26" spans="1:65" outlineLevel="1">
      <c r="A26" s="1341"/>
      <c r="B26" s="1350" t="s">
        <v>993</v>
      </c>
      <c r="C26" s="1341" t="s">
        <v>606</v>
      </c>
      <c r="D26" s="1344"/>
      <c r="E26" s="1344"/>
      <c r="F26" s="1344"/>
      <c r="G26" s="1344"/>
      <c r="H26" s="1349">
        <f>1052+1710</f>
        <v>2762</v>
      </c>
      <c r="I26" s="1349">
        <f>902+1698</f>
        <v>2600</v>
      </c>
      <c r="J26" s="1349">
        <f>938+1486</f>
        <v>2424</v>
      </c>
      <c r="K26" s="1349">
        <v>2640</v>
      </c>
      <c r="L26" s="1349">
        <f>1990</f>
        <v>1990</v>
      </c>
      <c r="M26" s="1349">
        <v>1993</v>
      </c>
      <c r="N26" s="1349">
        <v>1106</v>
      </c>
      <c r="O26" s="1349">
        <v>795</v>
      </c>
      <c r="P26" s="1349">
        <v>699</v>
      </c>
      <c r="Q26" s="1349">
        <v>610</v>
      </c>
      <c r="R26" s="1349">
        <v>390</v>
      </c>
      <c r="S26" s="1349">
        <v>267</v>
      </c>
      <c r="T26" s="1349">
        <v>179</v>
      </c>
      <c r="U26" s="1349">
        <v>43</v>
      </c>
      <c r="V26" s="1349">
        <v>27</v>
      </c>
      <c r="W26" s="1363">
        <v>20</v>
      </c>
      <c r="X26" s="1363">
        <f>+-'Raw Data'!T42</f>
        <v>8</v>
      </c>
      <c r="Y26" s="1364">
        <v>40</v>
      </c>
      <c r="Z26" s="1364">
        <v>40</v>
      </c>
      <c r="AA26" s="1364">
        <v>40</v>
      </c>
      <c r="AB26" s="1364">
        <v>40</v>
      </c>
      <c r="AC26" s="1364">
        <v>40</v>
      </c>
      <c r="AD26" s="1364">
        <v>40</v>
      </c>
      <c r="AE26" s="1364">
        <v>40</v>
      </c>
      <c r="AF26" s="1364">
        <v>40</v>
      </c>
      <c r="AG26" s="1364">
        <v>40</v>
      </c>
      <c r="AH26" s="1945">
        <v>40</v>
      </c>
      <c r="AI26" s="1364">
        <f>-Model!AD54</f>
        <v>231</v>
      </c>
      <c r="AJ26" s="1945">
        <v>40</v>
      </c>
      <c r="AK26" s="1365">
        <f>-Model!AE54</f>
        <v>222</v>
      </c>
      <c r="AL26" s="1364">
        <f>-Model!AF54</f>
        <v>200</v>
      </c>
      <c r="AM26" s="1364">
        <f>-Model!AG54</f>
        <v>200</v>
      </c>
      <c r="AN26" s="1364">
        <f>-Model!AH54</f>
        <v>200</v>
      </c>
      <c r="AO26" s="1364">
        <f>-Model!AI54</f>
        <v>200</v>
      </c>
      <c r="AP26" s="1364">
        <f>-Model!AJ54</f>
        <v>200</v>
      </c>
      <c r="AQ26" s="1349"/>
      <c r="AR26" s="1349"/>
      <c r="AS26" s="1349"/>
      <c r="AT26" s="1349"/>
      <c r="AU26" s="1349"/>
      <c r="AV26" s="1349"/>
      <c r="AW26" s="1349"/>
      <c r="AX26" s="1349"/>
      <c r="AY26" s="1349"/>
      <c r="AZ26" s="1349"/>
      <c r="BA26" s="1349"/>
      <c r="BB26" s="1349"/>
      <c r="BC26" s="1349"/>
      <c r="BD26" s="1349"/>
      <c r="BE26" s="1349"/>
      <c r="BF26" s="1349"/>
      <c r="BG26" s="1349"/>
      <c r="BH26" s="1349"/>
      <c r="BI26" s="1349"/>
      <c r="BJ26" s="1349"/>
      <c r="BK26" s="1349"/>
      <c r="BL26" s="1349"/>
      <c r="BM26" s="1349"/>
    </row>
    <row r="27" spans="1:65" outlineLevel="1">
      <c r="A27" s="1341"/>
      <c r="B27" s="1350" t="s">
        <v>1324</v>
      </c>
      <c r="C27" s="1341" t="s">
        <v>605</v>
      </c>
      <c r="D27" s="1344"/>
      <c r="E27" s="1344"/>
      <c r="F27" s="1344"/>
      <c r="G27" s="1344"/>
      <c r="H27" s="1366">
        <v>0</v>
      </c>
      <c r="I27" s="1366">
        <v>0</v>
      </c>
      <c r="J27" s="1366">
        <v>0</v>
      </c>
      <c r="K27" s="1366">
        <v>0</v>
      </c>
      <c r="L27" s="1366">
        <v>0</v>
      </c>
      <c r="M27" s="1366">
        <v>0</v>
      </c>
      <c r="N27" s="1366">
        <v>0</v>
      </c>
      <c r="O27" s="1366">
        <v>0</v>
      </c>
      <c r="P27" s="1366">
        <v>0</v>
      </c>
      <c r="Q27" s="1349">
        <v>37</v>
      </c>
      <c r="R27" s="1349">
        <v>236</v>
      </c>
      <c r="S27" s="1349">
        <v>179</v>
      </c>
      <c r="T27" s="1349">
        <v>167</v>
      </c>
      <c r="U27" s="1349">
        <v>160</v>
      </c>
      <c r="V27" s="1349">
        <v>185</v>
      </c>
      <c r="W27" s="1363">
        <v>67</v>
      </c>
      <c r="X27" s="1363">
        <f>+'Raw Data'!T54</f>
        <v>16</v>
      </c>
      <c r="Y27" s="1364">
        <v>200</v>
      </c>
      <c r="Z27" s="1364">
        <v>200</v>
      </c>
      <c r="AA27" s="1364">
        <v>200</v>
      </c>
      <c r="AB27" s="1364">
        <v>200</v>
      </c>
      <c r="AC27" s="1364">
        <v>200</v>
      </c>
      <c r="AD27" s="1364">
        <v>200</v>
      </c>
      <c r="AE27" s="1364">
        <v>200</v>
      </c>
      <c r="AF27" s="1364">
        <v>200</v>
      </c>
      <c r="AG27" s="1364">
        <v>200</v>
      </c>
      <c r="AH27" s="1945">
        <v>200</v>
      </c>
      <c r="AI27" s="1364">
        <f>+Model!AD60</f>
        <v>146</v>
      </c>
      <c r="AJ27" s="1945">
        <v>200</v>
      </c>
      <c r="AK27" s="1365">
        <f>+Model!AE60</f>
        <v>93</v>
      </c>
      <c r="AL27" s="1364">
        <f>+Model!AF60</f>
        <v>100</v>
      </c>
      <c r="AM27" s="1364">
        <f>+Model!AG60</f>
        <v>100</v>
      </c>
      <c r="AN27" s="1364">
        <f>+Model!AH60</f>
        <v>100</v>
      </c>
      <c r="AO27" s="1364">
        <f>+Model!AI60</f>
        <v>100</v>
      </c>
      <c r="AP27" s="1364">
        <f>+Model!AJ60</f>
        <v>100</v>
      </c>
      <c r="AQ27" s="1349"/>
      <c r="AR27" s="1349"/>
      <c r="AS27" s="1349"/>
      <c r="AT27" s="1349"/>
      <c r="AU27" s="1349"/>
      <c r="AV27" s="1349"/>
      <c r="AW27" s="1349"/>
      <c r="AX27" s="1349"/>
      <c r="AY27" s="1349"/>
      <c r="AZ27" s="1349"/>
      <c r="BA27" s="1349"/>
      <c r="BB27" s="1349"/>
      <c r="BC27" s="1349"/>
      <c r="BD27" s="1349"/>
      <c r="BE27" s="1349"/>
      <c r="BF27" s="1349"/>
      <c r="BG27" s="1349"/>
      <c r="BH27" s="1349"/>
      <c r="BI27" s="1349"/>
      <c r="BJ27" s="1349"/>
      <c r="BK27" s="1349"/>
      <c r="BL27" s="1349"/>
      <c r="BM27" s="1349"/>
    </row>
    <row r="28" spans="1:65" outlineLevel="1">
      <c r="A28" s="1341"/>
      <c r="B28" s="1356" t="s">
        <v>604</v>
      </c>
      <c r="C28" s="1357" t="s">
        <v>485</v>
      </c>
      <c r="D28" s="1344">
        <f t="shared" ref="D28:V28" si="57">D29-D24-D23</f>
        <v>1381</v>
      </c>
      <c r="E28" s="1344">
        <f t="shared" si="57"/>
        <v>2750</v>
      </c>
      <c r="F28" s="1344">
        <f t="shared" si="57"/>
        <v>2149</v>
      </c>
      <c r="G28" s="1344">
        <f t="shared" si="57"/>
        <v>1715</v>
      </c>
      <c r="H28" s="1358">
        <f t="shared" si="57"/>
        <v>3175</v>
      </c>
      <c r="I28" s="1358">
        <f t="shared" si="57"/>
        <v>2470</v>
      </c>
      <c r="J28" s="1358">
        <f t="shared" si="57"/>
        <v>1582</v>
      </c>
      <c r="K28" s="1358">
        <f t="shared" si="57"/>
        <v>958</v>
      </c>
      <c r="L28" s="1358">
        <f t="shared" si="57"/>
        <v>292</v>
      </c>
      <c r="M28" s="1358">
        <f t="shared" si="57"/>
        <v>1333</v>
      </c>
      <c r="N28" s="1358">
        <f t="shared" si="57"/>
        <v>402</v>
      </c>
      <c r="O28" s="1358">
        <f t="shared" si="57"/>
        <v>66</v>
      </c>
      <c r="P28" s="1358">
        <f t="shared" si="57"/>
        <v>-116</v>
      </c>
      <c r="Q28" s="1358">
        <f t="shared" si="57"/>
        <v>286</v>
      </c>
      <c r="R28" s="1358">
        <f t="shared" si="57"/>
        <v>709</v>
      </c>
      <c r="S28" s="1358">
        <f t="shared" si="57"/>
        <v>604</v>
      </c>
      <c r="T28" s="1358">
        <f t="shared" si="57"/>
        <v>-365</v>
      </c>
      <c r="U28" s="1358">
        <f t="shared" si="57"/>
        <v>763</v>
      </c>
      <c r="V28" s="1358">
        <f t="shared" si="57"/>
        <v>868</v>
      </c>
      <c r="W28" s="1363">
        <f>W23-W29-SUM(W24,W27)</f>
        <v>-1852</v>
      </c>
      <c r="X28" s="1363">
        <f>X23-X29-SUM(X24,X27)</f>
        <v>-1913</v>
      </c>
      <c r="Y28" s="1364">
        <f t="shared" ref="Y28:AG28" si="58">X28</f>
        <v>-1913</v>
      </c>
      <c r="Z28" s="1364">
        <f t="shared" si="58"/>
        <v>-1913</v>
      </c>
      <c r="AA28" s="1364">
        <f t="shared" si="58"/>
        <v>-1913</v>
      </c>
      <c r="AB28" s="1364">
        <f t="shared" si="58"/>
        <v>-1913</v>
      </c>
      <c r="AC28" s="1364">
        <f t="shared" si="58"/>
        <v>-1913</v>
      </c>
      <c r="AD28" s="1364">
        <f t="shared" si="58"/>
        <v>-1913</v>
      </c>
      <c r="AE28" s="1364">
        <f t="shared" si="58"/>
        <v>-1913</v>
      </c>
      <c r="AF28" s="1364">
        <f t="shared" si="58"/>
        <v>-1913</v>
      </c>
      <c r="AG28" s="1364">
        <f t="shared" si="58"/>
        <v>-1913</v>
      </c>
      <c r="AH28" s="1945">
        <f>AG28</f>
        <v>-1913</v>
      </c>
      <c r="AI28" s="1364">
        <f>+Model!AD61</f>
        <v>1796</v>
      </c>
      <c r="AJ28" s="1945">
        <f>AI28</f>
        <v>1796</v>
      </c>
      <c r="AK28" s="1365">
        <f>+Model!AE61</f>
        <v>1284</v>
      </c>
      <c r="AL28" s="1364">
        <f>+Model!AF61</f>
        <v>2300</v>
      </c>
      <c r="AM28" s="1364">
        <f>+Model!AG61</f>
        <v>2300</v>
      </c>
      <c r="AN28" s="1364">
        <f>+Model!AH61</f>
        <v>2300</v>
      </c>
      <c r="AO28" s="1364">
        <f>+Model!AI61</f>
        <v>2300</v>
      </c>
      <c r="AP28" s="1364">
        <f>+Model!AJ61</f>
        <v>2300</v>
      </c>
      <c r="AQ28" s="1349"/>
      <c r="AR28" s="1349"/>
      <c r="AS28" s="1349"/>
      <c r="AT28" s="1349"/>
      <c r="AU28" s="1349"/>
      <c r="AV28" s="1349"/>
      <c r="AW28" s="1349"/>
      <c r="AX28" s="1349"/>
      <c r="AY28" s="1349"/>
      <c r="AZ28" s="1349"/>
      <c r="BA28" s="1349"/>
      <c r="BB28" s="1349"/>
      <c r="BC28" s="1349"/>
      <c r="BD28" s="1349"/>
      <c r="BE28" s="1349"/>
      <c r="BF28" s="1349"/>
      <c r="BG28" s="1349"/>
      <c r="BH28" s="1349"/>
      <c r="BI28" s="1349"/>
      <c r="BJ28" s="1349"/>
      <c r="BK28" s="1349"/>
      <c r="BL28" s="1349"/>
      <c r="BM28" s="1349"/>
    </row>
    <row r="29" spans="1:65" outlineLevel="1">
      <c r="A29" s="1341"/>
      <c r="B29" s="1342" t="s">
        <v>603</v>
      </c>
      <c r="C29" s="1343" t="s">
        <v>233</v>
      </c>
      <c r="D29" s="1344">
        <v>11088</v>
      </c>
      <c r="E29" s="1344">
        <v>9903</v>
      </c>
      <c r="F29" s="1344">
        <v>10330</v>
      </c>
      <c r="G29" s="1360">
        <v>10444</v>
      </c>
      <c r="H29" s="1361">
        <v>7787</v>
      </c>
      <c r="I29" s="1361">
        <v>10206</v>
      </c>
      <c r="J29" s="1361">
        <v>8475</v>
      </c>
      <c r="K29" s="1361">
        <v>11050</v>
      </c>
      <c r="L29" s="1361">
        <v>14960</v>
      </c>
      <c r="M29" s="1361">
        <v>16152</v>
      </c>
      <c r="N29" s="1361">
        <v>16218</v>
      </c>
      <c r="O29" s="1361">
        <v>18971</v>
      </c>
      <c r="P29" s="1361">
        <v>18117</v>
      </c>
      <c r="Q29" s="1361">
        <v>20259</v>
      </c>
      <c r="R29" s="1361">
        <v>21151</v>
      </c>
      <c r="S29" s="1361">
        <v>21546</v>
      </c>
      <c r="T29" s="1361">
        <v>22623</v>
      </c>
      <c r="U29" s="1361">
        <v>26716</v>
      </c>
      <c r="V29" s="1361">
        <v>32545</v>
      </c>
      <c r="W29" s="1361">
        <v>27191</v>
      </c>
      <c r="X29" s="1361">
        <f>+'Raw Data'!T58</f>
        <v>26989</v>
      </c>
      <c r="Y29" s="1361">
        <f t="shared" ref="Y29:AD29" si="59">Y23+Y24++Y27+Y28</f>
        <v>28370</v>
      </c>
      <c r="Z29" s="1361">
        <f t="shared" si="59"/>
        <v>29342</v>
      </c>
      <c r="AA29" s="1361">
        <f t="shared" si="59"/>
        <v>23886</v>
      </c>
      <c r="AB29" s="1361">
        <f t="shared" si="59"/>
        <v>26678</v>
      </c>
      <c r="AC29" s="1361">
        <f t="shared" si="59"/>
        <v>28172</v>
      </c>
      <c r="AD29" s="1361">
        <f t="shared" si="59"/>
        <v>25894</v>
      </c>
      <c r="AE29" s="1361">
        <f t="shared" ref="AE29:AH29" si="60">AE23+AE24++AE27+AE28</f>
        <v>22747</v>
      </c>
      <c r="AF29" s="1361">
        <f t="shared" si="60"/>
        <v>27447</v>
      </c>
      <c r="AG29" s="1361">
        <f t="shared" si="60"/>
        <v>35847</v>
      </c>
      <c r="AH29" s="1942">
        <f t="shared" si="60"/>
        <v>34647</v>
      </c>
      <c r="AI29" s="1361">
        <f t="shared" ref="AI29:AK29" si="61">AI23+AI24++AI27+AI28</f>
        <v>31830</v>
      </c>
      <c r="AJ29" s="1942">
        <f t="shared" ref="AJ29" si="62">AJ23+AJ24++AJ27+AJ28</f>
        <v>24717</v>
      </c>
      <c r="AK29" s="1362">
        <f t="shared" si="61"/>
        <v>43723</v>
      </c>
      <c r="AL29" s="1361">
        <f t="shared" ref="AL29" si="63">AL23+AL24++AL27+AL28</f>
        <v>64000</v>
      </c>
      <c r="AM29" s="1361">
        <f t="shared" ref="AM29:AN29" si="64">AM23+AM24++AM27+AM28</f>
        <v>68500</v>
      </c>
      <c r="AN29" s="1361">
        <f t="shared" si="64"/>
        <v>70700</v>
      </c>
      <c r="AO29" s="1361">
        <f t="shared" ref="AO29" si="65">AO23+AO24++AO27+AO28</f>
        <v>72600</v>
      </c>
      <c r="AP29" s="1361">
        <f t="shared" ref="AP29" si="66">AP23+AP24++AP27+AP28</f>
        <v>74900</v>
      </c>
      <c r="AQ29" s="1349"/>
      <c r="AR29" s="1349"/>
      <c r="AS29" s="1349"/>
      <c r="AT29" s="1349"/>
      <c r="AU29" s="1349"/>
      <c r="AV29" s="1349"/>
      <c r="AW29" s="1349"/>
      <c r="AX29" s="1349"/>
      <c r="AY29" s="1349"/>
      <c r="AZ29" s="1349"/>
      <c r="BA29" s="1349"/>
      <c r="BB29" s="1349"/>
      <c r="BC29" s="1349"/>
      <c r="BD29" s="1349"/>
      <c r="BE29" s="1349"/>
      <c r="BF29" s="1349"/>
      <c r="BG29" s="1349"/>
      <c r="BH29" s="1349"/>
      <c r="BI29" s="1349"/>
      <c r="BJ29" s="1349"/>
      <c r="BK29" s="1349"/>
      <c r="BL29" s="1349"/>
      <c r="BM29" s="1349"/>
    </row>
    <row r="30" spans="1:65" outlineLevel="1">
      <c r="A30" s="1341"/>
      <c r="B30" s="1356" t="s">
        <v>602</v>
      </c>
      <c r="C30" s="1357" t="s">
        <v>231</v>
      </c>
      <c r="D30" s="1344">
        <v>4701</v>
      </c>
      <c r="E30" s="1344">
        <v>10435</v>
      </c>
      <c r="F30" s="1344">
        <v>268</v>
      </c>
      <c r="G30" s="1344">
        <v>36</v>
      </c>
      <c r="H30" s="1358">
        <v>98</v>
      </c>
      <c r="I30" s="1358">
        <v>551</v>
      </c>
      <c r="J30" s="1358">
        <v>116</v>
      </c>
      <c r="K30" s="1358">
        <v>87</v>
      </c>
      <c r="L30" s="1358">
        <v>172</v>
      </c>
      <c r="M30" s="1358">
        <v>114</v>
      </c>
      <c r="N30" s="1358">
        <v>1712</v>
      </c>
      <c r="O30" s="1358">
        <v>343</v>
      </c>
      <c r="P30" s="1358">
        <v>1137</v>
      </c>
      <c r="Q30" s="1358">
        <v>8359</v>
      </c>
      <c r="R30" s="1358">
        <v>5694</v>
      </c>
      <c r="S30" s="1358">
        <v>1390</v>
      </c>
      <c r="T30" s="1358">
        <v>943</v>
      </c>
      <c r="U30" s="1358">
        <v>49</v>
      </c>
      <c r="V30" s="1358">
        <v>158</v>
      </c>
      <c r="W30" s="1363">
        <v>501</v>
      </c>
      <c r="X30" s="1363">
        <f>+'Raw Data'!T59</f>
        <v>69</v>
      </c>
      <c r="Y30" s="1364">
        <v>500</v>
      </c>
      <c r="Z30" s="1364">
        <v>500</v>
      </c>
      <c r="AA30" s="1364">
        <v>500</v>
      </c>
      <c r="AB30" s="1364">
        <v>500</v>
      </c>
      <c r="AC30" s="1364">
        <v>500</v>
      </c>
      <c r="AD30" s="1364">
        <v>500</v>
      </c>
      <c r="AE30" s="1364">
        <v>500</v>
      </c>
      <c r="AF30" s="1364">
        <v>500</v>
      </c>
      <c r="AG30" s="1364">
        <v>500</v>
      </c>
      <c r="AH30" s="1945">
        <v>500</v>
      </c>
      <c r="AI30" s="1364">
        <f>+Model!AD65</f>
        <v>430</v>
      </c>
      <c r="AJ30" s="1945">
        <v>500</v>
      </c>
      <c r="AK30" s="1365">
        <f>+Model!AE65</f>
        <v>268</v>
      </c>
      <c r="AL30" s="1364">
        <f>+Model!AF65</f>
        <v>300</v>
      </c>
      <c r="AM30" s="1364">
        <f>+Model!AG65</f>
        <v>300</v>
      </c>
      <c r="AN30" s="1364">
        <f>+Model!AH65</f>
        <v>300</v>
      </c>
      <c r="AO30" s="1364">
        <f>+Model!AI65</f>
        <v>300</v>
      </c>
      <c r="AP30" s="1364">
        <f>+Model!AJ65</f>
        <v>300</v>
      </c>
      <c r="AQ30" s="1349"/>
      <c r="AR30" s="1349"/>
      <c r="AS30" s="1349"/>
      <c r="AT30" s="1349"/>
      <c r="AU30" s="1349"/>
      <c r="AV30" s="1349"/>
      <c r="AW30" s="1349"/>
      <c r="AX30" s="1349"/>
      <c r="AY30" s="1349"/>
      <c r="AZ30" s="1349"/>
      <c r="BA30" s="1349"/>
      <c r="BB30" s="1349"/>
      <c r="BC30" s="1349"/>
      <c r="BD30" s="1349"/>
      <c r="BE30" s="1349"/>
      <c r="BF30" s="1349"/>
      <c r="BG30" s="1349"/>
      <c r="BH30" s="1349"/>
      <c r="BI30" s="1349"/>
      <c r="BJ30" s="1349"/>
      <c r="BK30" s="1349"/>
      <c r="BL30" s="1349"/>
      <c r="BM30" s="1349"/>
    </row>
    <row r="31" spans="1:65" outlineLevel="1">
      <c r="A31" s="1341"/>
      <c r="B31" s="1356" t="s">
        <v>601</v>
      </c>
      <c r="C31" s="1357" t="s">
        <v>229</v>
      </c>
      <c r="D31" s="1344">
        <v>4694</v>
      </c>
      <c r="E31" s="1344">
        <v>4980</v>
      </c>
      <c r="F31" s="1344">
        <v>342</v>
      </c>
      <c r="G31" s="1344">
        <v>669</v>
      </c>
      <c r="H31" s="1358">
        <v>481</v>
      </c>
      <c r="I31" s="1358">
        <v>1316</v>
      </c>
      <c r="J31" s="1358">
        <v>2623</v>
      </c>
      <c r="K31" s="1358">
        <v>2577</v>
      </c>
      <c r="L31" s="1358">
        <v>5402</v>
      </c>
      <c r="M31" s="1358">
        <v>14674</v>
      </c>
      <c r="N31" s="1358">
        <v>5899</v>
      </c>
      <c r="O31" s="1358">
        <v>4622</v>
      </c>
      <c r="P31" s="1358">
        <v>1919</v>
      </c>
      <c r="Q31" s="1358">
        <v>5538</v>
      </c>
      <c r="R31" s="1358">
        <v>2050</v>
      </c>
      <c r="S31" s="1358">
        <v>6040</v>
      </c>
      <c r="T31" s="1358">
        <v>2051</v>
      </c>
      <c r="U31" s="1358">
        <v>2293</v>
      </c>
      <c r="V31" s="1358">
        <v>1900</v>
      </c>
      <c r="W31" s="1363">
        <v>5965</v>
      </c>
      <c r="X31" s="1363">
        <f>+-'Raw Data'!T60</f>
        <v>629</v>
      </c>
      <c r="Y31" s="1364">
        <v>1000</v>
      </c>
      <c r="Z31" s="1364">
        <v>1000</v>
      </c>
      <c r="AA31" s="1364">
        <v>1000</v>
      </c>
      <c r="AB31" s="1364">
        <v>1000</v>
      </c>
      <c r="AC31" s="1364">
        <v>1000</v>
      </c>
      <c r="AD31" s="1364">
        <v>1000</v>
      </c>
      <c r="AE31" s="1364">
        <v>1000</v>
      </c>
      <c r="AF31" s="1364">
        <v>1000</v>
      </c>
      <c r="AG31" s="1364">
        <v>1000</v>
      </c>
      <c r="AH31" s="1945">
        <v>1000</v>
      </c>
      <c r="AI31" s="1364">
        <f>-Model!AD66</f>
        <v>678</v>
      </c>
      <c r="AJ31" s="1945">
        <v>1000</v>
      </c>
      <c r="AK31" s="1365">
        <f>-Model!AE66</f>
        <v>445</v>
      </c>
      <c r="AL31" s="1364">
        <f>-Model!AF66</f>
        <v>400</v>
      </c>
      <c r="AM31" s="1364">
        <f>-Model!AG66</f>
        <v>400</v>
      </c>
      <c r="AN31" s="1364">
        <f>-Model!AH66</f>
        <v>400</v>
      </c>
      <c r="AO31" s="1364">
        <f>-Model!AI66</f>
        <v>400</v>
      </c>
      <c r="AP31" s="1364">
        <f>-Model!AJ66</f>
        <v>400</v>
      </c>
      <c r="AQ31" s="1349"/>
      <c r="AR31" s="1349"/>
      <c r="AS31" s="1349"/>
      <c r="AT31" s="1349"/>
      <c r="AU31" s="1349"/>
      <c r="AV31" s="1349"/>
      <c r="AW31" s="1349"/>
      <c r="AX31" s="1349"/>
      <c r="AY31" s="1349"/>
      <c r="AZ31" s="1349"/>
      <c r="BA31" s="1349"/>
      <c r="BB31" s="1349"/>
      <c r="BC31" s="1349"/>
      <c r="BD31" s="1349"/>
      <c r="BE31" s="1349"/>
      <c r="BF31" s="1349"/>
      <c r="BG31" s="1349"/>
      <c r="BH31" s="1349"/>
      <c r="BI31" s="1349"/>
      <c r="BJ31" s="1349"/>
      <c r="BK31" s="1349"/>
      <c r="BL31" s="1349"/>
      <c r="BM31" s="1349"/>
    </row>
    <row r="32" spans="1:65" outlineLevel="1">
      <c r="A32" s="1341"/>
      <c r="B32" s="1356" t="s">
        <v>600</v>
      </c>
      <c r="C32" s="1357" t="s">
        <v>484</v>
      </c>
      <c r="D32" s="1344">
        <v>11094</v>
      </c>
      <c r="E32" s="1344">
        <v>15358</v>
      </c>
      <c r="F32" s="1344">
        <v>10257</v>
      </c>
      <c r="G32" s="1344">
        <v>8905</v>
      </c>
      <c r="H32" s="1358">
        <v>8381</v>
      </c>
      <c r="I32" s="1358">
        <v>9442</v>
      </c>
      <c r="J32" s="1358">
        <v>5969</v>
      </c>
      <c r="K32" s="1358">
        <v>8560</v>
      </c>
      <c r="L32" s="1358">
        <v>9730</v>
      </c>
      <c r="M32" s="1358">
        <v>1592</v>
      </c>
      <c r="N32" s="1358">
        <v>12032</v>
      </c>
      <c r="O32" s="1358">
        <v>14692</v>
      </c>
      <c r="P32" s="1358">
        <v>17336</v>
      </c>
      <c r="Q32" s="1358">
        <v>23080</v>
      </c>
      <c r="R32" s="1358">
        <v>24795</v>
      </c>
      <c r="S32" s="1358">
        <v>16896</v>
      </c>
      <c r="T32" s="1358">
        <v>21515</v>
      </c>
      <c r="U32" s="1358">
        <v>24473</v>
      </c>
      <c r="V32" s="1358">
        <v>30802</v>
      </c>
      <c r="W32" s="1358">
        <f t="shared" ref="W32:AC32" si="67">W29+W30-W31</f>
        <v>21727</v>
      </c>
      <c r="X32" s="1358">
        <f t="shared" si="67"/>
        <v>26429</v>
      </c>
      <c r="Y32" s="1358">
        <f t="shared" si="67"/>
        <v>27870</v>
      </c>
      <c r="Z32" s="1358">
        <f t="shared" si="67"/>
        <v>28842</v>
      </c>
      <c r="AA32" s="1358">
        <f t="shared" si="67"/>
        <v>23386</v>
      </c>
      <c r="AB32" s="1358">
        <f t="shared" si="67"/>
        <v>26178</v>
      </c>
      <c r="AC32" s="1358">
        <f t="shared" si="67"/>
        <v>27672</v>
      </c>
      <c r="AD32" s="1358">
        <f t="shared" ref="AD32:AE32" si="68">AD29+AD30-AD31</f>
        <v>25394</v>
      </c>
      <c r="AE32" s="1358">
        <f t="shared" si="68"/>
        <v>22247</v>
      </c>
      <c r="AF32" s="1358">
        <f t="shared" ref="AF32:AH32" si="69">AF29+AF30-AF31</f>
        <v>26947</v>
      </c>
      <c r="AG32" s="1358">
        <f t="shared" si="69"/>
        <v>35347</v>
      </c>
      <c r="AH32" s="1944">
        <f t="shared" si="69"/>
        <v>34147</v>
      </c>
      <c r="AI32" s="1358">
        <f>+Model!AD68</f>
        <v>31586</v>
      </c>
      <c r="AJ32" s="1944">
        <f t="shared" ref="AJ32" si="70">AJ29+AJ30-AJ31</f>
        <v>24217</v>
      </c>
      <c r="AK32" s="1359">
        <f>+Model!AE68</f>
        <v>43547</v>
      </c>
      <c r="AL32" s="1358">
        <f>+Model!AF68</f>
        <v>63900</v>
      </c>
      <c r="AM32" s="1358">
        <f>+Model!AG68</f>
        <v>68400</v>
      </c>
      <c r="AN32" s="1358">
        <f>+Model!AH68</f>
        <v>70600</v>
      </c>
      <c r="AO32" s="1358">
        <f>+Model!AI68</f>
        <v>72500</v>
      </c>
      <c r="AP32" s="1358">
        <f>+Model!AJ68</f>
        <v>74800</v>
      </c>
      <c r="AQ32" s="1349"/>
      <c r="AR32" s="1349"/>
      <c r="AS32" s="1349"/>
      <c r="AT32" s="1349"/>
      <c r="AU32" s="1349"/>
      <c r="AV32" s="1349"/>
      <c r="AW32" s="1349"/>
      <c r="AX32" s="1349"/>
      <c r="AY32" s="1349"/>
      <c r="AZ32" s="1349"/>
      <c r="BA32" s="1349"/>
      <c r="BB32" s="1349"/>
      <c r="BC32" s="1349"/>
      <c r="BD32" s="1349"/>
      <c r="BE32" s="1349"/>
      <c r="BF32" s="1349"/>
      <c r="BG32" s="1349"/>
      <c r="BH32" s="1349"/>
      <c r="BI32" s="1349"/>
      <c r="BJ32" s="1349"/>
      <c r="BK32" s="1349"/>
      <c r="BL32" s="1349"/>
      <c r="BM32" s="1349"/>
    </row>
    <row r="33" spans="1:65" outlineLevel="1">
      <c r="A33" s="1341"/>
      <c r="B33" s="1356" t="s">
        <v>599</v>
      </c>
      <c r="C33" s="1357" t="s">
        <v>186</v>
      </c>
      <c r="D33" s="1344">
        <v>5096</v>
      </c>
      <c r="E33" s="1344">
        <v>4724</v>
      </c>
      <c r="F33" s="1344">
        <v>4579</v>
      </c>
      <c r="G33" s="1344">
        <v>4293</v>
      </c>
      <c r="H33" s="1358">
        <v>4240</v>
      </c>
      <c r="I33" s="1358">
        <v>4870</v>
      </c>
      <c r="J33" s="1358">
        <v>3727</v>
      </c>
      <c r="K33" s="1358">
        <v>5070</v>
      </c>
      <c r="L33" s="1358">
        <v>4457</v>
      </c>
      <c r="M33" s="1358">
        <v>438</v>
      </c>
      <c r="N33" s="1358">
        <f>6501-1699</f>
        <v>4802</v>
      </c>
      <c r="O33" s="1358">
        <f>7591-962</f>
        <v>6629</v>
      </c>
      <c r="P33" s="1358">
        <v>7401</v>
      </c>
      <c r="Q33" s="1358">
        <v>9654</v>
      </c>
      <c r="R33" s="1358">
        <v>9823</v>
      </c>
      <c r="S33" s="1358">
        <v>9804</v>
      </c>
      <c r="T33" s="1358">
        <v>8982</v>
      </c>
      <c r="U33" s="1358">
        <v>10055</v>
      </c>
      <c r="V33" s="1358">
        <v>11500</v>
      </c>
      <c r="W33" s="1358">
        <v>8662</v>
      </c>
      <c r="X33" s="1358">
        <f>+-'Raw Data'!T65</f>
        <v>9787</v>
      </c>
      <c r="Y33" s="1358">
        <f t="shared" ref="Y33:AD33" si="71">Y32*0.38</f>
        <v>10590.6</v>
      </c>
      <c r="Z33" s="1358">
        <f t="shared" si="71"/>
        <v>10959.960000000001</v>
      </c>
      <c r="AA33" s="1358">
        <f t="shared" si="71"/>
        <v>8886.68</v>
      </c>
      <c r="AB33" s="1358">
        <f t="shared" si="71"/>
        <v>9947.64</v>
      </c>
      <c r="AC33" s="1358">
        <f t="shared" si="71"/>
        <v>10515.36</v>
      </c>
      <c r="AD33" s="1358">
        <f t="shared" si="71"/>
        <v>9649.7199999999993</v>
      </c>
      <c r="AE33" s="1358">
        <f t="shared" ref="AE33:AH33" si="72">AE32*0.38</f>
        <v>8453.86</v>
      </c>
      <c r="AF33" s="1358">
        <f t="shared" si="72"/>
        <v>10239.86</v>
      </c>
      <c r="AG33" s="1358">
        <f t="shared" si="72"/>
        <v>13431.86</v>
      </c>
      <c r="AH33" s="1944">
        <f t="shared" si="72"/>
        <v>12975.86</v>
      </c>
      <c r="AI33" s="1358">
        <f>-Model!AD71</f>
        <v>8571</v>
      </c>
      <c r="AJ33" s="1944">
        <f t="shared" ref="AJ33" si="73">AJ32*0.38</f>
        <v>9202.4600000000009</v>
      </c>
      <c r="AK33" s="1359">
        <f>-Model!AE71</f>
        <v>10053</v>
      </c>
      <c r="AL33" s="1358">
        <f>-Model!AF71</f>
        <v>14700</v>
      </c>
      <c r="AM33" s="1358">
        <f>-Model!AG71</f>
        <v>15700</v>
      </c>
      <c r="AN33" s="1358">
        <f>-Model!AH71</f>
        <v>16200</v>
      </c>
      <c r="AO33" s="1358">
        <f>-Model!AI71</f>
        <v>16700</v>
      </c>
      <c r="AP33" s="1358">
        <f>-Model!AJ71</f>
        <v>17200</v>
      </c>
      <c r="AQ33" s="1349"/>
      <c r="AR33" s="1349"/>
      <c r="AS33" s="1349"/>
      <c r="AT33" s="1349"/>
      <c r="AU33" s="1349"/>
      <c r="AV33" s="1349"/>
      <c r="AW33" s="1349"/>
      <c r="AX33" s="1349"/>
      <c r="AY33" s="1349"/>
      <c r="AZ33" s="1349"/>
      <c r="BA33" s="1349"/>
      <c r="BB33" s="1349"/>
      <c r="BC33" s="1349"/>
      <c r="BD33" s="1349"/>
      <c r="BE33" s="1349"/>
      <c r="BF33" s="1349"/>
      <c r="BG33" s="1349"/>
      <c r="BH33" s="1349"/>
      <c r="BI33" s="1349"/>
      <c r="BJ33" s="1349"/>
      <c r="BK33" s="1349"/>
      <c r="BL33" s="1349"/>
      <c r="BM33" s="1349"/>
    </row>
    <row r="34" spans="1:65" outlineLevel="1">
      <c r="A34" s="1341"/>
      <c r="B34" s="1356" t="s">
        <v>183</v>
      </c>
      <c r="C34" s="1357" t="s">
        <v>598</v>
      </c>
      <c r="D34" s="1344">
        <v>72</v>
      </c>
      <c r="E34" s="1344">
        <v>57</v>
      </c>
      <c r="F34" s="1344">
        <v>16</v>
      </c>
      <c r="G34" s="1344">
        <v>18</v>
      </c>
      <c r="H34" s="1358">
        <v>-18</v>
      </c>
      <c r="I34" s="1358">
        <v>110</v>
      </c>
      <c r="J34" s="1358">
        <v>110</v>
      </c>
      <c r="K34" s="1358">
        <v>24</v>
      </c>
      <c r="L34" s="1358">
        <v>491</v>
      </c>
      <c r="M34" s="1358">
        <v>312</v>
      </c>
      <c r="N34" s="1358">
        <v>756</v>
      </c>
      <c r="O34" s="1358">
        <v>667</v>
      </c>
      <c r="P34" s="1358">
        <v>852</v>
      </c>
      <c r="Q34" s="1358">
        <v>1458</v>
      </c>
      <c r="R34" s="1358">
        <v>1157</v>
      </c>
      <c r="S34" s="1358">
        <v>915</v>
      </c>
      <c r="T34" s="1358">
        <v>1150</v>
      </c>
      <c r="U34" s="1358">
        <v>587</v>
      </c>
      <c r="V34" s="1358">
        <v>796</v>
      </c>
      <c r="W34" s="1358">
        <v>648</v>
      </c>
      <c r="X34" s="1358">
        <f>+'Raw Data'!T67</f>
        <v>-523</v>
      </c>
      <c r="Y34" s="1358">
        <v>1200</v>
      </c>
      <c r="Z34" s="1358">
        <v>1200</v>
      </c>
      <c r="AA34" s="1358">
        <v>1200</v>
      </c>
      <c r="AB34" s="1358">
        <v>1200</v>
      </c>
      <c r="AC34" s="1358">
        <v>1200</v>
      </c>
      <c r="AD34" s="1358">
        <v>1200</v>
      </c>
      <c r="AE34" s="1358">
        <v>1200</v>
      </c>
      <c r="AF34" s="1358">
        <v>1200</v>
      </c>
      <c r="AG34" s="1358">
        <v>1200</v>
      </c>
      <c r="AH34" s="1944">
        <v>1200</v>
      </c>
      <c r="AI34" s="1358">
        <f>-Model!AD73</f>
        <v>600</v>
      </c>
      <c r="AJ34" s="1944">
        <v>1200</v>
      </c>
      <c r="AK34" s="1359">
        <f>-Model!AE73</f>
        <v>368</v>
      </c>
      <c r="AL34" s="1358">
        <f>-Model!AF73</f>
        <v>400</v>
      </c>
      <c r="AM34" s="1358">
        <f>-Model!AG73</f>
        <v>400</v>
      </c>
      <c r="AN34" s="1358">
        <f>-Model!AH73</f>
        <v>400</v>
      </c>
      <c r="AO34" s="1358">
        <f>-Model!AI73</f>
        <v>400</v>
      </c>
      <c r="AP34" s="1358">
        <f>-Model!AJ73</f>
        <v>400</v>
      </c>
      <c r="AQ34" s="1349"/>
      <c r="AR34" s="1349"/>
      <c r="AS34" s="1349"/>
      <c r="AT34" s="1349"/>
      <c r="AU34" s="1349"/>
      <c r="AV34" s="1349"/>
      <c r="AW34" s="1349"/>
      <c r="AX34" s="1349"/>
      <c r="AY34" s="1349"/>
      <c r="AZ34" s="1349"/>
      <c r="BA34" s="1349"/>
      <c r="BB34" s="1349"/>
      <c r="BC34" s="1349"/>
      <c r="BD34" s="1349"/>
      <c r="BE34" s="1349"/>
      <c r="BF34" s="1349"/>
      <c r="BG34" s="1349"/>
      <c r="BH34" s="1349"/>
      <c r="BI34" s="1349"/>
      <c r="BJ34" s="1349"/>
      <c r="BK34" s="1349"/>
      <c r="BL34" s="1349"/>
      <c r="BM34" s="1349"/>
    </row>
    <row r="35" spans="1:65" outlineLevel="1">
      <c r="A35" s="1341"/>
      <c r="B35" s="1342" t="s">
        <v>597</v>
      </c>
      <c r="C35" s="1343" t="s">
        <v>468</v>
      </c>
      <c r="D35" s="1344">
        <v>5931</v>
      </c>
      <c r="E35" s="1344">
        <v>10579</v>
      </c>
      <c r="F35" s="1344">
        <v>5664</v>
      </c>
      <c r="G35" s="1360">
        <v>4584</v>
      </c>
      <c r="H35" s="1361">
        <v>4127</v>
      </c>
      <c r="I35" s="1361">
        <v>4398</v>
      </c>
      <c r="J35" s="1361">
        <v>2067</v>
      </c>
      <c r="K35" s="1361">
        <v>3464</v>
      </c>
      <c r="L35" s="1361">
        <v>4781</v>
      </c>
      <c r="M35" s="1361">
        <v>842</v>
      </c>
      <c r="N35" s="1361">
        <f>N32-N33-N34</f>
        <v>6474</v>
      </c>
      <c r="O35" s="1361">
        <f>O32-O33-O34</f>
        <v>7396</v>
      </c>
      <c r="P35" s="1361">
        <v>9081</v>
      </c>
      <c r="Q35" s="1361">
        <v>11967</v>
      </c>
      <c r="R35" s="1361">
        <v>13813</v>
      </c>
      <c r="S35" s="1361">
        <v>6176</v>
      </c>
      <c r="T35" s="1361">
        <v>11382</v>
      </c>
      <c r="U35" s="1361">
        <v>13829</v>
      </c>
      <c r="V35" s="1361">
        <v>18506</v>
      </c>
      <c r="W35" s="1361">
        <f>W32-W33-W34-2</f>
        <v>12415</v>
      </c>
      <c r="X35" s="1361">
        <f t="shared" ref="X35:AC35" si="74">X32-X33-X34</f>
        <v>17165</v>
      </c>
      <c r="Y35" s="1361">
        <f t="shared" si="74"/>
        <v>16079.400000000001</v>
      </c>
      <c r="Z35" s="1361">
        <f t="shared" si="74"/>
        <v>16682.04</v>
      </c>
      <c r="AA35" s="1361">
        <f t="shared" si="74"/>
        <v>13299.32</v>
      </c>
      <c r="AB35" s="1361">
        <f t="shared" si="74"/>
        <v>15030.36</v>
      </c>
      <c r="AC35" s="1361">
        <f t="shared" si="74"/>
        <v>15956.64</v>
      </c>
      <c r="AD35" s="1361">
        <f t="shared" ref="AD35:AE35" si="75">AD32-AD33-AD34</f>
        <v>14544.28</v>
      </c>
      <c r="AE35" s="1361">
        <f t="shared" si="75"/>
        <v>12593.14</v>
      </c>
      <c r="AF35" s="1361">
        <f t="shared" ref="AF35:AH35" si="76">AF32-AF33-AF34</f>
        <v>15507.14</v>
      </c>
      <c r="AG35" s="1361">
        <f t="shared" si="76"/>
        <v>20715.14</v>
      </c>
      <c r="AH35" s="1942">
        <f t="shared" si="76"/>
        <v>19971.14</v>
      </c>
      <c r="AI35" s="1361">
        <f t="shared" ref="AI35:AK35" si="77">AI32-AI33-AI34</f>
        <v>22415</v>
      </c>
      <c r="AJ35" s="1942">
        <f t="shared" ref="AJ35" si="78">AJ32-AJ33-AJ34</f>
        <v>13814.539999999999</v>
      </c>
      <c r="AK35" s="1362">
        <f t="shared" si="77"/>
        <v>33126</v>
      </c>
      <c r="AL35" s="1361">
        <f t="shared" ref="AL35" si="79">AL32-AL33-AL34</f>
        <v>48800</v>
      </c>
      <c r="AM35" s="1361">
        <f t="shared" ref="AM35:AN35" si="80">AM32-AM33-AM34</f>
        <v>52300</v>
      </c>
      <c r="AN35" s="1361">
        <f t="shared" si="80"/>
        <v>54000</v>
      </c>
      <c r="AO35" s="1361">
        <f t="shared" ref="AO35" si="81">AO32-AO33-AO34</f>
        <v>55400</v>
      </c>
      <c r="AP35" s="1361">
        <f t="shared" ref="AP35" si="82">AP32-AP33-AP34</f>
        <v>57200</v>
      </c>
      <c r="AQ35" s="1349"/>
      <c r="AR35" s="1349"/>
      <c r="AS35" s="1349"/>
      <c r="AT35" s="1349"/>
      <c r="AU35" s="1349"/>
      <c r="AV35" s="1349"/>
      <c r="AW35" s="1349"/>
      <c r="AX35" s="1349"/>
      <c r="AY35" s="1349"/>
      <c r="AZ35" s="1349"/>
      <c r="BA35" s="1349"/>
      <c r="BB35" s="1349"/>
      <c r="BC35" s="1349"/>
      <c r="BD35" s="1349"/>
      <c r="BE35" s="1349"/>
      <c r="BF35" s="1349"/>
      <c r="BG35" s="1349"/>
      <c r="BH35" s="1349"/>
      <c r="BI35" s="1349"/>
      <c r="BJ35" s="1349"/>
      <c r="BK35" s="1349"/>
      <c r="BL35" s="1349"/>
      <c r="BM35" s="1349"/>
    </row>
    <row r="36" spans="1:65" outlineLevel="1">
      <c r="A36" s="1341"/>
      <c r="B36" s="1356"/>
      <c r="C36" s="1357"/>
      <c r="D36" s="1344"/>
      <c r="E36" s="1344"/>
      <c r="F36" s="1344"/>
      <c r="G36" s="1344"/>
      <c r="H36" s="1358"/>
      <c r="I36" s="1358"/>
      <c r="J36" s="1358"/>
      <c r="K36" s="1358"/>
      <c r="L36" s="1358"/>
      <c r="M36" s="1367"/>
      <c r="N36" s="1367"/>
      <c r="O36" s="1368"/>
      <c r="P36" s="1368"/>
      <c r="Q36" s="1368"/>
      <c r="R36" s="1368"/>
      <c r="S36" s="1368"/>
      <c r="T36" s="1368"/>
      <c r="U36" s="1368"/>
      <c r="V36" s="1368"/>
      <c r="W36" s="1368"/>
      <c r="X36" s="1368"/>
      <c r="Y36" s="1368"/>
      <c r="Z36" s="1368"/>
      <c r="AA36" s="1368"/>
      <c r="AB36" s="1368"/>
      <c r="AC36" s="1368"/>
      <c r="AD36" s="1368"/>
      <c r="AE36" s="1368"/>
      <c r="AF36" s="1368"/>
      <c r="AG36" s="1368"/>
      <c r="AH36" s="1946"/>
      <c r="AI36" s="1368"/>
      <c r="AJ36" s="1946"/>
      <c r="AK36" s="1369"/>
      <c r="AL36" s="1368"/>
      <c r="AM36" s="1368"/>
      <c r="AN36" s="1368"/>
      <c r="AO36" s="1368"/>
      <c r="AP36" s="1368"/>
      <c r="AQ36" s="1349"/>
      <c r="AR36" s="1349"/>
      <c r="AS36" s="1349"/>
      <c r="AT36" s="1349"/>
      <c r="AU36" s="1349"/>
      <c r="AV36" s="1349"/>
      <c r="AW36" s="1349"/>
      <c r="AX36" s="1349"/>
      <c r="AY36" s="1349"/>
      <c r="AZ36" s="1349"/>
      <c r="BA36" s="1349"/>
      <c r="BB36" s="1349"/>
      <c r="BC36" s="1349"/>
      <c r="BD36" s="1349"/>
      <c r="BE36" s="1349"/>
      <c r="BF36" s="1349"/>
      <c r="BG36" s="1349"/>
      <c r="BH36" s="1349"/>
      <c r="BI36" s="1349"/>
      <c r="BJ36" s="1349"/>
      <c r="BK36" s="1349"/>
      <c r="BL36" s="1349"/>
      <c r="BM36" s="1349"/>
    </row>
    <row r="37" spans="1:65" outlineLevel="1">
      <c r="A37" s="1341"/>
      <c r="B37" s="1370" t="s">
        <v>4</v>
      </c>
      <c r="C37" s="1371" t="s">
        <v>4</v>
      </c>
      <c r="D37" s="1372">
        <v>17707</v>
      </c>
      <c r="E37" s="1372">
        <v>15871</v>
      </c>
      <c r="F37" s="1372">
        <v>17029</v>
      </c>
      <c r="G37" s="1360">
        <v>17673</v>
      </c>
      <c r="H37" s="1361">
        <f t="shared" ref="H37:AC37" si="83">H39+H23+H41</f>
        <v>15003</v>
      </c>
      <c r="I37" s="1361">
        <f t="shared" si="83"/>
        <v>17948</v>
      </c>
      <c r="J37" s="1361">
        <f t="shared" si="83"/>
        <v>17613</v>
      </c>
      <c r="K37" s="1361">
        <f t="shared" si="83"/>
        <v>21302</v>
      </c>
      <c r="L37" s="1361">
        <f t="shared" si="83"/>
        <v>25643</v>
      </c>
      <c r="M37" s="1361">
        <f t="shared" si="83"/>
        <v>25707</v>
      </c>
      <c r="N37" s="1361">
        <f t="shared" si="83"/>
        <v>25992</v>
      </c>
      <c r="O37" s="1361">
        <f t="shared" si="83"/>
        <v>28657</v>
      </c>
      <c r="P37" s="1361">
        <f t="shared" si="83"/>
        <v>27753</v>
      </c>
      <c r="Q37" s="1361">
        <f t="shared" si="83"/>
        <v>29057</v>
      </c>
      <c r="R37" s="1361">
        <f t="shared" si="83"/>
        <v>29101</v>
      </c>
      <c r="S37" s="1361">
        <f t="shared" si="83"/>
        <v>28841</v>
      </c>
      <c r="T37" s="1361">
        <f t="shared" si="83"/>
        <v>29146</v>
      </c>
      <c r="U37" s="1361">
        <f t="shared" si="83"/>
        <v>33851</v>
      </c>
      <c r="V37" s="1361">
        <f t="shared" si="83"/>
        <v>40350</v>
      </c>
      <c r="W37" s="1361">
        <f t="shared" si="83"/>
        <v>36619</v>
      </c>
      <c r="X37" s="1361">
        <f t="shared" si="83"/>
        <v>35759</v>
      </c>
      <c r="Y37" s="1361">
        <f t="shared" si="83"/>
        <v>40223</v>
      </c>
      <c r="Z37" s="1361">
        <f t="shared" si="83"/>
        <v>41195</v>
      </c>
      <c r="AA37" s="1361">
        <f t="shared" si="83"/>
        <v>35739</v>
      </c>
      <c r="AB37" s="1361">
        <f t="shared" si="83"/>
        <v>38531</v>
      </c>
      <c r="AC37" s="1361">
        <f t="shared" si="83"/>
        <v>40025</v>
      </c>
      <c r="AD37" s="1361">
        <f t="shared" ref="AD37:AE37" si="84">AD39+AD23+AD41</f>
        <v>37747</v>
      </c>
      <c r="AE37" s="1361">
        <f t="shared" si="84"/>
        <v>34600</v>
      </c>
      <c r="AF37" s="1361">
        <f t="shared" ref="AF37:AH37" si="85">AF39+AF23+AF41</f>
        <v>39300</v>
      </c>
      <c r="AG37" s="1361">
        <f t="shared" si="85"/>
        <v>47700</v>
      </c>
      <c r="AH37" s="1942">
        <f t="shared" si="85"/>
        <v>46500</v>
      </c>
      <c r="AI37" s="1361">
        <f t="shared" ref="AI37:AK37" si="86">AI39+AI23+AI41</f>
        <v>40334</v>
      </c>
      <c r="AJ37" s="1942">
        <f t="shared" ref="AJ37" si="87">AJ39+AJ23+AJ41</f>
        <v>32861</v>
      </c>
      <c r="AK37" s="1362">
        <f t="shared" si="86"/>
        <v>50929</v>
      </c>
      <c r="AL37" s="1361">
        <f t="shared" ref="AL37" si="88">AL39+AL23+AL41</f>
        <v>70100</v>
      </c>
      <c r="AM37" s="1361">
        <f t="shared" ref="AM37:AN37" si="89">AM39+AM23+AM41</f>
        <v>74600</v>
      </c>
      <c r="AN37" s="1361">
        <f t="shared" si="89"/>
        <v>76700</v>
      </c>
      <c r="AO37" s="1361">
        <f t="shared" ref="AO37" si="90">AO39+AO23+AO41</f>
        <v>78600</v>
      </c>
      <c r="AP37" s="1361">
        <f t="shared" ref="AP37" si="91">AP39+AP23+AP41</f>
        <v>80800</v>
      </c>
      <c r="AQ37" s="1349"/>
      <c r="AR37" s="1349"/>
      <c r="AS37" s="1349"/>
      <c r="AT37" s="1349"/>
      <c r="AU37" s="1349"/>
      <c r="AV37" s="1349"/>
      <c r="AW37" s="1349"/>
      <c r="AX37" s="1349"/>
      <c r="AY37" s="1349"/>
      <c r="AZ37" s="1349"/>
      <c r="BA37" s="1349"/>
      <c r="BB37" s="1349"/>
      <c r="BC37" s="1349"/>
      <c r="BD37" s="1349"/>
      <c r="BE37" s="1349"/>
      <c r="BF37" s="1349"/>
      <c r="BG37" s="1349"/>
      <c r="BH37" s="1349"/>
      <c r="BI37" s="1349"/>
      <c r="BJ37" s="1349"/>
      <c r="BK37" s="1349"/>
      <c r="BL37" s="1349"/>
      <c r="BM37" s="1349"/>
    </row>
    <row r="38" spans="1:65" outlineLevel="1">
      <c r="A38" s="1341"/>
      <c r="B38" s="1356" t="s">
        <v>994</v>
      </c>
      <c r="C38" s="1357" t="s">
        <v>483</v>
      </c>
      <c r="D38" s="1373">
        <f t="shared" ref="D38:AC38" si="92">D37/D12*100</f>
        <v>8.6341915350107286</v>
      </c>
      <c r="E38" s="1373">
        <f t="shared" si="92"/>
        <v>7.6196648902971811</v>
      </c>
      <c r="F38" s="1373">
        <f t="shared" si="92"/>
        <v>7.7440097499306502</v>
      </c>
      <c r="G38" s="1373">
        <f t="shared" si="92"/>
        <v>7.2424094647591808</v>
      </c>
      <c r="H38" s="1374">
        <f t="shared" si="92"/>
        <v>5.6980630459551849</v>
      </c>
      <c r="I38" s="1374">
        <f t="shared" si="92"/>
        <v>5.8735363610778402</v>
      </c>
      <c r="J38" s="1374">
        <f t="shared" si="92"/>
        <v>5.6046484246969834</v>
      </c>
      <c r="K38" s="1374">
        <f t="shared" si="92"/>
        <v>7.0345187420951651</v>
      </c>
      <c r="L38" s="1374">
        <f t="shared" si="92"/>
        <v>8.2766879046678419</v>
      </c>
      <c r="M38" s="1374">
        <f t="shared" si="92"/>
        <v>8.0577366119704728</v>
      </c>
      <c r="N38" s="1374">
        <f t="shared" si="92"/>
        <v>7.9648458327970726</v>
      </c>
      <c r="O38" s="1374">
        <f t="shared" si="92"/>
        <v>8.972893763718286</v>
      </c>
      <c r="P38" s="1374">
        <f t="shared" si="92"/>
        <v>8.9441558274141784</v>
      </c>
      <c r="Q38" s="1374">
        <f t="shared" si="92"/>
        <v>9.4475567448408615</v>
      </c>
      <c r="R38" s="1374">
        <f t="shared" si="92"/>
        <v>8.9354855547947523</v>
      </c>
      <c r="S38" s="1374">
        <f t="shared" si="92"/>
        <v>8.9747818618603663</v>
      </c>
      <c r="T38" s="1374">
        <f t="shared" si="92"/>
        <v>9.2602241821925126</v>
      </c>
      <c r="U38" s="1374">
        <f t="shared" si="92"/>
        <v>10.510676482551551</v>
      </c>
      <c r="V38" s="1374">
        <f t="shared" si="92"/>
        <v>12.795834297909856</v>
      </c>
      <c r="W38" s="1374">
        <f t="shared" si="92"/>
        <v>11.970475072815296</v>
      </c>
      <c r="X38" s="1374">
        <f t="shared" si="92"/>
        <v>11.140291848916469</v>
      </c>
      <c r="Y38" s="1374">
        <f t="shared" si="92"/>
        <v>11.674846964098604</v>
      </c>
      <c r="Z38" s="1374">
        <f t="shared" si="92"/>
        <v>11.067052448613898</v>
      </c>
      <c r="AA38" s="1374">
        <f t="shared" si="92"/>
        <v>9.3723939347847764</v>
      </c>
      <c r="AB38" s="1374">
        <f t="shared" si="92"/>
        <v>10.045651386097054</v>
      </c>
      <c r="AC38" s="1374">
        <f t="shared" si="92"/>
        <v>10.470950796341642</v>
      </c>
      <c r="AD38" s="1374">
        <f t="shared" ref="AD38:AE38" si="93">AD37/AD12*100</f>
        <v>9.7086654475214562</v>
      </c>
      <c r="AE38" s="1374">
        <f t="shared" si="93"/>
        <v>8.6241276171485541</v>
      </c>
      <c r="AF38" s="1374">
        <f t="shared" ref="AF38:AH38" si="94">AF37/AF12*100</f>
        <v>9.4312455003599709</v>
      </c>
      <c r="AG38" s="1374">
        <f t="shared" si="94"/>
        <v>11.308677098150783</v>
      </c>
      <c r="AH38" s="1947">
        <f t="shared" si="94"/>
        <v>13.624377380603574</v>
      </c>
      <c r="AI38" s="1374">
        <f t="shared" ref="AI38:AK38" si="95">AI37/AI12*100</f>
        <v>11.157399723374827</v>
      </c>
      <c r="AJ38" s="1947">
        <f t="shared" ref="AJ38" si="96">AJ37/AJ12*100</f>
        <v>8.9466376259188678</v>
      </c>
      <c r="AK38" s="1375">
        <f t="shared" si="95"/>
        <v>11.686699435043806</v>
      </c>
      <c r="AL38" s="1374">
        <f t="shared" ref="AL38" si="97">AL37/AL12*100</f>
        <v>14.588969823100935</v>
      </c>
      <c r="AM38" s="1374">
        <f t="shared" ref="AM38:AN38" si="98">AM37/AM12*100</f>
        <v>15.037290868776457</v>
      </c>
      <c r="AN38" s="1374">
        <f t="shared" si="98"/>
        <v>15.009784735812131</v>
      </c>
      <c r="AO38" s="1374">
        <f t="shared" ref="AO38" si="99">AO37/AO12*100</f>
        <v>14.90612554523042</v>
      </c>
      <c r="AP38" s="1374">
        <f t="shared" ref="AP38" si="100">AP37/AP12*100</f>
        <v>14.896755162241886</v>
      </c>
      <c r="AQ38" s="1376"/>
      <c r="AR38" s="1376"/>
      <c r="AS38" s="1376"/>
      <c r="AT38" s="1376"/>
      <c r="AU38" s="1376"/>
      <c r="AV38" s="1376"/>
      <c r="AW38" s="1376"/>
      <c r="AX38" s="1376"/>
      <c r="AY38" s="1376"/>
      <c r="AZ38" s="1376"/>
      <c r="BA38" s="1376"/>
      <c r="BB38" s="1376"/>
      <c r="BC38" s="1376"/>
      <c r="BD38" s="1376"/>
      <c r="BE38" s="1376"/>
      <c r="BF38" s="1376"/>
      <c r="BG38" s="1376"/>
      <c r="BH38" s="1376"/>
      <c r="BI38" s="1376"/>
      <c r="BJ38" s="1376"/>
      <c r="BK38" s="1376"/>
      <c r="BL38" s="1376"/>
      <c r="BM38" s="1376"/>
    </row>
    <row r="39" spans="1:65" outlineLevel="1">
      <c r="A39" s="1341"/>
      <c r="B39" s="1350" t="s">
        <v>1139</v>
      </c>
      <c r="C39" s="1341" t="s">
        <v>71</v>
      </c>
      <c r="D39" s="1373"/>
      <c r="E39" s="1373"/>
      <c r="F39" s="1373"/>
      <c r="G39" s="1373"/>
      <c r="H39" s="367">
        <v>7617</v>
      </c>
      <c r="I39" s="367">
        <v>7347</v>
      </c>
      <c r="J39" s="367">
        <v>7993</v>
      </c>
      <c r="K39" s="367">
        <v>8673</v>
      </c>
      <c r="L39" s="367">
        <v>8735</v>
      </c>
      <c r="M39" s="367">
        <v>8574</v>
      </c>
      <c r="N39" s="367">
        <v>8744</v>
      </c>
      <c r="O39" s="367">
        <v>8642</v>
      </c>
      <c r="P39" s="367">
        <v>8650</v>
      </c>
      <c r="Q39" s="367">
        <v>8395</v>
      </c>
      <c r="R39" s="367">
        <v>8755</v>
      </c>
      <c r="S39" s="367">
        <v>8901</v>
      </c>
      <c r="T39" s="367">
        <v>8560</v>
      </c>
      <c r="U39" s="367">
        <v>8554</v>
      </c>
      <c r="V39" s="367">
        <v>8957</v>
      </c>
      <c r="W39" s="1377">
        <v>10633</v>
      </c>
      <c r="X39" s="1378">
        <v>10206</v>
      </c>
      <c r="Y39" s="1379">
        <v>10200</v>
      </c>
      <c r="Z39" s="1379">
        <v>10200</v>
      </c>
      <c r="AA39" s="1379">
        <v>10200</v>
      </c>
      <c r="AB39" s="1379">
        <v>10200</v>
      </c>
      <c r="AC39" s="1379">
        <v>10200</v>
      </c>
      <c r="AD39" s="1379">
        <v>10200</v>
      </c>
      <c r="AE39" s="1379">
        <v>10200</v>
      </c>
      <c r="AF39" s="1379">
        <v>10200</v>
      </c>
      <c r="AG39" s="1379">
        <v>10200</v>
      </c>
      <c r="AH39" s="1948">
        <v>10200</v>
      </c>
      <c r="AI39" s="1379">
        <v>10200</v>
      </c>
      <c r="AJ39" s="1948">
        <v>10200</v>
      </c>
      <c r="AK39" s="1380">
        <v>10200</v>
      </c>
      <c r="AL39" s="1379">
        <v>10200</v>
      </c>
      <c r="AM39" s="1379">
        <v>10200</v>
      </c>
      <c r="AN39" s="1379">
        <v>10200</v>
      </c>
      <c r="AO39" s="1379">
        <v>10200</v>
      </c>
      <c r="AP39" s="1379">
        <v>10200</v>
      </c>
      <c r="AQ39" s="367"/>
      <c r="AR39" s="367"/>
      <c r="AS39" s="367"/>
      <c r="AT39" s="367"/>
      <c r="AU39" s="367"/>
      <c r="AV39" s="367"/>
      <c r="AW39" s="367"/>
      <c r="AX39" s="367"/>
      <c r="AY39" s="367"/>
      <c r="AZ39" s="367"/>
      <c r="BA39" s="367"/>
      <c r="BB39" s="367"/>
      <c r="BC39" s="367"/>
      <c r="BD39" s="367"/>
      <c r="BE39" s="367"/>
      <c r="BF39" s="367"/>
      <c r="BG39" s="367"/>
      <c r="BH39" s="367"/>
      <c r="BI39" s="367"/>
      <c r="BJ39" s="367"/>
      <c r="BK39" s="367"/>
      <c r="BL39" s="367"/>
      <c r="BM39" s="367"/>
    </row>
    <row r="40" spans="1:65" outlineLevel="1">
      <c r="A40" s="1341"/>
      <c r="B40" s="367" t="s">
        <v>995</v>
      </c>
      <c r="C40" s="367" t="s">
        <v>596</v>
      </c>
      <c r="D40" s="367"/>
      <c r="E40" s="367"/>
      <c r="F40" s="367"/>
      <c r="G40" s="367"/>
      <c r="H40" s="1381">
        <v>31</v>
      </c>
      <c r="I40" s="1381">
        <v>62</v>
      </c>
      <c r="J40" s="1381">
        <v>65</v>
      </c>
      <c r="K40" s="1381"/>
      <c r="L40" s="1381">
        <v>65</v>
      </c>
      <c r="M40" s="1381">
        <v>15</v>
      </c>
      <c r="N40" s="1381">
        <v>15</v>
      </c>
      <c r="O40" s="1381">
        <v>31</v>
      </c>
      <c r="P40" s="1381">
        <v>27</v>
      </c>
      <c r="Q40" s="1382">
        <v>29</v>
      </c>
      <c r="R40" s="1382">
        <v>262</v>
      </c>
      <c r="S40" s="367">
        <v>64</v>
      </c>
      <c r="T40" s="367">
        <v>38</v>
      </c>
      <c r="U40" s="367">
        <v>39</v>
      </c>
      <c r="V40" s="367">
        <v>51</v>
      </c>
      <c r="W40" s="1377">
        <v>51</v>
      </c>
      <c r="X40" s="1377">
        <v>20</v>
      </c>
      <c r="Y40" s="1379">
        <v>100</v>
      </c>
      <c r="Z40" s="1379">
        <v>100</v>
      </c>
      <c r="AA40" s="1379">
        <v>100</v>
      </c>
      <c r="AB40" s="1379">
        <v>100</v>
      </c>
      <c r="AC40" s="1379">
        <v>100</v>
      </c>
      <c r="AD40" s="1379">
        <v>100</v>
      </c>
      <c r="AE40" s="1379">
        <v>100</v>
      </c>
      <c r="AF40" s="1379">
        <v>100</v>
      </c>
      <c r="AG40" s="1379">
        <v>100</v>
      </c>
      <c r="AH40" s="1948">
        <v>100</v>
      </c>
      <c r="AI40" s="1379">
        <v>100</v>
      </c>
      <c r="AJ40" s="1948">
        <v>100</v>
      </c>
      <c r="AK40" s="1380">
        <v>100</v>
      </c>
      <c r="AL40" s="1379">
        <v>100</v>
      </c>
      <c r="AM40" s="1379">
        <v>100</v>
      </c>
      <c r="AN40" s="1379">
        <v>100</v>
      </c>
      <c r="AO40" s="1379">
        <v>100</v>
      </c>
      <c r="AP40" s="1379">
        <v>100</v>
      </c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  <c r="BI40" s="367"/>
      <c r="BJ40" s="367"/>
      <c r="BK40" s="367"/>
      <c r="BL40" s="367"/>
      <c r="BM40" s="367"/>
    </row>
    <row r="41" spans="1:65" outlineLevel="1">
      <c r="A41" s="1341"/>
      <c r="B41" s="367" t="s">
        <v>996</v>
      </c>
      <c r="C41" s="367" t="s">
        <v>595</v>
      </c>
      <c r="D41" s="367"/>
      <c r="E41" s="367"/>
      <c r="F41" s="367"/>
      <c r="G41" s="367"/>
      <c r="H41" s="1383">
        <v>900</v>
      </c>
      <c r="I41" s="367">
        <v>902</v>
      </c>
      <c r="J41" s="367">
        <v>855</v>
      </c>
      <c r="K41" s="367">
        <v>487</v>
      </c>
      <c r="L41" s="367">
        <v>917</v>
      </c>
      <c r="M41" s="367">
        <v>837</v>
      </c>
      <c r="N41" s="367">
        <v>750</v>
      </c>
      <c r="O41" s="367">
        <v>620</v>
      </c>
      <c r="P41" s="367">
        <v>459</v>
      </c>
      <c r="Q41" s="367">
        <v>417</v>
      </c>
      <c r="R41" s="367">
        <v>411</v>
      </c>
      <c r="S41" s="367">
        <v>370</v>
      </c>
      <c r="T41" s="367">
        <v>364</v>
      </c>
      <c r="U41" s="367">
        <v>319</v>
      </c>
      <c r="V41" s="367">
        <v>272</v>
      </c>
      <c r="W41" s="1377">
        <v>175</v>
      </c>
      <c r="X41" s="1377">
        <v>39</v>
      </c>
      <c r="Y41" s="1379">
        <v>400</v>
      </c>
      <c r="Z41" s="1379">
        <v>400</v>
      </c>
      <c r="AA41" s="1379">
        <v>400</v>
      </c>
      <c r="AB41" s="1379">
        <v>400</v>
      </c>
      <c r="AC41" s="1379">
        <v>400</v>
      </c>
      <c r="AD41" s="1379">
        <v>400</v>
      </c>
      <c r="AE41" s="1379">
        <v>400</v>
      </c>
      <c r="AF41" s="1379">
        <v>400</v>
      </c>
      <c r="AG41" s="1379">
        <v>400</v>
      </c>
      <c r="AH41" s="1948">
        <v>400</v>
      </c>
      <c r="AI41" s="1379">
        <v>400</v>
      </c>
      <c r="AJ41" s="1948">
        <v>400</v>
      </c>
      <c r="AK41" s="1380">
        <v>400</v>
      </c>
      <c r="AL41" s="1379">
        <v>400</v>
      </c>
      <c r="AM41" s="1379">
        <v>400</v>
      </c>
      <c r="AN41" s="1379">
        <v>400</v>
      </c>
      <c r="AO41" s="1379">
        <v>400</v>
      </c>
      <c r="AP41" s="1379">
        <v>400</v>
      </c>
      <c r="AQ41" s="367"/>
      <c r="AR41" s="367"/>
      <c r="AS41" s="367"/>
      <c r="AT41" s="367"/>
      <c r="AU41" s="367"/>
      <c r="AV41" s="367"/>
      <c r="AW41" s="367"/>
      <c r="AX41" s="367"/>
      <c r="AY41" s="367"/>
      <c r="AZ41" s="367"/>
      <c r="BA41" s="367"/>
      <c r="BB41" s="367"/>
      <c r="BC41" s="367"/>
      <c r="BD41" s="367"/>
      <c r="BE41" s="367"/>
      <c r="BF41" s="367"/>
      <c r="BG41" s="367"/>
      <c r="BH41" s="367"/>
      <c r="BI41" s="367"/>
      <c r="BJ41" s="367"/>
      <c r="BK41" s="367"/>
      <c r="BL41" s="367"/>
      <c r="BM41" s="367"/>
    </row>
    <row r="42" spans="1:65" outlineLevel="1">
      <c r="A42" s="1341"/>
      <c r="B42" s="1384" t="s">
        <v>997</v>
      </c>
      <c r="C42" s="1384" t="s">
        <v>53</v>
      </c>
      <c r="D42" s="1384"/>
      <c r="E42" s="1384"/>
      <c r="F42" s="1384"/>
      <c r="G42" s="1384"/>
      <c r="H42" s="1384">
        <v>11896</v>
      </c>
      <c r="I42" s="1384">
        <v>18246</v>
      </c>
      <c r="J42" s="1384">
        <v>15807</v>
      </c>
      <c r="K42" s="1384">
        <v>13440</v>
      </c>
      <c r="L42" s="1384">
        <v>8806</v>
      </c>
      <c r="M42" s="1384">
        <v>9028</v>
      </c>
      <c r="N42" s="1384">
        <v>14153</v>
      </c>
      <c r="O42" s="1384">
        <v>11563</v>
      </c>
      <c r="P42" s="1384">
        <v>8620</v>
      </c>
      <c r="Q42" s="1384">
        <v>9617</v>
      </c>
      <c r="R42" s="1384">
        <v>10383</v>
      </c>
      <c r="S42" s="1384">
        <v>8210</v>
      </c>
      <c r="T42" s="1384">
        <v>6958</v>
      </c>
      <c r="U42" s="1384">
        <v>12166</v>
      </c>
      <c r="V42" s="1384">
        <v>26654</v>
      </c>
      <c r="W42" s="1385">
        <f>+-'Raw Data'!S219</f>
        <v>8512</v>
      </c>
      <c r="X42" s="1385">
        <f>+-'Raw Data'!T219</f>
        <v>12059</v>
      </c>
      <c r="Y42" s="1386">
        <v>6900</v>
      </c>
      <c r="Z42" s="1386">
        <v>6900</v>
      </c>
      <c r="AA42" s="1386">
        <v>6900</v>
      </c>
      <c r="AB42" s="1386">
        <v>6900</v>
      </c>
      <c r="AC42" s="1386">
        <v>6900</v>
      </c>
      <c r="AD42" s="1386">
        <v>6900</v>
      </c>
      <c r="AE42" s="1386">
        <v>6900</v>
      </c>
      <c r="AF42" s="1386">
        <v>6900</v>
      </c>
      <c r="AG42" s="1386">
        <v>6900</v>
      </c>
      <c r="AH42" s="1949">
        <v>6900</v>
      </c>
      <c r="AI42" s="1386">
        <v>6900</v>
      </c>
      <c r="AJ42" s="1949">
        <v>6900</v>
      </c>
      <c r="AK42" s="1387">
        <v>6900</v>
      </c>
      <c r="AL42" s="1386">
        <v>6900</v>
      </c>
      <c r="AM42" s="1386">
        <v>6900</v>
      </c>
      <c r="AN42" s="1386">
        <v>6900</v>
      </c>
      <c r="AO42" s="1386">
        <v>6900</v>
      </c>
      <c r="AP42" s="1386">
        <v>6900</v>
      </c>
      <c r="AQ42" s="367"/>
      <c r="AR42" s="367"/>
      <c r="AS42" s="367"/>
      <c r="AT42" s="367"/>
      <c r="AU42" s="367"/>
      <c r="AV42" s="367"/>
      <c r="AW42" s="367"/>
      <c r="AX42" s="367"/>
      <c r="AY42" s="367"/>
      <c r="AZ42" s="367"/>
      <c r="BA42" s="367"/>
      <c r="BB42" s="367"/>
      <c r="BC42" s="367"/>
      <c r="BD42" s="367"/>
      <c r="BE42" s="367"/>
      <c r="BF42" s="367"/>
      <c r="BG42" s="367"/>
      <c r="BH42" s="367"/>
      <c r="BI42" s="367"/>
      <c r="BJ42" s="367"/>
      <c r="BK42" s="367"/>
      <c r="BL42" s="367"/>
      <c r="BM42" s="367"/>
    </row>
    <row r="43" spans="1:65" outlineLevel="1">
      <c r="A43" s="1341"/>
      <c r="B43" s="1356"/>
      <c r="C43" s="1357"/>
      <c r="D43" s="1388"/>
      <c r="E43" s="1388"/>
      <c r="F43" s="1388"/>
      <c r="G43" s="1388"/>
      <c r="H43" s="1357"/>
      <c r="I43" s="1357"/>
      <c r="J43" s="1357"/>
      <c r="K43" s="1357"/>
      <c r="L43" s="1357"/>
      <c r="M43" s="1389"/>
      <c r="N43" s="1357"/>
      <c r="O43" s="1357"/>
      <c r="P43" s="1357"/>
      <c r="Q43" s="1357"/>
      <c r="R43" s="1357"/>
      <c r="S43" s="1357"/>
      <c r="T43" s="1357"/>
      <c r="U43" s="1357"/>
      <c r="V43" s="1357"/>
      <c r="W43" s="1357"/>
      <c r="X43" s="1357"/>
      <c r="Y43" s="1357">
        <f t="shared" ref="Y43:AD43" si="101">Y50*22</f>
        <v>3190.3271040629811</v>
      </c>
      <c r="Z43" s="1357">
        <f t="shared" si="101"/>
        <v>3309.8974068101306</v>
      </c>
      <c r="AA43" s="1357">
        <f t="shared" si="101"/>
        <v>2638.7291230771598</v>
      </c>
      <c r="AB43" s="1357">
        <f t="shared" si="101"/>
        <v>2982.1862066883132</v>
      </c>
      <c r="AC43" s="1357">
        <f t="shared" si="101"/>
        <v>3165.970190540414</v>
      </c>
      <c r="AD43" s="1357">
        <f t="shared" si="101"/>
        <v>2885.7426703161273</v>
      </c>
      <c r="AE43" s="1357">
        <f t="shared" ref="AE43:AH43" si="102">AE50*22</f>
        <v>2498.6122532496088</v>
      </c>
      <c r="AF43" s="1357">
        <f t="shared" si="102"/>
        <v>3076.7791946330753</v>
      </c>
      <c r="AG43" s="1357">
        <f t="shared" si="102"/>
        <v>4110.1013058765911</v>
      </c>
      <c r="AH43" s="1950">
        <f t="shared" si="102"/>
        <v>3962.4838931257145</v>
      </c>
      <c r="AI43" s="1357">
        <f t="shared" ref="AI43:AK43" si="103">AI50*22</f>
        <v>4447.378760250489</v>
      </c>
      <c r="AJ43" s="1950">
        <f t="shared" ref="AJ43" si="104">AJ50*22</f>
        <v>2740.9543510430867</v>
      </c>
      <c r="AK43" s="1390">
        <f t="shared" si="103"/>
        <v>6572.5571631522507</v>
      </c>
      <c r="AL43" s="1357"/>
      <c r="AM43" s="1357"/>
      <c r="AN43" s="1357"/>
      <c r="AO43" s="1357"/>
      <c r="AP43" s="1357"/>
      <c r="AQ43" s="1341"/>
      <c r="AR43" s="1341"/>
      <c r="AS43" s="1341"/>
      <c r="AT43" s="1341"/>
      <c r="AU43" s="1341"/>
      <c r="AV43" s="1341"/>
      <c r="AW43" s="1341"/>
      <c r="AX43" s="1341"/>
      <c r="AY43" s="1341"/>
      <c r="AZ43" s="1341"/>
      <c r="BA43" s="1341"/>
      <c r="BB43" s="1341"/>
      <c r="BC43" s="1341"/>
      <c r="BD43" s="1341"/>
      <c r="BE43" s="1341"/>
      <c r="BF43" s="1341"/>
      <c r="BG43" s="1341"/>
      <c r="BH43" s="1341"/>
      <c r="BI43" s="1341"/>
      <c r="BJ43" s="1341"/>
      <c r="BK43" s="1341"/>
      <c r="BL43" s="1341"/>
      <c r="BM43" s="1341"/>
    </row>
    <row r="44" spans="1:65" outlineLevel="1">
      <c r="A44" s="1341"/>
      <c r="B44" s="1356" t="s">
        <v>998</v>
      </c>
      <c r="C44" s="1357" t="s">
        <v>482</v>
      </c>
      <c r="D44" s="1388"/>
      <c r="E44" s="1388"/>
      <c r="F44" s="1388"/>
      <c r="G44" s="1388"/>
      <c r="H44" s="1357"/>
      <c r="I44" s="1357"/>
      <c r="J44" s="1357"/>
      <c r="K44" s="1357"/>
      <c r="L44" s="1357"/>
      <c r="M44" s="1357"/>
      <c r="N44" s="1357"/>
      <c r="O44" s="1357"/>
      <c r="P44" s="1357"/>
      <c r="Q44" s="1357"/>
      <c r="R44" s="1357"/>
      <c r="S44" s="1357"/>
      <c r="T44" s="1357"/>
      <c r="U44" s="1357"/>
      <c r="V44" s="1357"/>
      <c r="W44" s="1357"/>
      <c r="X44" s="1357"/>
      <c r="Y44" s="1357">
        <f t="shared" ref="Y44:AD44" si="105">2600/Y50</f>
        <v>17.929196014776672</v>
      </c>
      <c r="Z44" s="1357">
        <f t="shared" si="105"/>
        <v>17.28150240618054</v>
      </c>
      <c r="AA44" s="1357">
        <f t="shared" si="105"/>
        <v>21.677101866862369</v>
      </c>
      <c r="AB44" s="1357">
        <f t="shared" si="105"/>
        <v>19.180559507556708</v>
      </c>
      <c r="AC44" s="1357">
        <f t="shared" si="105"/>
        <v>18.06713157657251</v>
      </c>
      <c r="AD44" s="1357">
        <f t="shared" si="105"/>
        <v>19.82158720816706</v>
      </c>
      <c r="AE44" s="1357">
        <f t="shared" ref="AE44:AH44" si="106">2600/AE50</f>
        <v>22.892707712294158</v>
      </c>
      <c r="AF44" s="1357">
        <f t="shared" si="106"/>
        <v>18.590869341477539</v>
      </c>
      <c r="AG44" s="1357">
        <f t="shared" si="106"/>
        <v>13.916931905842779</v>
      </c>
      <c r="AH44" s="1950">
        <f t="shared" si="106"/>
        <v>14.43538990763672</v>
      </c>
      <c r="AI44" s="1357">
        <f t="shared" ref="AI44:AK44" si="107">2600/AI50</f>
        <v>12.86150856123132</v>
      </c>
      <c r="AJ44" s="1950">
        <f t="shared" ref="AJ44" si="108">2600/AJ50</f>
        <v>20.868643791251831</v>
      </c>
      <c r="AK44" s="1390">
        <f t="shared" si="107"/>
        <v>8.7028531787719619</v>
      </c>
      <c r="AL44" s="1357"/>
      <c r="AM44" s="1357"/>
      <c r="AN44" s="1357"/>
      <c r="AO44" s="1357"/>
      <c r="AP44" s="1357"/>
      <c r="AQ44" s="1341"/>
      <c r="AR44" s="1341"/>
      <c r="AS44" s="1341"/>
      <c r="AT44" s="1341"/>
      <c r="AU44" s="1341"/>
      <c r="AV44" s="1341"/>
      <c r="AW44" s="1341"/>
      <c r="AX44" s="1341"/>
      <c r="AY44" s="1341"/>
      <c r="AZ44" s="1341"/>
      <c r="BA44" s="1341"/>
      <c r="BB44" s="1341"/>
      <c r="BC44" s="1341"/>
      <c r="BD44" s="1341"/>
      <c r="BE44" s="1341"/>
      <c r="BF44" s="1341"/>
      <c r="BG44" s="1341"/>
      <c r="BH44" s="1341"/>
      <c r="BI44" s="1341"/>
      <c r="BJ44" s="1341"/>
      <c r="BK44" s="1341"/>
      <c r="BL44" s="1341"/>
      <c r="BM44" s="1341"/>
    </row>
    <row r="45" spans="1:65" outlineLevel="1">
      <c r="A45" s="1341"/>
      <c r="B45" s="1391" t="s">
        <v>1140</v>
      </c>
      <c r="C45" s="1392" t="s">
        <v>481</v>
      </c>
      <c r="D45" s="1393">
        <v>108524</v>
      </c>
      <c r="E45" s="1393">
        <v>111882</v>
      </c>
      <c r="F45" s="1393">
        <v>113877</v>
      </c>
      <c r="G45" s="1393">
        <v>113877</v>
      </c>
      <c r="H45" s="1394">
        <f t="shared" ref="H45:M45" si="109">H47-H46</f>
        <v>110881.04399999999</v>
      </c>
      <c r="I45" s="1394">
        <f t="shared" si="109"/>
        <v>110881.04399999999</v>
      </c>
      <c r="J45" s="1394">
        <f t="shared" si="109"/>
        <v>110881.04399999999</v>
      </c>
      <c r="K45" s="1394">
        <f t="shared" si="109"/>
        <v>110881.04399999999</v>
      </c>
      <c r="L45" s="1394">
        <f t="shared" si="109"/>
        <v>110881.04399999999</v>
      </c>
      <c r="M45" s="1394">
        <f t="shared" si="109"/>
        <v>110881.04399999999</v>
      </c>
      <c r="N45" s="1394">
        <v>110867.296</v>
      </c>
      <c r="O45" s="1394">
        <v>110794.477</v>
      </c>
      <c r="P45" s="1394">
        <v>109327.834</v>
      </c>
      <c r="Q45" s="1394">
        <v>109276.939</v>
      </c>
      <c r="R45" s="1394">
        <v>109234.448</v>
      </c>
      <c r="S45" s="1395">
        <f t="shared" ref="S45:AI45" si="110">S47-S46</f>
        <v>102040.356</v>
      </c>
      <c r="T45" s="1395">
        <f t="shared" si="110"/>
        <v>101992.06599999999</v>
      </c>
      <c r="U45" s="1395">
        <f t="shared" si="110"/>
        <v>101929.757</v>
      </c>
      <c r="V45" s="1395">
        <f t="shared" si="110"/>
        <v>102184.909</v>
      </c>
      <c r="W45" s="1395">
        <f t="shared" si="110"/>
        <v>102171.861</v>
      </c>
      <c r="X45" s="1395">
        <f t="shared" si="110"/>
        <v>102163.11700000001</v>
      </c>
      <c r="Y45" s="1395">
        <f t="shared" si="110"/>
        <v>102156.069</v>
      </c>
      <c r="Z45" s="1395">
        <f t="shared" si="110"/>
        <v>102136.35500000001</v>
      </c>
      <c r="AA45" s="1395">
        <f t="shared" si="110"/>
        <v>102130.39000000001</v>
      </c>
      <c r="AB45" s="1395">
        <f t="shared" si="110"/>
        <v>102129.65100000001</v>
      </c>
      <c r="AC45" s="1396">
        <f t="shared" si="110"/>
        <v>102129.49500000001</v>
      </c>
      <c r="AD45" s="1396">
        <f t="shared" si="110"/>
        <v>102129.14600000001</v>
      </c>
      <c r="AE45" s="1396">
        <f t="shared" si="110"/>
        <v>102129.03400000001</v>
      </c>
      <c r="AF45" s="1396">
        <f t="shared" si="110"/>
        <v>102128.546</v>
      </c>
      <c r="AG45" s="1396">
        <f t="shared" si="110"/>
        <v>102128.06399999998</v>
      </c>
      <c r="AH45" s="1951">
        <f t="shared" ref="AH45" si="111">AH47-AH46</f>
        <v>102128.06399999998</v>
      </c>
      <c r="AI45" s="1396">
        <f t="shared" si="110"/>
        <v>102127.74100000001</v>
      </c>
      <c r="AJ45" s="1951">
        <f t="shared" ref="AJ45:AK45" si="112">AJ47-AJ46</f>
        <v>102127.372</v>
      </c>
      <c r="AK45" s="1397">
        <f t="shared" si="112"/>
        <v>102127.372</v>
      </c>
      <c r="AL45" s="1396"/>
      <c r="AM45" s="1396"/>
      <c r="AN45" s="1396"/>
      <c r="AO45" s="1396"/>
      <c r="AP45" s="1396"/>
      <c r="AQ45" s="1341"/>
      <c r="AR45" s="1341"/>
      <c r="AS45" s="1341"/>
      <c r="AT45" s="1341"/>
      <c r="AU45" s="1341"/>
      <c r="AV45" s="1341"/>
      <c r="AW45" s="1341"/>
      <c r="AX45" s="1341"/>
      <c r="AY45" s="1341"/>
      <c r="AZ45" s="1341"/>
      <c r="BA45" s="1341"/>
      <c r="BB45" s="1341"/>
      <c r="BC45" s="1341"/>
      <c r="BD45" s="1341"/>
      <c r="BE45" s="1341"/>
      <c r="BF45" s="1341"/>
      <c r="BG45" s="1341"/>
      <c r="BH45" s="1341"/>
      <c r="BI45" s="1341"/>
      <c r="BJ45" s="1341"/>
      <c r="BK45" s="1341"/>
      <c r="BL45" s="1341"/>
      <c r="BM45" s="1341"/>
    </row>
    <row r="46" spans="1:65" outlineLevel="1">
      <c r="A46" s="1341"/>
      <c r="B46" s="1356" t="s">
        <v>999</v>
      </c>
      <c r="C46" s="1357" t="s">
        <v>594</v>
      </c>
      <c r="D46" s="1388"/>
      <c r="E46" s="1388"/>
      <c r="F46" s="1388"/>
      <c r="G46" s="1388"/>
      <c r="H46" s="1398"/>
      <c r="I46" s="1398"/>
      <c r="J46" s="1398"/>
      <c r="K46" s="1398"/>
      <c r="L46" s="1398"/>
      <c r="M46" s="1398"/>
      <c r="N46" s="1398">
        <v>13.747999999999999</v>
      </c>
      <c r="O46" s="1398">
        <v>86.566999999999993</v>
      </c>
      <c r="P46" s="1398">
        <v>1553.21</v>
      </c>
      <c r="Q46" s="1398">
        <v>1604.105</v>
      </c>
      <c r="R46" s="1398">
        <v>1646.596</v>
      </c>
      <c r="S46" s="1341">
        <v>8840.6880000000001</v>
      </c>
      <c r="T46" s="1341">
        <v>8888.9779999999992</v>
      </c>
      <c r="U46" s="1341">
        <v>8951.2870000000003</v>
      </c>
      <c r="V46" s="1341">
        <v>8696.1350000000002</v>
      </c>
      <c r="W46" s="1341">
        <f>+Model!S88*1000</f>
        <v>8709.1829999999991</v>
      </c>
      <c r="X46" s="1341">
        <f>+Model!T88*1000</f>
        <v>8717.9269999999997</v>
      </c>
      <c r="Y46" s="1341">
        <f>+Model!U88*1000</f>
        <v>8724.9750000000004</v>
      </c>
      <c r="Z46" s="1341">
        <f>+Model!V88*1000</f>
        <v>8744.6889999999985</v>
      </c>
      <c r="AA46" s="1341">
        <f>+Model!W88*1000</f>
        <v>8750.6540000000005</v>
      </c>
      <c r="AB46" s="1341">
        <f>+Model!X88*1000</f>
        <v>8751.393</v>
      </c>
      <c r="AC46" s="1341">
        <f>+Model!Y88*1000</f>
        <v>8751.5490000000009</v>
      </c>
      <c r="AD46" s="1341">
        <f>+Model!Z88*1000</f>
        <v>8751.898000000001</v>
      </c>
      <c r="AE46" s="1341">
        <f>+Model!AA88*1000</f>
        <v>8752.1479999999992</v>
      </c>
      <c r="AF46" s="1341">
        <f>+Model!AB88*1000</f>
        <v>8752.6899999999987</v>
      </c>
      <c r="AG46" s="1341">
        <f>+Model!AC88*1000</f>
        <v>8753.1640000000007</v>
      </c>
      <c r="AH46" s="1950">
        <f>+Model!AC88*1000</f>
        <v>8753.1640000000007</v>
      </c>
      <c r="AI46" s="1341">
        <f>+Model!AD88*1000</f>
        <v>8753.3029999999999</v>
      </c>
      <c r="AJ46" s="1950">
        <f>+Model!AJ88*1000</f>
        <v>8753.6720000000005</v>
      </c>
      <c r="AK46" s="1399">
        <f>+Model!AE88*1000</f>
        <v>8753.6720000000005</v>
      </c>
      <c r="AL46" s="1341"/>
      <c r="AM46" s="1341"/>
      <c r="AN46" s="1341"/>
      <c r="AO46" s="1341"/>
      <c r="AP46" s="1341"/>
      <c r="AQ46" s="1341"/>
      <c r="AR46" s="1341"/>
      <c r="AS46" s="1341"/>
      <c r="AT46" s="1341"/>
      <c r="AU46" s="1341"/>
      <c r="AV46" s="1341"/>
      <c r="AW46" s="1341"/>
      <c r="AX46" s="1341"/>
      <c r="AY46" s="1341"/>
      <c r="AZ46" s="1341"/>
      <c r="BA46" s="1341"/>
      <c r="BB46" s="1341"/>
      <c r="BC46" s="1341"/>
      <c r="BD46" s="1341"/>
      <c r="BE46" s="1341"/>
      <c r="BF46" s="1341"/>
      <c r="BG46" s="1341"/>
      <c r="BH46" s="1341"/>
      <c r="BI46" s="1341"/>
      <c r="BJ46" s="1341"/>
      <c r="BK46" s="1341"/>
      <c r="BL46" s="1341"/>
      <c r="BM46" s="1341"/>
    </row>
    <row r="47" spans="1:65" outlineLevel="1">
      <c r="A47" s="1341"/>
      <c r="B47" s="1356" t="s">
        <v>1000</v>
      </c>
      <c r="C47" s="1357" t="s">
        <v>593</v>
      </c>
      <c r="D47" s="1400" t="s">
        <v>478</v>
      </c>
      <c r="E47" s="1400" t="s">
        <v>478</v>
      </c>
      <c r="F47" s="1400" t="s">
        <v>478</v>
      </c>
      <c r="G47" s="1400" t="s">
        <v>478</v>
      </c>
      <c r="H47" s="1401">
        <f>I47</f>
        <v>110881.04399999999</v>
      </c>
      <c r="I47" s="1401">
        <f>J47</f>
        <v>110881.04399999999</v>
      </c>
      <c r="J47" s="1401">
        <f>K47</f>
        <v>110881.04399999999</v>
      </c>
      <c r="K47" s="1401">
        <f>L47</f>
        <v>110881.04399999999</v>
      </c>
      <c r="L47" s="1401">
        <f>M47</f>
        <v>110881.04399999999</v>
      </c>
      <c r="M47" s="1401">
        <v>110881.04399999999</v>
      </c>
      <c r="N47" s="1401">
        <f>N45+N46</f>
        <v>110881.04400000001</v>
      </c>
      <c r="O47" s="1401">
        <f>O45+O46</f>
        <v>110881.04399999999</v>
      </c>
      <c r="P47" s="1401">
        <f>P45+P46</f>
        <v>110881.04400000001</v>
      </c>
      <c r="Q47" s="1401">
        <f>Q45+Q46</f>
        <v>110881.04399999999</v>
      </c>
      <c r="R47" s="1401">
        <f>R45+R46</f>
        <v>110881.04400000001</v>
      </c>
      <c r="S47" s="1402">
        <v>110881.04399999999</v>
      </c>
      <c r="T47" s="1402">
        <v>110881.04399999999</v>
      </c>
      <c r="U47" s="1402">
        <v>110881.04399999999</v>
      </c>
      <c r="V47" s="1402">
        <v>110881.04399999999</v>
      </c>
      <c r="W47" s="1403">
        <f>+Model!S89*1000</f>
        <v>110881.04400000001</v>
      </c>
      <c r="X47" s="1403">
        <f>+Model!T89*1000</f>
        <v>110881.04400000001</v>
      </c>
      <c r="Y47" s="1403">
        <f>+Model!U89*1000</f>
        <v>110881.04400000001</v>
      </c>
      <c r="Z47" s="1403">
        <f>+Model!V89*1000</f>
        <v>110881.04400000001</v>
      </c>
      <c r="AA47" s="1403">
        <f>+Model!W89*1000</f>
        <v>110881.04400000001</v>
      </c>
      <c r="AB47" s="1403">
        <f>+Model!X89*1000</f>
        <v>110881.04400000001</v>
      </c>
      <c r="AC47" s="1403">
        <f>+Model!Y89*1000</f>
        <v>110881.04400000001</v>
      </c>
      <c r="AD47" s="1403">
        <f>+Model!Z89*1000</f>
        <v>110881.04400000001</v>
      </c>
      <c r="AE47" s="1403">
        <f>+Model!AA89*1000</f>
        <v>110881.18200000002</v>
      </c>
      <c r="AF47" s="1403">
        <f>+Model!AB89*1000</f>
        <v>110881.236</v>
      </c>
      <c r="AG47" s="1403">
        <f>+Model!AC89*1000</f>
        <v>110881.22799999999</v>
      </c>
      <c r="AH47" s="1952">
        <f>+Model!AC89*1000</f>
        <v>110881.22799999999</v>
      </c>
      <c r="AI47" s="1403">
        <f>+Model!AD89*1000</f>
        <v>110881.04400000001</v>
      </c>
      <c r="AJ47" s="1952">
        <f>+Model!AJ89*1000</f>
        <v>110881.04400000001</v>
      </c>
      <c r="AK47" s="1404">
        <f>+Model!AE89*1000</f>
        <v>110881.04400000001</v>
      </c>
      <c r="AL47" s="1403"/>
      <c r="AM47" s="1403"/>
      <c r="AN47" s="1403"/>
      <c r="AO47" s="1403"/>
      <c r="AP47" s="1403"/>
      <c r="AQ47" s="1402"/>
      <c r="AR47" s="1402"/>
      <c r="AS47" s="1402"/>
      <c r="AT47" s="1402"/>
      <c r="AU47" s="1402"/>
      <c r="AV47" s="1402"/>
      <c r="AW47" s="1402"/>
      <c r="AX47" s="1402"/>
      <c r="AY47" s="1402"/>
      <c r="AZ47" s="1402"/>
      <c r="BA47" s="1402"/>
      <c r="BB47" s="1402"/>
      <c r="BC47" s="1402"/>
      <c r="BD47" s="1402"/>
      <c r="BE47" s="1402"/>
      <c r="BF47" s="1402"/>
      <c r="BG47" s="1402"/>
      <c r="BH47" s="1402"/>
      <c r="BI47" s="1402"/>
      <c r="BJ47" s="1402"/>
      <c r="BK47" s="1402"/>
      <c r="BL47" s="1402"/>
      <c r="BM47" s="1402"/>
    </row>
    <row r="48" spans="1:65" outlineLevel="1">
      <c r="A48" s="1341"/>
      <c r="B48" s="1356"/>
      <c r="C48" s="1357" t="s">
        <v>592</v>
      </c>
      <c r="D48" s="1400"/>
      <c r="E48" s="1400"/>
      <c r="F48" s="1400"/>
      <c r="G48" s="1400"/>
      <c r="H48" s="1401"/>
      <c r="I48" s="1401"/>
      <c r="J48" s="1401"/>
      <c r="K48" s="1401"/>
      <c r="L48" s="1401"/>
      <c r="M48" s="1401"/>
      <c r="N48" s="1401"/>
      <c r="O48" s="1401"/>
      <c r="P48" s="1401"/>
      <c r="Q48" s="1401"/>
      <c r="R48" s="1401"/>
      <c r="S48" s="1401"/>
      <c r="T48" s="1401"/>
      <c r="U48" s="1401"/>
      <c r="V48" s="1401"/>
      <c r="W48" s="1403"/>
      <c r="X48" s="1403"/>
      <c r="Y48" s="1403"/>
      <c r="Z48" s="1403"/>
      <c r="AA48" s="1403"/>
      <c r="AB48" s="1403"/>
      <c r="AC48" s="1403"/>
      <c r="AD48" s="1403"/>
      <c r="AE48" s="1403"/>
      <c r="AF48" s="1403"/>
      <c r="AG48" s="1403"/>
      <c r="AH48" s="1952"/>
      <c r="AI48" s="1403"/>
      <c r="AJ48" s="1952"/>
      <c r="AK48" s="1404"/>
      <c r="AL48" s="1403"/>
      <c r="AM48" s="1403"/>
      <c r="AN48" s="1403"/>
      <c r="AO48" s="1403"/>
      <c r="AP48" s="1403"/>
      <c r="AQ48" s="1402"/>
      <c r="AR48" s="1402"/>
      <c r="AS48" s="1402"/>
      <c r="AT48" s="1402"/>
      <c r="AU48" s="1402"/>
      <c r="AV48" s="1402"/>
      <c r="AW48" s="1402"/>
      <c r="AX48" s="1402"/>
      <c r="AY48" s="1402"/>
      <c r="AZ48" s="1402"/>
      <c r="BA48" s="1402"/>
      <c r="BB48" s="1402"/>
      <c r="BC48" s="1402"/>
      <c r="BD48" s="1402"/>
      <c r="BE48" s="1402"/>
      <c r="BF48" s="1402"/>
      <c r="BG48" s="1402"/>
      <c r="BH48" s="1402"/>
      <c r="BI48" s="1402"/>
      <c r="BJ48" s="1402"/>
      <c r="BK48" s="1402"/>
      <c r="BL48" s="1402"/>
      <c r="BM48" s="1402"/>
    </row>
    <row r="49" spans="1:65" outlineLevel="1">
      <c r="A49" s="1405"/>
      <c r="B49" s="1406" t="s">
        <v>1001</v>
      </c>
      <c r="C49" s="1405" t="s">
        <v>591</v>
      </c>
      <c r="D49" s="1407">
        <f t="shared" ref="D49:P49" si="113">D35/D45*1000</f>
        <v>54.651505657734695</v>
      </c>
      <c r="E49" s="1407">
        <f t="shared" si="113"/>
        <v>94.554977565649523</v>
      </c>
      <c r="F49" s="1407">
        <f t="shared" si="113"/>
        <v>49.737875075739616</v>
      </c>
      <c r="G49" s="1407">
        <f t="shared" si="113"/>
        <v>40.2539582180774</v>
      </c>
      <c r="H49" s="1407">
        <f t="shared" si="113"/>
        <v>37.220068021726064</v>
      </c>
      <c r="I49" s="1407">
        <f t="shared" si="113"/>
        <v>39.664128703550084</v>
      </c>
      <c r="J49" s="1407">
        <f t="shared" si="113"/>
        <v>18.641599370222384</v>
      </c>
      <c r="K49" s="1405">
        <f t="shared" si="113"/>
        <v>31.240687091654728</v>
      </c>
      <c r="L49" s="1405">
        <f t="shared" si="113"/>
        <v>43.118280884873343</v>
      </c>
      <c r="M49" s="1405">
        <f t="shared" si="113"/>
        <v>7.5937235944495614</v>
      </c>
      <c r="N49" s="1405">
        <f t="shared" si="113"/>
        <v>58.394136355593993</v>
      </c>
      <c r="O49" s="1405">
        <f t="shared" si="113"/>
        <v>66.754229996500641</v>
      </c>
      <c r="P49" s="1405">
        <f t="shared" si="113"/>
        <v>83.062104751842057</v>
      </c>
      <c r="Q49" s="1405">
        <v>110.51</v>
      </c>
      <c r="R49" s="1405">
        <v>127.65</v>
      </c>
      <c r="S49" s="1405">
        <f t="shared" ref="S49:AC49" si="114">S35/S45*1000</f>
        <v>60.525073040709501</v>
      </c>
      <c r="T49" s="1405">
        <f t="shared" si="114"/>
        <v>111.59691578362576</v>
      </c>
      <c r="U49" s="1405">
        <f t="shared" si="114"/>
        <v>135.67186273190077</v>
      </c>
      <c r="V49" s="1405">
        <f t="shared" si="114"/>
        <v>181.10306287986222</v>
      </c>
      <c r="W49" s="1405">
        <f t="shared" si="114"/>
        <v>121.51095104355592</v>
      </c>
      <c r="X49" s="1405">
        <f t="shared" si="114"/>
        <v>168.01562544337796</v>
      </c>
      <c r="Y49" s="1405">
        <f t="shared" si="114"/>
        <v>157.40034006202805</v>
      </c>
      <c r="Z49" s="1405">
        <f t="shared" si="114"/>
        <v>163.33106855046864</v>
      </c>
      <c r="AA49" s="1405">
        <f t="shared" si="114"/>
        <v>130.21902687339193</v>
      </c>
      <c r="AB49" s="1405">
        <f t="shared" si="114"/>
        <v>147.16940528857774</v>
      </c>
      <c r="AC49" s="1405">
        <f t="shared" si="114"/>
        <v>156.23929208697251</v>
      </c>
      <c r="AD49" s="1405">
        <f t="shared" ref="AD49:AE49" si="115">AD35/AD45*1000</f>
        <v>142.41066893871803</v>
      </c>
      <c r="AE49" s="1405">
        <f t="shared" si="115"/>
        <v>123.30616972251003</v>
      </c>
      <c r="AF49" s="1405">
        <f t="shared" ref="AF49:AH49" si="116">AF35/AF45*1000</f>
        <v>151.8394279303653</v>
      </c>
      <c r="AG49" s="1405">
        <f t="shared" si="116"/>
        <v>202.83494260696065</v>
      </c>
      <c r="AH49" s="1953">
        <f t="shared" si="116"/>
        <v>195.54997145544638</v>
      </c>
      <c r="AI49" s="1405">
        <f t="shared" ref="AI49:AK49" si="117">AI35/AI45*1000</f>
        <v>219.48003334373172</v>
      </c>
      <c r="AJ49" s="1953">
        <f t="shared" ref="AJ49" si="118">AJ35/AJ45*1000</f>
        <v>135.26775172477755</v>
      </c>
      <c r="AK49" s="1408">
        <f t="shared" si="117"/>
        <v>324.35966334275201</v>
      </c>
      <c r="AL49" s="1405"/>
      <c r="AM49" s="1405"/>
      <c r="AN49" s="1405"/>
      <c r="AO49" s="1405"/>
      <c r="AP49" s="1405"/>
      <c r="AQ49" s="1405"/>
      <c r="AR49" s="1405"/>
      <c r="AS49" s="1405"/>
      <c r="AT49" s="1405"/>
      <c r="AU49" s="1405"/>
      <c r="AV49" s="1405"/>
      <c r="AW49" s="1405"/>
      <c r="AX49" s="1405"/>
      <c r="AY49" s="1405"/>
      <c r="AZ49" s="1405"/>
      <c r="BA49" s="1405"/>
      <c r="BB49" s="1405"/>
      <c r="BC49" s="1405"/>
      <c r="BD49" s="1405"/>
      <c r="BE49" s="1405"/>
      <c r="BF49" s="1405"/>
      <c r="BG49" s="1405"/>
      <c r="BH49" s="1405"/>
      <c r="BI49" s="1405"/>
      <c r="BJ49" s="1405"/>
      <c r="BK49" s="1405"/>
      <c r="BL49" s="1405"/>
      <c r="BM49" s="1405"/>
    </row>
    <row r="50" spans="1:65" outlineLevel="1">
      <c r="A50" s="1405"/>
      <c r="B50" s="1409" t="s">
        <v>1002</v>
      </c>
      <c r="C50" s="1410" t="s">
        <v>590</v>
      </c>
      <c r="D50" s="1411" t="s">
        <v>478</v>
      </c>
      <c r="E50" s="1411" t="s">
        <v>478</v>
      </c>
      <c r="F50" s="1411" t="s">
        <v>478</v>
      </c>
      <c r="G50" s="1411" t="s">
        <v>478</v>
      </c>
      <c r="H50" s="1412">
        <f t="shared" ref="H50:AC50" si="119">H35/H47*1000</f>
        <v>37.220068021726064</v>
      </c>
      <c r="I50" s="1412">
        <f t="shared" si="119"/>
        <v>39.664128703550084</v>
      </c>
      <c r="J50" s="1412">
        <f t="shared" si="119"/>
        <v>18.641599370222384</v>
      </c>
      <c r="K50" s="1410">
        <f t="shared" si="119"/>
        <v>31.240687091654728</v>
      </c>
      <c r="L50" s="1410">
        <f t="shared" si="119"/>
        <v>43.118280884873343</v>
      </c>
      <c r="M50" s="1410">
        <f t="shared" si="119"/>
        <v>7.5937235944495614</v>
      </c>
      <c r="N50" s="1410">
        <f t="shared" si="119"/>
        <v>58.386896140696507</v>
      </c>
      <c r="O50" s="1410">
        <f t="shared" si="119"/>
        <v>66.70211366335981</v>
      </c>
      <c r="P50" s="1410">
        <f t="shared" si="119"/>
        <v>81.898579526361587</v>
      </c>
      <c r="Q50" s="1410">
        <f t="shared" si="119"/>
        <v>107.9264729866721</v>
      </c>
      <c r="R50" s="1410">
        <f t="shared" si="119"/>
        <v>124.57494538020403</v>
      </c>
      <c r="S50" s="1410">
        <f t="shared" si="119"/>
        <v>55.699331258100351</v>
      </c>
      <c r="T50" s="1410">
        <f t="shared" si="119"/>
        <v>102.65054863660916</v>
      </c>
      <c r="U50" s="1410">
        <f t="shared" si="119"/>
        <v>124.71924416584679</v>
      </c>
      <c r="V50" s="1410">
        <f t="shared" si="119"/>
        <v>166.89958294404227</v>
      </c>
      <c r="W50" s="1410">
        <f t="shared" si="119"/>
        <v>111.966838984669</v>
      </c>
      <c r="X50" s="1410">
        <f t="shared" si="119"/>
        <v>154.80554097235952</v>
      </c>
      <c r="Y50" s="1410">
        <f t="shared" si="119"/>
        <v>145.01486836649914</v>
      </c>
      <c r="Z50" s="1410">
        <f t="shared" si="119"/>
        <v>150.44988212773322</v>
      </c>
      <c r="AA50" s="1410">
        <f t="shared" si="119"/>
        <v>119.94223286714363</v>
      </c>
      <c r="AB50" s="1410">
        <f t="shared" si="119"/>
        <v>135.55391848583241</v>
      </c>
      <c r="AC50" s="1410">
        <f t="shared" si="119"/>
        <v>143.90773593365518</v>
      </c>
      <c r="AD50" s="1410">
        <f t="shared" ref="AD50:AE50" si="120">AD35/AD47*1000</f>
        <v>131.17012137800577</v>
      </c>
      <c r="AE50" s="1410">
        <f t="shared" si="120"/>
        <v>113.57328423861858</v>
      </c>
      <c r="AF50" s="1410">
        <f t="shared" ref="AF50:AH50" si="121">AF35/AF47*1000</f>
        <v>139.85359975604888</v>
      </c>
      <c r="AG50" s="1410">
        <f t="shared" si="121"/>
        <v>186.82278663075414</v>
      </c>
      <c r="AH50" s="1953">
        <f t="shared" si="121"/>
        <v>180.11290423298703</v>
      </c>
      <c r="AI50" s="1410">
        <f t="shared" ref="AI50:AK50" si="122">AI35/AI47*1000</f>
        <v>202.15358001138588</v>
      </c>
      <c r="AJ50" s="1953">
        <f t="shared" ref="AJ50" si="123">AJ35/AJ47*1000</f>
        <v>124.58883413832213</v>
      </c>
      <c r="AK50" s="1413">
        <f t="shared" si="122"/>
        <v>298.75259832510233</v>
      </c>
      <c r="AL50" s="1410"/>
      <c r="AM50" s="1410"/>
      <c r="AN50" s="1410"/>
      <c r="AO50" s="1410"/>
      <c r="AP50" s="1410"/>
      <c r="AQ50" s="1405"/>
      <c r="AR50" s="1405"/>
      <c r="AS50" s="1405"/>
      <c r="AT50" s="1405"/>
      <c r="AU50" s="1405"/>
      <c r="AV50" s="1405"/>
      <c r="AW50" s="1405"/>
      <c r="AX50" s="1405"/>
      <c r="AY50" s="1405"/>
      <c r="AZ50" s="1405"/>
      <c r="BA50" s="1405"/>
      <c r="BB50" s="1405"/>
      <c r="BC50" s="1405"/>
      <c r="BD50" s="1405"/>
      <c r="BE50" s="1405"/>
      <c r="BF50" s="1405"/>
      <c r="BG50" s="1405"/>
      <c r="BH50" s="1405"/>
      <c r="BI50" s="1405"/>
      <c r="BJ50" s="1405"/>
      <c r="BK50" s="1405"/>
      <c r="BL50" s="1405"/>
      <c r="BM50" s="1405"/>
    </row>
    <row r="51" spans="1:65" outlineLevel="1">
      <c r="A51" s="1405"/>
      <c r="B51" s="1414" t="s">
        <v>1003</v>
      </c>
      <c r="C51" s="1389" t="s">
        <v>477</v>
      </c>
      <c r="D51" s="1415">
        <v>10</v>
      </c>
      <c r="E51" s="1415">
        <v>15</v>
      </c>
      <c r="F51" s="1415">
        <v>12</v>
      </c>
      <c r="G51" s="1415">
        <v>12</v>
      </c>
      <c r="H51" s="1389">
        <v>12</v>
      </c>
      <c r="I51" s="1389">
        <v>12</v>
      </c>
      <c r="J51" s="1389">
        <v>12</v>
      </c>
      <c r="K51" s="1389">
        <v>12</v>
      </c>
      <c r="L51" s="1389">
        <v>12</v>
      </c>
      <c r="M51" s="1389">
        <v>12</v>
      </c>
      <c r="N51" s="1389">
        <v>12</v>
      </c>
      <c r="O51" s="1389">
        <v>17</v>
      </c>
      <c r="P51" s="1389">
        <v>12</v>
      </c>
      <c r="Q51" s="1389">
        <v>15</v>
      </c>
      <c r="R51" s="1389">
        <v>20</v>
      </c>
      <c r="S51" s="1389">
        <v>20</v>
      </c>
      <c r="T51" s="1389">
        <v>25</v>
      </c>
      <c r="U51" s="1389">
        <v>30</v>
      </c>
      <c r="V51" s="1389">
        <v>40</v>
      </c>
      <c r="W51" s="1389">
        <f>V51</f>
        <v>40</v>
      </c>
      <c r="X51" s="1389">
        <f>W51</f>
        <v>40</v>
      </c>
      <c r="Y51" s="1389">
        <f>Model!U85</f>
        <v>50</v>
      </c>
      <c r="Z51" s="1389">
        <f>Model!V85</f>
        <v>50</v>
      </c>
      <c r="AA51" s="1389">
        <f>Model!W85</f>
        <v>50</v>
      </c>
      <c r="AB51" s="1389">
        <f>Model!X85</f>
        <v>60</v>
      </c>
      <c r="AC51" s="1389">
        <f>Model!Y85</f>
        <v>60</v>
      </c>
      <c r="AD51" s="1389">
        <f>Model!Z85</f>
        <v>60</v>
      </c>
      <c r="AE51" s="1389">
        <f>Model!AA85</f>
        <v>70</v>
      </c>
      <c r="AF51" s="1389">
        <f>Model!AB85</f>
        <v>80</v>
      </c>
      <c r="AG51" s="1389">
        <f>Model!AC85</f>
        <v>90</v>
      </c>
      <c r="AH51" s="1953">
        <f>Model!AC85</f>
        <v>90</v>
      </c>
      <c r="AI51" s="1389">
        <f>Model!AD85</f>
        <v>90</v>
      </c>
      <c r="AJ51" s="1953">
        <f>Model!AJ85</f>
        <v>190</v>
      </c>
      <c r="AK51" s="1416">
        <f>Model!AE85</f>
        <v>100</v>
      </c>
      <c r="AL51" s="1389"/>
      <c r="AM51" s="1389"/>
      <c r="AN51" s="1389"/>
      <c r="AO51" s="1389"/>
      <c r="AP51" s="1389"/>
      <c r="AQ51" s="1405"/>
      <c r="AR51" s="1405"/>
      <c r="AS51" s="1405"/>
      <c r="AT51" s="1405"/>
      <c r="AU51" s="1405"/>
      <c r="AV51" s="1405"/>
      <c r="AW51" s="1405"/>
      <c r="AX51" s="1405"/>
      <c r="AY51" s="1405"/>
      <c r="AZ51" s="1405"/>
      <c r="BA51" s="1405"/>
      <c r="BB51" s="1405"/>
      <c r="BC51" s="1405"/>
      <c r="BD51" s="1405"/>
      <c r="BE51" s="1405"/>
      <c r="BF51" s="1405"/>
      <c r="BG51" s="1405"/>
      <c r="BH51" s="1405"/>
      <c r="BI51" s="1405"/>
      <c r="BJ51" s="1405"/>
      <c r="BK51" s="1405"/>
      <c r="BL51" s="1405"/>
      <c r="BM51" s="1405"/>
    </row>
    <row r="52" spans="1:65" outlineLevel="1">
      <c r="A52" s="1405"/>
      <c r="B52" s="1414" t="s">
        <v>1141</v>
      </c>
      <c r="C52" s="1389" t="s">
        <v>476</v>
      </c>
      <c r="D52" s="1417">
        <f t="shared" ref="D52:AC52" si="124">D51/D49*100</f>
        <v>18.297757545102005</v>
      </c>
      <c r="E52" s="1417">
        <f t="shared" si="124"/>
        <v>15.863786747329614</v>
      </c>
      <c r="F52" s="1417">
        <f t="shared" si="124"/>
        <v>24.126483050847455</v>
      </c>
      <c r="G52" s="1417">
        <f t="shared" si="124"/>
        <v>29.810732984293193</v>
      </c>
      <c r="H52" s="1418">
        <f t="shared" si="124"/>
        <v>32.240671868185117</v>
      </c>
      <c r="I52" s="1418">
        <f t="shared" si="124"/>
        <v>30.254036562073672</v>
      </c>
      <c r="J52" s="1418">
        <f t="shared" si="124"/>
        <v>64.372159071117551</v>
      </c>
      <c r="K52" s="1418">
        <f t="shared" si="124"/>
        <v>38.411447113163973</v>
      </c>
      <c r="L52" s="1418">
        <f t="shared" si="124"/>
        <v>27.830423091403471</v>
      </c>
      <c r="M52" s="1418">
        <f t="shared" si="124"/>
        <v>158.02524085510689</v>
      </c>
      <c r="N52" s="1418">
        <f t="shared" si="124"/>
        <v>20.550008526413343</v>
      </c>
      <c r="O52" s="1418">
        <f t="shared" si="124"/>
        <v>25.466550959978367</v>
      </c>
      <c r="P52" s="1418">
        <f t="shared" si="124"/>
        <v>14.447021341261976</v>
      </c>
      <c r="Q52" s="1418">
        <f t="shared" si="124"/>
        <v>13.573432268572979</v>
      </c>
      <c r="R52" s="1418">
        <f t="shared" si="124"/>
        <v>15.667841754798276</v>
      </c>
      <c r="S52" s="1418">
        <f t="shared" si="124"/>
        <v>33.044156735751294</v>
      </c>
      <c r="T52" s="1418">
        <f t="shared" si="124"/>
        <v>22.402052802670884</v>
      </c>
      <c r="U52" s="1418">
        <f t="shared" si="124"/>
        <v>22.112175211512035</v>
      </c>
      <c r="V52" s="1418">
        <f t="shared" si="124"/>
        <v>22.086871068842541</v>
      </c>
      <c r="W52" s="1418">
        <f t="shared" si="124"/>
        <v>32.918843656866692</v>
      </c>
      <c r="X52" s="1418">
        <f t="shared" si="124"/>
        <v>23.807309525196622</v>
      </c>
      <c r="Y52" s="1418">
        <f t="shared" si="124"/>
        <v>31.76613213179596</v>
      </c>
      <c r="Z52" s="1418">
        <f t="shared" si="124"/>
        <v>30.612669373769634</v>
      </c>
      <c r="AA52" s="1418">
        <f t="shared" si="124"/>
        <v>38.396846605691124</v>
      </c>
      <c r="AB52" s="1418">
        <f t="shared" si="124"/>
        <v>40.769343249263493</v>
      </c>
      <c r="AC52" s="1418">
        <f t="shared" si="124"/>
        <v>38.402631757061641</v>
      </c>
      <c r="AD52" s="1418">
        <f t="shared" ref="AD52:AE52" si="125">AD51/AD49*100</f>
        <v>42.13167485774477</v>
      </c>
      <c r="AE52" s="1418">
        <f t="shared" si="125"/>
        <v>56.769259930406569</v>
      </c>
      <c r="AF52" s="1418">
        <f t="shared" ref="AF52:AH52" si="126">AF51/AF49*100</f>
        <v>52.687237491890841</v>
      </c>
      <c r="AG52" s="1418">
        <f t="shared" si="126"/>
        <v>44.371053055880857</v>
      </c>
      <c r="AH52" s="1954">
        <f t="shared" si="126"/>
        <v>46.024041491872772</v>
      </c>
      <c r="AI52" s="1418">
        <f t="shared" ref="AI52:AK52" si="127">AI51/AI49*100</f>
        <v>41.006007985723855</v>
      </c>
      <c r="AJ52" s="1954">
        <f t="shared" ref="AJ52" si="128">AJ51/AJ49*100</f>
        <v>140.4621556707643</v>
      </c>
      <c r="AK52" s="1419">
        <f t="shared" si="127"/>
        <v>30.829974038519591</v>
      </c>
      <c r="AL52" s="1418"/>
      <c r="AM52" s="1418"/>
      <c r="AN52" s="1418"/>
      <c r="AO52" s="1418"/>
      <c r="AP52" s="1418"/>
      <c r="AQ52" s="1420"/>
      <c r="AR52" s="1420"/>
      <c r="AS52" s="1420"/>
      <c r="AT52" s="1420"/>
      <c r="AU52" s="1420"/>
      <c r="AV52" s="1420"/>
      <c r="AW52" s="1420"/>
      <c r="AX52" s="1420"/>
      <c r="AY52" s="1420"/>
      <c r="AZ52" s="1420"/>
      <c r="BA52" s="1420"/>
      <c r="BB52" s="1420"/>
      <c r="BC52" s="1420"/>
      <c r="BD52" s="1420"/>
      <c r="BE52" s="1420"/>
      <c r="BF52" s="1420"/>
      <c r="BG52" s="1420"/>
      <c r="BH52" s="1420"/>
      <c r="BI52" s="1420"/>
      <c r="BJ52" s="1420"/>
      <c r="BK52" s="1420"/>
      <c r="BL52" s="1420"/>
      <c r="BM52" s="1420"/>
    </row>
    <row r="53" spans="1:65" outlineLevel="1">
      <c r="A53" s="1405"/>
      <c r="B53" s="1414" t="s">
        <v>1142</v>
      </c>
      <c r="C53" s="1389" t="s">
        <v>475</v>
      </c>
      <c r="D53" s="1411">
        <v>86.025084547173321</v>
      </c>
      <c r="E53" s="1411">
        <v>120.0714365736805</v>
      </c>
      <c r="F53" s="1411">
        <v>84.194100663975377</v>
      </c>
      <c r="G53" s="1411">
        <v>68.660995783237098</v>
      </c>
      <c r="H53" s="1421">
        <v>59.488893954360108</v>
      </c>
      <c r="I53" s="1421">
        <v>51.39301545072265</v>
      </c>
      <c r="J53" s="1421">
        <v>42.750479136831281</v>
      </c>
      <c r="K53" s="1421">
        <v>55.340239654197596</v>
      </c>
      <c r="L53" s="1421">
        <v>63.380710993148917</v>
      </c>
      <c r="M53" s="1421">
        <v>43.907466041193558</v>
      </c>
      <c r="N53" s="1421">
        <v>69.435380478299706</v>
      </c>
      <c r="O53" s="1421">
        <v>74.90251350716467</v>
      </c>
      <c r="P53" s="1421">
        <v>86.808640127216592</v>
      </c>
      <c r="Q53" s="1421">
        <v>102.95641973373513</v>
      </c>
      <c r="R53" s="1421">
        <v>108.54957793222866</v>
      </c>
      <c r="S53" s="1421" t="e">
        <v>#REF!</v>
      </c>
      <c r="T53" s="1421"/>
      <c r="U53" s="1421"/>
      <c r="V53" s="1421"/>
      <c r="W53" s="1421"/>
      <c r="X53" s="1421"/>
      <c r="Y53" s="1421"/>
      <c r="Z53" s="1421"/>
      <c r="AA53" s="1421"/>
      <c r="AB53" s="1421"/>
      <c r="AC53" s="1421"/>
      <c r="AD53" s="1421"/>
      <c r="AE53" s="1421"/>
      <c r="AF53" s="1421"/>
      <c r="AG53" s="1421"/>
      <c r="AH53" s="1955"/>
      <c r="AI53" s="1421"/>
      <c r="AJ53" s="1955"/>
      <c r="AK53" s="1422"/>
      <c r="AL53" s="1421"/>
      <c r="AM53" s="1421"/>
      <c r="AN53" s="1421"/>
      <c r="AO53" s="1421"/>
      <c r="AP53" s="1421"/>
      <c r="AQ53" s="1407"/>
      <c r="AR53" s="1407"/>
      <c r="AS53" s="1407"/>
      <c r="AT53" s="1407"/>
      <c r="AU53" s="1407"/>
      <c r="AV53" s="1407"/>
      <c r="AW53" s="1407"/>
      <c r="AX53" s="1407"/>
      <c r="AY53" s="1407"/>
      <c r="AZ53" s="1407"/>
      <c r="BA53" s="1407"/>
      <c r="BB53" s="1407"/>
      <c r="BC53" s="1407"/>
      <c r="BD53" s="1407"/>
      <c r="BE53" s="1407"/>
      <c r="BF53" s="1407"/>
      <c r="BG53" s="1407"/>
      <c r="BH53" s="1407"/>
      <c r="BI53" s="1407"/>
      <c r="BJ53" s="1407"/>
      <c r="BK53" s="1407"/>
      <c r="BL53" s="1407"/>
      <c r="BM53" s="1407"/>
    </row>
    <row r="54" spans="1:65" outlineLevel="1">
      <c r="A54" s="1405"/>
      <c r="B54" s="1414" t="s">
        <v>1143</v>
      </c>
      <c r="C54" s="1389" t="s">
        <v>474</v>
      </c>
      <c r="D54" s="1411">
        <v>606.24378017765662</v>
      </c>
      <c r="E54" s="1411">
        <v>705.91337301800104</v>
      </c>
      <c r="F54" s="1411">
        <v>749.25577596880839</v>
      </c>
      <c r="G54" s="1411">
        <v>779.88531485725832</v>
      </c>
      <c r="H54" s="1421">
        <v>823.8648979531614</v>
      </c>
      <c r="I54" s="1421">
        <v>847.14209581215709</v>
      </c>
      <c r="J54" s="1421">
        <v>846.6641060847154</v>
      </c>
      <c r="K54" s="1421">
        <v>843.02958042133878</v>
      </c>
      <c r="L54" s="1421">
        <v>867.93915829291802</v>
      </c>
      <c r="M54" s="1421">
        <v>828.78909401322016</v>
      </c>
      <c r="N54" s="1421">
        <v>880.40296590281025</v>
      </c>
      <c r="O54" s="1421">
        <v>942.53261179611559</v>
      </c>
      <c r="P54" s="1421">
        <v>985.06467886431506</v>
      </c>
      <c r="Q54" s="1421">
        <v>1086.2902769927023</v>
      </c>
      <c r="R54" s="1421">
        <v>1240.6629216081333</v>
      </c>
      <c r="S54" s="1421">
        <v>1235.4411093026868</v>
      </c>
      <c r="T54" s="1421">
        <v>1242.5658618437974</v>
      </c>
      <c r="U54" s="1421">
        <v>1326.0156533158186</v>
      </c>
      <c r="V54" s="1421"/>
      <c r="W54" s="1421"/>
      <c r="X54" s="1421"/>
      <c r="Y54" s="1421"/>
      <c r="Z54" s="1421"/>
      <c r="AA54" s="1421"/>
      <c r="AB54" s="1421"/>
      <c r="AC54" s="1421"/>
      <c r="AD54" s="1421"/>
      <c r="AE54" s="1421"/>
      <c r="AF54" s="1421"/>
      <c r="AG54" s="1421"/>
      <c r="AH54" s="1955"/>
      <c r="AI54" s="1421"/>
      <c r="AJ54" s="1955"/>
      <c r="AK54" s="1422"/>
      <c r="AL54" s="1421"/>
      <c r="AM54" s="1421"/>
      <c r="AN54" s="1421"/>
      <c r="AO54" s="1421"/>
      <c r="AP54" s="1421"/>
      <c r="AQ54" s="1407"/>
      <c r="AR54" s="1407"/>
      <c r="AS54" s="1407"/>
      <c r="AT54" s="1407"/>
      <c r="AU54" s="1407"/>
      <c r="AV54" s="1407"/>
      <c r="AW54" s="1407"/>
      <c r="AX54" s="1407"/>
      <c r="AY54" s="1407"/>
      <c r="AZ54" s="1407"/>
      <c r="BA54" s="1407"/>
      <c r="BB54" s="1407"/>
      <c r="BC54" s="1407"/>
      <c r="BD54" s="1407"/>
      <c r="BE54" s="1407"/>
      <c r="BF54" s="1407"/>
      <c r="BG54" s="1407"/>
      <c r="BH54" s="1407"/>
      <c r="BI54" s="1407"/>
      <c r="BJ54" s="1407"/>
      <c r="BK54" s="1407"/>
      <c r="BL54" s="1407"/>
      <c r="BM54" s="1407"/>
    </row>
    <row r="55" spans="1:65" outlineLevel="1">
      <c r="B55" s="1423" t="s">
        <v>1144</v>
      </c>
      <c r="C55" s="1424" t="s">
        <v>589</v>
      </c>
      <c r="D55" s="1425"/>
      <c r="E55" s="1425"/>
      <c r="F55" s="1425"/>
      <c r="G55" s="1425"/>
      <c r="H55" s="1426"/>
      <c r="I55" s="1426"/>
      <c r="J55" s="1426"/>
      <c r="K55" s="1426"/>
      <c r="L55" s="1426"/>
      <c r="M55" s="1427">
        <v>909.82188082572532</v>
      </c>
      <c r="N55" s="1427">
        <v>967.87784920811987</v>
      </c>
      <c r="O55" s="1427">
        <v>1008.8409009774016</v>
      </c>
      <c r="P55" s="1427">
        <v>1070.9166706805881</v>
      </c>
      <c r="Q55" s="1427">
        <v>1184.7238876264644</v>
      </c>
      <c r="R55" s="1427">
        <v>1350.6545114779176</v>
      </c>
      <c r="S55" s="1427">
        <v>1445.4967209248075</v>
      </c>
      <c r="T55" s="1427">
        <v>1461.8784170917768</v>
      </c>
      <c r="U55" s="1427">
        <v>1556.8368322510571</v>
      </c>
      <c r="V55" s="1427"/>
      <c r="W55" s="1427"/>
      <c r="X55" s="1427"/>
      <c r="Y55" s="1427"/>
      <c r="Z55" s="1427"/>
      <c r="AA55" s="1427"/>
      <c r="AB55" s="1427"/>
      <c r="AC55" s="1427"/>
      <c r="AD55" s="1427"/>
      <c r="AE55" s="1427"/>
      <c r="AF55" s="1427"/>
      <c r="AG55" s="1427"/>
      <c r="AH55" s="1956"/>
      <c r="AI55" s="1427"/>
      <c r="AJ55" s="1956"/>
      <c r="AK55" s="1428"/>
      <c r="AL55" s="1427"/>
      <c r="AM55" s="1427"/>
      <c r="AN55" s="1427"/>
      <c r="AO55" s="1427"/>
      <c r="AP55" s="1427"/>
    </row>
    <row r="56" spans="1:65">
      <c r="B56" s="1338" t="s">
        <v>1004</v>
      </c>
      <c r="C56" s="1" t="s">
        <v>473</v>
      </c>
    </row>
    <row r="57" spans="1:65">
      <c r="A57" s="1405"/>
      <c r="B57" s="1429" t="s">
        <v>1005</v>
      </c>
      <c r="C57" s="1430" t="s">
        <v>472</v>
      </c>
      <c r="D57" s="1431">
        <f t="shared" ref="D57:AG57" si="129">D14/D12*100</f>
        <v>26.753949678174372</v>
      </c>
      <c r="E57" s="1431">
        <f t="shared" si="129"/>
        <v>27.147726727159249</v>
      </c>
      <c r="F57" s="1431">
        <f t="shared" si="129"/>
        <v>28.016953237622726</v>
      </c>
      <c r="G57" s="1431">
        <f t="shared" si="129"/>
        <v>26.820642485687706</v>
      </c>
      <c r="H57" s="1431">
        <f t="shared" si="129"/>
        <v>25.022407899734144</v>
      </c>
      <c r="I57" s="1431">
        <f t="shared" si="129"/>
        <v>25.211896300077886</v>
      </c>
      <c r="J57" s="1431">
        <f t="shared" si="129"/>
        <v>25.118931320543375</v>
      </c>
      <c r="K57" s="1431">
        <f t="shared" si="129"/>
        <v>27.575366305507217</v>
      </c>
      <c r="L57" s="1431">
        <f t="shared" si="129"/>
        <v>31.169833000884378</v>
      </c>
      <c r="M57" s="1431">
        <f t="shared" si="129"/>
        <v>32.781042832291128</v>
      </c>
      <c r="N57" s="1431">
        <f t="shared" si="129"/>
        <v>33.792678666642153</v>
      </c>
      <c r="O57" s="1431">
        <f t="shared" si="129"/>
        <v>33.353476968936008</v>
      </c>
      <c r="P57" s="1431">
        <f t="shared" si="129"/>
        <v>34.337011589083829</v>
      </c>
      <c r="Q57" s="1431">
        <f t="shared" si="129"/>
        <v>35.696008271529877</v>
      </c>
      <c r="R57" s="1431">
        <f t="shared" si="129"/>
        <v>36.162601825724103</v>
      </c>
      <c r="S57" s="1431">
        <f t="shared" si="129"/>
        <v>36.094238165772538</v>
      </c>
      <c r="T57" s="1431">
        <f t="shared" si="129"/>
        <v>36.722225046386903</v>
      </c>
      <c r="U57" s="1431">
        <f t="shared" si="129"/>
        <v>35.223543219804817</v>
      </c>
      <c r="V57" s="1431">
        <f t="shared" si="129"/>
        <v>38.013300056764663</v>
      </c>
      <c r="W57" s="1431">
        <f t="shared" si="129"/>
        <v>37.524966411799511</v>
      </c>
      <c r="X57" s="1431">
        <f t="shared" si="129"/>
        <v>36.879260283873535</v>
      </c>
      <c r="Y57" s="1431">
        <f t="shared" si="129"/>
        <v>37.62230536358544</v>
      </c>
      <c r="Z57" s="1431">
        <f t="shared" si="129"/>
        <v>38.151040617251113</v>
      </c>
      <c r="AA57" s="1431">
        <f t="shared" si="129"/>
        <v>35.753247911214139</v>
      </c>
      <c r="AB57" s="1431">
        <f t="shared" si="129"/>
        <v>37.22660659768119</v>
      </c>
      <c r="AC57" s="1432">
        <f t="shared" si="129"/>
        <v>37.929825662920408</v>
      </c>
      <c r="AD57" s="1433">
        <f t="shared" si="129"/>
        <v>37.759293410185776</v>
      </c>
      <c r="AE57" s="1433">
        <f t="shared" si="129"/>
        <v>36.468095712861412</v>
      </c>
      <c r="AF57" s="1433">
        <f t="shared" si="129"/>
        <v>36.985841132709382</v>
      </c>
      <c r="AG57" s="1433">
        <f t="shared" si="129"/>
        <v>39.177335229966808</v>
      </c>
      <c r="AH57" s="1957">
        <f>AH14/AH12*100</f>
        <v>48.417814239671841</v>
      </c>
      <c r="AI57" s="1433">
        <f>AI14/AI12*100</f>
        <v>25.039557399723371</v>
      </c>
      <c r="AJ57" s="1957">
        <f>AJ14/AJ12*100</f>
        <v>29.415191941192486</v>
      </c>
      <c r="AK57" s="1434">
        <f>AK14/AK12*100</f>
        <v>24.792443997742012</v>
      </c>
      <c r="AL57" s="1433">
        <f>AK57+(AL59-AK59)/2</f>
        <v>26.356754771037632</v>
      </c>
      <c r="AM57" s="1433">
        <f>AL57+(AM59-AL59)*3/4</f>
        <v>26.745022594084453</v>
      </c>
      <c r="AN57" s="1433">
        <f>AM57+(AN59-AM59)*3/4</f>
        <v>26.771119496301392</v>
      </c>
      <c r="AO57" s="1433">
        <f>AN57+(AO59-AN59)*3/4</f>
        <v>26.741467460285843</v>
      </c>
      <c r="AP57" s="1433">
        <f>AO57+(AP59-AO59)*3/4</f>
        <v>26.776412345651096</v>
      </c>
      <c r="AQ57" s="1420"/>
      <c r="AR57" s="1420"/>
      <c r="AS57" s="1420"/>
      <c r="AT57" s="1420"/>
      <c r="AU57" s="1420"/>
      <c r="AV57" s="1420"/>
      <c r="AW57" s="1420"/>
      <c r="AX57" s="1420"/>
      <c r="AY57" s="1420"/>
      <c r="AZ57" s="1420"/>
      <c r="BA57" s="1420"/>
      <c r="BB57" s="1420"/>
      <c r="BC57" s="1420"/>
      <c r="BD57" s="1420"/>
      <c r="BE57" s="1420"/>
      <c r="BF57" s="1420"/>
      <c r="BG57" s="1420"/>
      <c r="BH57" s="1420"/>
      <c r="BI57" s="1420"/>
      <c r="BJ57" s="1420"/>
      <c r="BK57" s="1420"/>
      <c r="BL57" s="1420"/>
      <c r="BM57" s="1420"/>
    </row>
    <row r="58" spans="1:65">
      <c r="A58" s="1405"/>
      <c r="B58" s="1406" t="s">
        <v>1006</v>
      </c>
      <c r="C58" s="1405" t="s">
        <v>179</v>
      </c>
      <c r="D58" s="1420">
        <f t="shared" ref="D58:AC58" si="130">D15/D12*100</f>
        <v>21.528671737858396</v>
      </c>
      <c r="E58" s="1420">
        <f t="shared" si="130"/>
        <v>23.196024773152814</v>
      </c>
      <c r="F58" s="1420">
        <f t="shared" si="130"/>
        <v>23.757725137449466</v>
      </c>
      <c r="G58" s="1420">
        <f t="shared" si="130"/>
        <v>22.72386392974375</v>
      </c>
      <c r="H58" s="1420">
        <f t="shared" si="130"/>
        <v>22.559058108621343</v>
      </c>
      <c r="I58" s="1420">
        <f t="shared" si="130"/>
        <v>22.037542461073258</v>
      </c>
      <c r="J58" s="1420">
        <f t="shared" si="130"/>
        <v>22.329812860174954</v>
      </c>
      <c r="K58" s="1420">
        <f t="shared" si="130"/>
        <v>23.565736854445365</v>
      </c>
      <c r="L58" s="1420">
        <f t="shared" si="130"/>
        <v>26.008159523855635</v>
      </c>
      <c r="M58" s="1420">
        <f t="shared" si="130"/>
        <v>27.67313931073393</v>
      </c>
      <c r="N58" s="1420">
        <f t="shared" si="130"/>
        <v>28.737122089638223</v>
      </c>
      <c r="O58" s="1420">
        <f t="shared" si="130"/>
        <v>27.280640504989464</v>
      </c>
      <c r="P58" s="1420">
        <f t="shared" si="130"/>
        <v>28.328155414899513</v>
      </c>
      <c r="Q58" s="1420">
        <f t="shared" si="130"/>
        <v>29.113574217797446</v>
      </c>
      <c r="R58" s="1420">
        <f t="shared" si="130"/>
        <v>30.041236923473729</v>
      </c>
      <c r="S58" s="1420">
        <f t="shared" si="130"/>
        <v>30.004107594070128</v>
      </c>
      <c r="T58" s="1420">
        <f t="shared" si="130"/>
        <v>30.297320997381998</v>
      </c>
      <c r="U58" s="1420">
        <f t="shared" si="130"/>
        <v>27.467917767641737</v>
      </c>
      <c r="V58" s="1420">
        <f t="shared" si="130"/>
        <v>28.143858792339628</v>
      </c>
      <c r="W58" s="1420">
        <f t="shared" si="130"/>
        <v>29.087545070298226</v>
      </c>
      <c r="X58" s="1420">
        <f t="shared" si="130"/>
        <v>28.930364998068463</v>
      </c>
      <c r="Y58" s="1420">
        <f t="shared" si="130"/>
        <v>29.024140343137113</v>
      </c>
      <c r="Z58" s="1420">
        <f t="shared" si="130"/>
        <v>29.931682208091214</v>
      </c>
      <c r="AA58" s="1420">
        <f t="shared" si="130"/>
        <v>29.160656872669293</v>
      </c>
      <c r="AB58" s="1420">
        <f t="shared" si="130"/>
        <v>29.944545689189926</v>
      </c>
      <c r="AC58" s="1420">
        <f t="shared" si="130"/>
        <v>30.231943659613652</v>
      </c>
      <c r="AD58" s="1420">
        <f t="shared" ref="AD58:AE58" si="131">AD15/AD12*100</f>
        <v>30.7769864479407</v>
      </c>
      <c r="AE58" s="1420">
        <f t="shared" si="131"/>
        <v>30.486041874376866</v>
      </c>
      <c r="AF58" s="1420">
        <f t="shared" ref="AF58:AH58" si="132">AF15/AF12*100</f>
        <v>30.098392128629708</v>
      </c>
      <c r="AG58" s="1420">
        <f t="shared" si="132"/>
        <v>30.381697486960647</v>
      </c>
      <c r="AH58" s="1954">
        <f t="shared" si="132"/>
        <v>37.899208907119835</v>
      </c>
      <c r="AI58" s="1420">
        <f t="shared" ref="AI58:AK58" si="133">AI15/AI12*100</f>
        <v>16.814384508990319</v>
      </c>
      <c r="AJ58" s="1954">
        <f t="shared" ref="AJ58" si="134">AJ15/AJ12*100</f>
        <v>23.354478627824665</v>
      </c>
      <c r="AK58" s="1435">
        <f t="shared" si="133"/>
        <v>15.538131101045009</v>
      </c>
      <c r="AL58" s="1420">
        <f t="shared" ref="AL58" si="135">AL15/AL12*100</f>
        <v>13.964620187304892</v>
      </c>
      <c r="AM58" s="1420">
        <f t="shared" ref="AM58:AN58" si="136">AM15/AM12*100</f>
        <v>13.848014513202983</v>
      </c>
      <c r="AN58" s="1420">
        <f t="shared" si="136"/>
        <v>13.835616438356164</v>
      </c>
      <c r="AO58" s="1420">
        <f t="shared" ref="AO58" si="137">AO15/AO12*100</f>
        <v>13.844111511473544</v>
      </c>
      <c r="AP58" s="1420">
        <f t="shared" ref="AP58" si="138">AP15/AP12*100</f>
        <v>13.827433628318584</v>
      </c>
      <c r="AQ58" s="1420"/>
      <c r="AR58" s="1420"/>
      <c r="AS58" s="1420"/>
      <c r="AT58" s="1420"/>
      <c r="AU58" s="1420"/>
      <c r="AV58" s="1420"/>
      <c r="AW58" s="1420"/>
      <c r="AX58" s="1420"/>
      <c r="AY58" s="1420"/>
      <c r="AZ58" s="1420"/>
      <c r="BA58" s="1420"/>
      <c r="BB58" s="1420"/>
      <c r="BC58" s="1420"/>
      <c r="BD58" s="1420"/>
      <c r="BE58" s="1420"/>
      <c r="BF58" s="1420"/>
      <c r="BG58" s="1420"/>
      <c r="BH58" s="1420"/>
      <c r="BI58" s="1420"/>
      <c r="BJ58" s="1420"/>
      <c r="BK58" s="1420"/>
      <c r="BL58" s="1420"/>
      <c r="BM58" s="1420"/>
    </row>
    <row r="59" spans="1:65">
      <c r="A59" s="1405"/>
      <c r="B59" s="1406" t="s">
        <v>1007</v>
      </c>
      <c r="C59" s="1405" t="s">
        <v>190</v>
      </c>
      <c r="D59" s="1420">
        <f t="shared" ref="D59:AC59" si="139">D23/D12*100</f>
        <v>5.2252779403159737</v>
      </c>
      <c r="E59" s="1420">
        <f t="shared" si="139"/>
        <v>3.9512218541456625</v>
      </c>
      <c r="F59" s="1420">
        <f t="shared" si="139"/>
        <v>4.2592281001732619</v>
      </c>
      <c r="G59" s="1420">
        <f t="shared" si="139"/>
        <v>4.0963687551481227</v>
      </c>
      <c r="H59" s="1420">
        <f t="shared" si="139"/>
        <v>2.4633497911127988</v>
      </c>
      <c r="I59" s="1420">
        <f t="shared" si="139"/>
        <v>3.1740265860315344</v>
      </c>
      <c r="J59" s="1420">
        <f t="shared" si="139"/>
        <v>2.7891184603684245</v>
      </c>
      <c r="K59" s="1420">
        <f t="shared" si="139"/>
        <v>4.0096294510618486</v>
      </c>
      <c r="L59" s="1420">
        <f t="shared" si="139"/>
        <v>5.1613507110534442</v>
      </c>
      <c r="M59" s="1420">
        <f t="shared" si="139"/>
        <v>5.107903521557196</v>
      </c>
      <c r="N59" s="1420">
        <f t="shared" si="139"/>
        <v>5.0555565770039284</v>
      </c>
      <c r="O59" s="1420">
        <f t="shared" si="139"/>
        <v>6.0728364639465449</v>
      </c>
      <c r="P59" s="1420">
        <f t="shared" si="139"/>
        <v>6.0085338971033737</v>
      </c>
      <c r="Q59" s="1420">
        <f t="shared" si="139"/>
        <v>6.5824340537324302</v>
      </c>
      <c r="R59" s="1420">
        <f t="shared" si="139"/>
        <v>6.1210578514426777</v>
      </c>
      <c r="S59" s="1420">
        <f t="shared" si="139"/>
        <v>6.0898193903334619</v>
      </c>
      <c r="T59" s="1420">
        <f t="shared" si="139"/>
        <v>6.4249040490049047</v>
      </c>
      <c r="U59" s="1420">
        <f t="shared" si="139"/>
        <v>7.7556254521630859</v>
      </c>
      <c r="V59" s="1420">
        <f t="shared" si="139"/>
        <v>9.8691241433767694</v>
      </c>
      <c r="W59" s="1420">
        <f t="shared" si="139"/>
        <v>8.4374213415012864</v>
      </c>
      <c r="X59" s="1420">
        <f t="shared" si="139"/>
        <v>7.9485837476790415</v>
      </c>
      <c r="Y59" s="1420">
        <f t="shared" si="139"/>
        <v>8.5981650204483238</v>
      </c>
      <c r="Z59" s="1420">
        <f t="shared" si="139"/>
        <v>8.2193584091599039</v>
      </c>
      <c r="AA59" s="1420">
        <f t="shared" si="139"/>
        <v>6.5925910385448523</v>
      </c>
      <c r="AB59" s="1420">
        <f t="shared" si="139"/>
        <v>7.2820609084912631</v>
      </c>
      <c r="AC59" s="1420">
        <f t="shared" si="139"/>
        <v>7.6978820033067539</v>
      </c>
      <c r="AD59" s="1420">
        <f t="shared" ref="AD59:AE59" si="140">AD23/AD12*100</f>
        <v>6.9823069622450786</v>
      </c>
      <c r="AE59" s="1420">
        <f t="shared" si="140"/>
        <v>5.9820538384845463</v>
      </c>
      <c r="AF59" s="1420">
        <f t="shared" ref="AF59:AH59" si="141">AF23/AF12*100</f>
        <v>6.8874490040796736</v>
      </c>
      <c r="AG59" s="1420">
        <f t="shared" si="141"/>
        <v>8.7956377430061643</v>
      </c>
      <c r="AH59" s="1954">
        <f t="shared" si="141"/>
        <v>10.518605332552006</v>
      </c>
      <c r="AI59" s="1420">
        <f t="shared" ref="AI59:AK59" si="142">AI23/AI12*100</f>
        <v>8.2251728907330559</v>
      </c>
      <c r="AJ59" s="1954">
        <f t="shared" ref="AJ59" si="143">AJ23/AJ12*100</f>
        <v>6.0607133133678195</v>
      </c>
      <c r="AK59" s="1435">
        <f t="shared" si="142"/>
        <v>9.2543128966970016</v>
      </c>
      <c r="AL59" s="1420">
        <f t="shared" ref="AL59" si="144">AL23/AL12*100</f>
        <v>12.382934443288242</v>
      </c>
      <c r="AM59" s="1420">
        <f>AM23/AM12*100</f>
        <v>12.900624874017335</v>
      </c>
      <c r="AN59" s="1420">
        <f>AN23/AN12*100</f>
        <v>12.935420743639922</v>
      </c>
      <c r="AO59" s="1420">
        <f t="shared" ref="AO59" si="145">AO23/AO12*100</f>
        <v>12.895884695619191</v>
      </c>
      <c r="AP59" s="1420">
        <f t="shared" ref="AP59" si="146">AP23/AP12*100</f>
        <v>12.942477876106196</v>
      </c>
      <c r="AQ59" s="1420"/>
      <c r="AR59" s="1420"/>
      <c r="AS59" s="1420"/>
      <c r="AT59" s="1420"/>
      <c r="AU59" s="1420"/>
      <c r="AV59" s="1420"/>
      <c r="AW59" s="1420"/>
      <c r="AX59" s="1420"/>
      <c r="AY59" s="1420"/>
      <c r="AZ59" s="1420"/>
      <c r="BA59" s="1420"/>
      <c r="BB59" s="1420"/>
      <c r="BC59" s="1420"/>
      <c r="BD59" s="1420"/>
      <c r="BE59" s="1420"/>
      <c r="BF59" s="1420"/>
      <c r="BG59" s="1420"/>
      <c r="BH59" s="1420"/>
      <c r="BI59" s="1420"/>
      <c r="BJ59" s="1420"/>
      <c r="BK59" s="1420"/>
      <c r="BL59" s="1420"/>
      <c r="BM59" s="1420"/>
    </row>
    <row r="60" spans="1:65">
      <c r="A60" s="1405"/>
      <c r="B60" s="1406" t="s">
        <v>1145</v>
      </c>
      <c r="C60" s="1405" t="s">
        <v>233</v>
      </c>
      <c r="D60" s="1420">
        <f t="shared" ref="D60:AC60" si="147">D29/D12*100</f>
        <v>5.4066705675833822</v>
      </c>
      <c r="E60" s="1420">
        <f t="shared" si="147"/>
        <v>4.754428921215613</v>
      </c>
      <c r="F60" s="1420">
        <f t="shared" si="147"/>
        <v>4.6976111760399091</v>
      </c>
      <c r="G60" s="1420">
        <f t="shared" si="147"/>
        <v>4.2799595116813718</v>
      </c>
      <c r="H60" s="1420">
        <f t="shared" si="147"/>
        <v>2.9574629699962021</v>
      </c>
      <c r="I60" s="1420">
        <f t="shared" si="147"/>
        <v>3.339943843389817</v>
      </c>
      <c r="J60" s="1420">
        <f t="shared" si="147"/>
        <v>2.6968373019534968</v>
      </c>
      <c r="K60" s="1420">
        <f t="shared" si="147"/>
        <v>3.6490203783753437</v>
      </c>
      <c r="L60" s="1420">
        <f t="shared" si="147"/>
        <v>4.8285789905171361</v>
      </c>
      <c r="M60" s="1420">
        <f t="shared" si="147"/>
        <v>5.0627674079646434</v>
      </c>
      <c r="N60" s="1420">
        <f t="shared" si="147"/>
        <v>4.9697549136773977</v>
      </c>
      <c r="O60" s="1420">
        <f t="shared" si="147"/>
        <v>5.9400763370729521</v>
      </c>
      <c r="P60" s="1420">
        <f t="shared" si="147"/>
        <v>5.8386938754463538</v>
      </c>
      <c r="Q60" s="1420">
        <f t="shared" si="147"/>
        <v>6.5869859962739099</v>
      </c>
      <c r="R60" s="1420">
        <f t="shared" si="147"/>
        <v>6.4944316336024128</v>
      </c>
      <c r="S60" s="1420">
        <f t="shared" si="147"/>
        <v>6.70471377537684</v>
      </c>
      <c r="T60" s="1420">
        <f t="shared" si="147"/>
        <v>7.1877462318582719</v>
      </c>
      <c r="U60" s="1420">
        <f t="shared" si="147"/>
        <v>8.2952714220509645</v>
      </c>
      <c r="V60" s="1420">
        <f t="shared" si="147"/>
        <v>10.320704516120848</v>
      </c>
      <c r="W60" s="1420">
        <f t="shared" si="147"/>
        <v>8.8885329393189529</v>
      </c>
      <c r="X60" s="1420">
        <f t="shared" si="147"/>
        <v>8.4081024835819402</v>
      </c>
      <c r="Y60" s="1420">
        <f t="shared" si="147"/>
        <v>8.2344779944677775</v>
      </c>
      <c r="Z60" s="1420">
        <f t="shared" si="147"/>
        <v>7.8827394816659542</v>
      </c>
      <c r="AA60" s="1420">
        <f t="shared" si="147"/>
        <v>6.2639973565647935</v>
      </c>
      <c r="AB60" s="1420">
        <f t="shared" si="147"/>
        <v>6.9553836567516347</v>
      </c>
      <c r="AC60" s="1420">
        <f t="shared" si="147"/>
        <v>7.3700843431489496</v>
      </c>
      <c r="AD60" s="1420">
        <f t="shared" ref="AD60:AE60" si="148">AD29/AD12*100</f>
        <v>6.6600308129949566</v>
      </c>
      <c r="AE60" s="1420">
        <f t="shared" si="148"/>
        <v>5.6697407776669992</v>
      </c>
      <c r="AF60" s="1420">
        <f t="shared" ref="AF60:AH60" si="149">AF29/AF12*100</f>
        <v>6.5867530597552193</v>
      </c>
      <c r="AG60" s="1420">
        <f t="shared" si="149"/>
        <v>8.4985775248933138</v>
      </c>
      <c r="AH60" s="1954">
        <f t="shared" si="149"/>
        <v>10.15147963668327</v>
      </c>
      <c r="AI60" s="1420">
        <f t="shared" ref="AI60:AK60" si="150">AI29/AI12*100</f>
        <v>8.8049792531120339</v>
      </c>
      <c r="AJ60" s="1954">
        <f t="shared" ref="AJ60" si="151">AJ29/AJ12*100</f>
        <v>6.7293765314456842</v>
      </c>
      <c r="AK60" s="1435">
        <f t="shared" si="150"/>
        <v>10.033135529824271</v>
      </c>
      <c r="AL60" s="1420">
        <f t="shared" ref="AL60" si="152">AL29/AL12*100</f>
        <v>13.319458896982312</v>
      </c>
      <c r="AM60" s="1420">
        <f t="shared" ref="AM60:AN60" si="153">AM29/AM12*100</f>
        <v>13.807700060471678</v>
      </c>
      <c r="AN60" s="1420">
        <f t="shared" si="153"/>
        <v>13.835616438356164</v>
      </c>
      <c r="AO60" s="1420">
        <f t="shared" ref="AO60" si="154">AO29/AO12*100</f>
        <v>13.768253366205197</v>
      </c>
      <c r="AP60" s="1420">
        <f t="shared" ref="AP60" si="155">AP29/AP12*100</f>
        <v>13.808997050147493</v>
      </c>
      <c r="AQ60" s="1420"/>
      <c r="AR60" s="1420"/>
      <c r="AS60" s="1420"/>
      <c r="AT60" s="1420"/>
      <c r="AU60" s="1420"/>
      <c r="AV60" s="1420"/>
      <c r="AW60" s="1420"/>
      <c r="AX60" s="1420"/>
      <c r="AY60" s="1420"/>
      <c r="AZ60" s="1420"/>
      <c r="BA60" s="1420"/>
      <c r="BB60" s="1420"/>
      <c r="BC60" s="1420"/>
      <c r="BD60" s="1420"/>
      <c r="BE60" s="1420"/>
      <c r="BF60" s="1420"/>
      <c r="BG60" s="1420"/>
      <c r="BH60" s="1420"/>
      <c r="BI60" s="1420"/>
      <c r="BJ60" s="1420"/>
      <c r="BK60" s="1420"/>
      <c r="BL60" s="1420"/>
      <c r="BM60" s="1420"/>
    </row>
    <row r="61" spans="1:65">
      <c r="A61" s="1405"/>
      <c r="B61" s="1406" t="s">
        <v>1008</v>
      </c>
      <c r="C61" s="1405" t="s">
        <v>468</v>
      </c>
      <c r="D61" s="1420">
        <f t="shared" ref="D61:AC61" si="156">D35/D12*100</f>
        <v>2.8920421299005268</v>
      </c>
      <c r="E61" s="1420">
        <f t="shared" si="156"/>
        <v>5.0789764270968361</v>
      </c>
      <c r="F61" s="1420">
        <f t="shared" si="156"/>
        <v>2.575727947830595</v>
      </c>
      <c r="G61" s="1420">
        <f t="shared" si="156"/>
        <v>1.8785268480991391</v>
      </c>
      <c r="H61" s="1420">
        <f t="shared" si="156"/>
        <v>1.5674135966578049</v>
      </c>
      <c r="I61" s="1420">
        <f t="shared" si="156"/>
        <v>1.43925857566416</v>
      </c>
      <c r="J61" s="1420">
        <f t="shared" si="156"/>
        <v>0.65774191187467579</v>
      </c>
      <c r="K61" s="1420">
        <f t="shared" si="156"/>
        <v>1.1439100987051758</v>
      </c>
      <c r="L61" s="1420">
        <f t="shared" si="156"/>
        <v>1.5431441279186113</v>
      </c>
      <c r="M61" s="1420">
        <f t="shared" si="156"/>
        <v>0.26392088642311973</v>
      </c>
      <c r="N61" s="1420">
        <f t="shared" si="156"/>
        <v>1.9838570299141371</v>
      </c>
      <c r="O61" s="1420">
        <f t="shared" si="156"/>
        <v>2.3157874961252203</v>
      </c>
      <c r="P61" s="1420">
        <f t="shared" si="156"/>
        <v>2.9265981720443968</v>
      </c>
      <c r="Q61" s="1420">
        <f t="shared" si="156"/>
        <v>3.8909354567061496</v>
      </c>
      <c r="R61" s="1420">
        <f t="shared" si="156"/>
        <v>4.2412928067207281</v>
      </c>
      <c r="S61" s="1420">
        <f t="shared" si="156"/>
        <v>1.9218561346295076</v>
      </c>
      <c r="T61" s="1420">
        <f t="shared" si="156"/>
        <v>3.6162722720687288</v>
      </c>
      <c r="U61" s="1420">
        <f t="shared" si="156"/>
        <v>4.2938803898616111</v>
      </c>
      <c r="V61" s="1420">
        <f t="shared" si="156"/>
        <v>5.8686421193833898</v>
      </c>
      <c r="W61" s="1420">
        <f t="shared" si="156"/>
        <v>4.0583699180480597</v>
      </c>
      <c r="X61" s="1420">
        <f t="shared" si="156"/>
        <v>5.3475519334056099</v>
      </c>
      <c r="Y61" s="1420">
        <f t="shared" si="156"/>
        <v>4.6670943061066339</v>
      </c>
      <c r="Z61" s="1420">
        <f t="shared" si="156"/>
        <v>4.4816364032012386</v>
      </c>
      <c r="AA61" s="1420">
        <f t="shared" si="156"/>
        <v>3.4876875711341073</v>
      </c>
      <c r="AB61" s="1420">
        <f t="shared" si="156"/>
        <v>3.9186565821685844</v>
      </c>
      <c r="AC61" s="1420">
        <f t="shared" si="156"/>
        <v>4.1744207948766245</v>
      </c>
      <c r="AD61" s="1420">
        <f t="shared" ref="AD61:AE61" si="157">AD35/AD12*100</f>
        <v>3.7408416217203326</v>
      </c>
      <c r="AE61" s="1420">
        <f t="shared" si="157"/>
        <v>3.1388683948155536</v>
      </c>
      <c r="AF61" s="1420">
        <f t="shared" ref="AF61:AH61" si="158">AF35/AF12*100</f>
        <v>3.7214158867290617</v>
      </c>
      <c r="AG61" s="1420">
        <f t="shared" si="158"/>
        <v>4.9111284969179705</v>
      </c>
      <c r="AH61" s="1954">
        <f t="shared" si="158"/>
        <v>5.8514913565777906</v>
      </c>
      <c r="AI61" s="1420">
        <f t="shared" ref="AI61:AK61" si="159">AI35/AI12*100</f>
        <v>6.2005532503457816</v>
      </c>
      <c r="AJ61" s="1954">
        <f t="shared" ref="AJ61" si="160">AJ35/AJ12*100</f>
        <v>3.7611053634631091</v>
      </c>
      <c r="AK61" s="1435">
        <f t="shared" si="159"/>
        <v>7.6014374027619054</v>
      </c>
      <c r="AL61" s="1420">
        <f t="shared" ref="AL61" si="161">AL35/AL12*100</f>
        <v>10.156087408949013</v>
      </c>
      <c r="AM61" s="1420">
        <f t="shared" ref="AM61:AN61" si="162">AM35/AM12*100</f>
        <v>10.542229389236041</v>
      </c>
      <c r="AN61" s="1420">
        <f t="shared" si="162"/>
        <v>10.567514677103718</v>
      </c>
      <c r="AO61" s="1420">
        <f t="shared" ref="AO61" si="163">AO35/AO12*100</f>
        <v>10.506353119666224</v>
      </c>
      <c r="AP61" s="1420">
        <f t="shared" ref="AP61" si="164">AP35/AP12*100</f>
        <v>10.545722713864308</v>
      </c>
      <c r="AQ61" s="1420"/>
      <c r="AR61" s="1420"/>
      <c r="AS61" s="1420"/>
      <c r="AT61" s="1420"/>
      <c r="AU61" s="1420"/>
      <c r="AV61" s="1420"/>
      <c r="AW61" s="1420"/>
      <c r="AX61" s="1420"/>
      <c r="AY61" s="1420"/>
      <c r="AZ61" s="1420"/>
      <c r="BA61" s="1420"/>
      <c r="BB61" s="1420"/>
      <c r="BC61" s="1420"/>
      <c r="BD61" s="1420"/>
      <c r="BE61" s="1420"/>
      <c r="BF61" s="1420"/>
      <c r="BG61" s="1420"/>
      <c r="BH61" s="1420"/>
      <c r="BI61" s="1420"/>
      <c r="BJ61" s="1420"/>
      <c r="BK61" s="1420"/>
      <c r="BL61" s="1420"/>
      <c r="BM61" s="1420"/>
    </row>
    <row r="62" spans="1:65" outlineLevel="1">
      <c r="A62" s="1405"/>
      <c r="B62" s="1436" t="s">
        <v>1009</v>
      </c>
      <c r="C62" s="1437" t="s">
        <v>470</v>
      </c>
      <c r="D62" s="1438">
        <f t="shared" ref="D62:AC62" si="165">D33/D32*100</f>
        <v>45.934739498828201</v>
      </c>
      <c r="E62" s="1438">
        <f t="shared" si="165"/>
        <v>30.759213439249905</v>
      </c>
      <c r="F62" s="1438">
        <f t="shared" si="165"/>
        <v>44.642683045724873</v>
      </c>
      <c r="G62" s="1438">
        <f t="shared" si="165"/>
        <v>48.208871420550253</v>
      </c>
      <c r="H62" s="1438">
        <f t="shared" si="165"/>
        <v>50.590621644195203</v>
      </c>
      <c r="I62" s="1438">
        <f t="shared" si="165"/>
        <v>51.5780554967168</v>
      </c>
      <c r="J62" s="1438">
        <f t="shared" si="165"/>
        <v>62.439269559390183</v>
      </c>
      <c r="K62" s="1438">
        <f t="shared" si="165"/>
        <v>59.228971962616825</v>
      </c>
      <c r="L62" s="1438">
        <f t="shared" si="165"/>
        <v>45.806783144912643</v>
      </c>
      <c r="M62" s="1438">
        <f t="shared" si="165"/>
        <v>27.51256281407035</v>
      </c>
      <c r="N62" s="1438">
        <f t="shared" si="165"/>
        <v>39.910239361702125</v>
      </c>
      <c r="O62" s="1438">
        <f t="shared" si="165"/>
        <v>45.119793084671933</v>
      </c>
      <c r="P62" s="1438">
        <f t="shared" si="165"/>
        <v>42.691508998615596</v>
      </c>
      <c r="Q62" s="1438">
        <f t="shared" si="165"/>
        <v>41.828422876949737</v>
      </c>
      <c r="R62" s="1438">
        <f t="shared" si="165"/>
        <v>39.616858237547895</v>
      </c>
      <c r="S62" s="1438">
        <f t="shared" si="165"/>
        <v>58.02556818181818</v>
      </c>
      <c r="T62" s="1438">
        <f t="shared" si="165"/>
        <v>41.747617940971416</v>
      </c>
      <c r="U62" s="1438">
        <f t="shared" si="165"/>
        <v>41.086094880071919</v>
      </c>
      <c r="V62" s="1438">
        <f t="shared" si="165"/>
        <v>37.335237971560289</v>
      </c>
      <c r="W62" s="1438">
        <f t="shared" si="165"/>
        <v>39.867446034887465</v>
      </c>
      <c r="X62" s="1438">
        <f t="shared" si="165"/>
        <v>37.031291384464041</v>
      </c>
      <c r="Y62" s="1438">
        <f t="shared" si="165"/>
        <v>38</v>
      </c>
      <c r="Z62" s="1438">
        <f t="shared" si="165"/>
        <v>38.000000000000007</v>
      </c>
      <c r="AA62" s="1438">
        <f t="shared" si="165"/>
        <v>38</v>
      </c>
      <c r="AB62" s="1438">
        <f t="shared" si="165"/>
        <v>38</v>
      </c>
      <c r="AC62" s="1438">
        <f t="shared" si="165"/>
        <v>38</v>
      </c>
      <c r="AD62" s="1438">
        <f t="shared" ref="AD62:AE62" si="166">AD33/AD32*100</f>
        <v>37.999999999999993</v>
      </c>
      <c r="AE62" s="1438">
        <f t="shared" si="166"/>
        <v>38</v>
      </c>
      <c r="AF62" s="1438">
        <f t="shared" ref="AF62:AH62" si="167">AF33/AF32*100</f>
        <v>38</v>
      </c>
      <c r="AG62" s="1438">
        <f t="shared" si="167"/>
        <v>38</v>
      </c>
      <c r="AH62" s="1958">
        <f t="shared" si="167"/>
        <v>38</v>
      </c>
      <c r="AI62" s="1438">
        <f t="shared" ref="AI62" si="168">AI33/AI32*100</f>
        <v>27.135439751788766</v>
      </c>
      <c r="AJ62" s="1958">
        <f t="shared" ref="AJ62" si="169">AJ33/AJ32*100</f>
        <v>38.000000000000007</v>
      </c>
      <c r="AK62" s="1439">
        <f>AK33/AK32*100</f>
        <v>23.085401979470458</v>
      </c>
      <c r="AL62" s="1438">
        <f>AL33/AL32*100</f>
        <v>23.004694835680752</v>
      </c>
      <c r="AM62" s="1438">
        <f t="shared" ref="AM62:AN62" si="170">AM33/AM32*100</f>
        <v>22.953216374269005</v>
      </c>
      <c r="AN62" s="1438">
        <f t="shared" si="170"/>
        <v>22.946175637393768</v>
      </c>
      <c r="AO62" s="1438">
        <f t="shared" ref="AO62" si="171">AO33/AO32*100</f>
        <v>23.03448275862069</v>
      </c>
      <c r="AP62" s="1438">
        <f t="shared" ref="AP62" si="172">AP33/AP32*100</f>
        <v>22.994652406417114</v>
      </c>
      <c r="AQ62" s="1420"/>
      <c r="AR62" s="1420"/>
      <c r="AS62" s="1420"/>
      <c r="AT62" s="1420"/>
      <c r="AU62" s="1420"/>
      <c r="AV62" s="1420"/>
      <c r="AW62" s="1420"/>
      <c r="AX62" s="1420"/>
      <c r="AY62" s="1420"/>
      <c r="AZ62" s="1420"/>
      <c r="BA62" s="1420"/>
      <c r="BB62" s="1420"/>
      <c r="BC62" s="1420"/>
      <c r="BD62" s="1420"/>
      <c r="BE62" s="1420"/>
      <c r="BF62" s="1420"/>
      <c r="BG62" s="1420"/>
      <c r="BH62" s="1420"/>
      <c r="BI62" s="1420"/>
      <c r="BJ62" s="1420"/>
      <c r="BK62" s="1420"/>
      <c r="BL62" s="1420"/>
      <c r="BM62" s="1420"/>
    </row>
    <row r="63" spans="1:65">
      <c r="B63" s="1338"/>
    </row>
    <row r="64" spans="1:65">
      <c r="B64" s="1338" t="s">
        <v>1010</v>
      </c>
      <c r="C64" s="1" t="s">
        <v>469</v>
      </c>
    </row>
    <row r="65" spans="1:65">
      <c r="A65" s="1405"/>
      <c r="B65" s="1429" t="s">
        <v>1011</v>
      </c>
      <c r="C65" s="1430" t="s">
        <v>282</v>
      </c>
      <c r="D65" s="1431" t="e">
        <f>(D12/#REF!-1)*100</f>
        <v>#REF!</v>
      </c>
      <c r="E65" s="1431">
        <f t="shared" ref="E65:AP65" si="173">(E12/D12-1)*100</f>
        <v>1.5652428320655387</v>
      </c>
      <c r="F65" s="1431">
        <f t="shared" si="173"/>
        <v>5.5734792836910074</v>
      </c>
      <c r="G65" s="1431">
        <f t="shared" si="173"/>
        <v>10.9695814896839</v>
      </c>
      <c r="H65" s="1431">
        <f t="shared" si="173"/>
        <v>7.9005495428672079</v>
      </c>
      <c r="I65" s="1431">
        <f t="shared" si="173"/>
        <v>16.055450056969246</v>
      </c>
      <c r="J65" s="1431">
        <f t="shared" si="173"/>
        <v>2.8415375653687791</v>
      </c>
      <c r="K65" s="1431">
        <f t="shared" si="173"/>
        <v>-3.6390597504590172</v>
      </c>
      <c r="L65" s="1431">
        <f t="shared" si="173"/>
        <v>2.3119268478738242</v>
      </c>
      <c r="M65" s="1431">
        <f t="shared" si="173"/>
        <v>2.9736429304568324</v>
      </c>
      <c r="N65" s="1431">
        <f t="shared" si="173"/>
        <v>2.2878367577225056</v>
      </c>
      <c r="O65" s="1431">
        <f t="shared" si="173"/>
        <v>-2.1330906371999192</v>
      </c>
      <c r="P65" s="1431">
        <f t="shared" si="173"/>
        <v>-2.8433837550450369</v>
      </c>
      <c r="Q65" s="1431">
        <f t="shared" si="173"/>
        <v>-0.88013870805563332</v>
      </c>
      <c r="R65" s="1431">
        <f t="shared" si="173"/>
        <v>5.8908639261805007</v>
      </c>
      <c r="S65" s="1431">
        <f t="shared" si="173"/>
        <v>-1.3273806416747802</v>
      </c>
      <c r="T65" s="1431">
        <f t="shared" si="173"/>
        <v>-2.0575312114913036</v>
      </c>
      <c r="U65" s="1431">
        <f t="shared" si="173"/>
        <v>2.3253818976692209</v>
      </c>
      <c r="V65" s="1431">
        <f t="shared" si="173"/>
        <v>-2.0884112735707006</v>
      </c>
      <c r="W65" s="1431">
        <f t="shared" si="173"/>
        <v>-2.9891830010433273</v>
      </c>
      <c r="X65" s="1431">
        <f t="shared" si="173"/>
        <v>4.9285576523890873</v>
      </c>
      <c r="Y65" s="1431">
        <f t="shared" si="173"/>
        <v>7.3332959487582006</v>
      </c>
      <c r="Z65" s="1431">
        <f t="shared" si="173"/>
        <v>8.0411694874422004</v>
      </c>
      <c r="AA65" s="1431">
        <f t="shared" si="173"/>
        <v>2.4423006144034254</v>
      </c>
      <c r="AB65" s="1431">
        <f t="shared" si="173"/>
        <v>0.58664330932911568</v>
      </c>
      <c r="AC65" s="1432">
        <f t="shared" si="173"/>
        <v>-0.34179878454162482</v>
      </c>
      <c r="AD65" s="1432">
        <f t="shared" si="173"/>
        <v>1.7132856156212739</v>
      </c>
      <c r="AE65" s="1432">
        <f t="shared" si="173"/>
        <v>3.190096631404038</v>
      </c>
      <c r="AF65" s="1432">
        <f t="shared" si="173"/>
        <v>3.8634097706879311</v>
      </c>
      <c r="AG65" s="1432">
        <f t="shared" si="173"/>
        <v>1.2239020878329843</v>
      </c>
      <c r="AH65" s="1959">
        <f>(AH12/AG12-1)*100</f>
        <v>-19.084874348032244</v>
      </c>
      <c r="AI65" s="1432">
        <f>(AI12/AG12-1)*100</f>
        <v>-14.295874822190612</v>
      </c>
      <c r="AJ65" s="1959">
        <f>(AJ12/AI12-1)*100</f>
        <v>1.604426002766246</v>
      </c>
      <c r="AK65" s="1440">
        <f>(AK12/AI12-1)*100</f>
        <v>20.549377593360994</v>
      </c>
      <c r="AL65" s="1432">
        <f t="shared" si="173"/>
        <v>10.260540724116884</v>
      </c>
      <c r="AM65" s="1432">
        <f t="shared" si="173"/>
        <v>3.2466181061394428</v>
      </c>
      <c r="AN65" s="1432">
        <f t="shared" si="173"/>
        <v>3.0034267284821503</v>
      </c>
      <c r="AO65" s="1432">
        <f t="shared" si="173"/>
        <v>3.1898238747553709</v>
      </c>
      <c r="AP65" s="1432">
        <f t="shared" si="173"/>
        <v>2.8636449838801425</v>
      </c>
      <c r="AQ65" s="1420"/>
      <c r="AR65" s="1420"/>
      <c r="AS65" s="1420"/>
      <c r="AT65" s="1420"/>
      <c r="AU65" s="1420"/>
      <c r="AV65" s="1420"/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</row>
    <row r="66" spans="1:65">
      <c r="A66" s="1405"/>
      <c r="B66" s="1406" t="s">
        <v>1007</v>
      </c>
      <c r="C66" s="1405" t="s">
        <v>190</v>
      </c>
      <c r="D66" s="1420" t="e">
        <f>(D23/#REF!-1)*100</f>
        <v>#REF!</v>
      </c>
      <c r="E66" s="1420">
        <f t="shared" ref="E66:AP66" si="174">(E23/D23-1)*100</f>
        <v>-23.198954833893247</v>
      </c>
      <c r="F66" s="1420">
        <f t="shared" si="174"/>
        <v>13.803159173754565</v>
      </c>
      <c r="G66" s="1420">
        <f t="shared" si="174"/>
        <v>6.7264573991031362</v>
      </c>
      <c r="H66" s="1420">
        <f t="shared" si="174"/>
        <v>-35.114045618247303</v>
      </c>
      <c r="I66" s="1420">
        <f t="shared" si="174"/>
        <v>49.537465309898245</v>
      </c>
      <c r="J66" s="1420">
        <f t="shared" si="174"/>
        <v>-9.6298587483245708</v>
      </c>
      <c r="K66" s="1420">
        <f t="shared" si="174"/>
        <v>38.528237307472899</v>
      </c>
      <c r="L66" s="1420">
        <f t="shared" si="174"/>
        <v>31.699884697743364</v>
      </c>
      <c r="M66" s="1420">
        <f t="shared" si="174"/>
        <v>1.907322869113881</v>
      </c>
      <c r="N66" s="1420">
        <f t="shared" si="174"/>
        <v>1.2395679921453073</v>
      </c>
      <c r="O66" s="1420">
        <f t="shared" si="174"/>
        <v>17.559704206570494</v>
      </c>
      <c r="P66" s="1420">
        <f t="shared" si="174"/>
        <v>-3.8721319927816467</v>
      </c>
      <c r="Q66" s="1420">
        <f t="shared" si="174"/>
        <v>8.5872130444110795</v>
      </c>
      <c r="R66" s="1420">
        <f t="shared" si="174"/>
        <v>-1.5312422820449534</v>
      </c>
      <c r="S66" s="1420">
        <f t="shared" si="174"/>
        <v>-1.8309505894156031</v>
      </c>
      <c r="T66" s="1420">
        <f t="shared" si="174"/>
        <v>3.3316300459887538</v>
      </c>
      <c r="U66" s="1420">
        <f t="shared" si="174"/>
        <v>23.518939768568892</v>
      </c>
      <c r="V66" s="1420">
        <f t="shared" si="174"/>
        <v>24.593642405316672</v>
      </c>
      <c r="W66" s="1420">
        <f t="shared" si="174"/>
        <v>-17.062433726422675</v>
      </c>
      <c r="X66" s="1420">
        <f t="shared" si="174"/>
        <v>-1.1506721940258036</v>
      </c>
      <c r="Y66" s="1420">
        <f t="shared" si="174"/>
        <v>16.104883593321318</v>
      </c>
      <c r="Z66" s="1420">
        <f t="shared" si="174"/>
        <v>3.2812341761469188</v>
      </c>
      <c r="AA66" s="1420">
        <f t="shared" si="174"/>
        <v>-17.832979244974666</v>
      </c>
      <c r="AB66" s="1420">
        <f t="shared" si="174"/>
        <v>11.106249254146938</v>
      </c>
      <c r="AC66" s="1420">
        <f t="shared" si="174"/>
        <v>5.348895492463579</v>
      </c>
      <c r="AD66" s="1420">
        <f t="shared" si="174"/>
        <v>-7.7417162276975375</v>
      </c>
      <c r="AE66" s="1420">
        <f t="shared" si="174"/>
        <v>-11.592441153718646</v>
      </c>
      <c r="AF66" s="1420">
        <f t="shared" si="174"/>
        <v>19.583333333333329</v>
      </c>
      <c r="AG66" s="1420">
        <f t="shared" si="174"/>
        <v>29.268292682926834</v>
      </c>
      <c r="AH66" s="1954">
        <f>(AH23/AG23-1)*100</f>
        <v>-3.2345013477088957</v>
      </c>
      <c r="AI66" s="1420">
        <f>(AI23/AG23-1)*100</f>
        <v>-19.854447439353095</v>
      </c>
      <c r="AJ66" s="1954">
        <f>(AJ23/AI23-1)*100</f>
        <v>-25.132844555054824</v>
      </c>
      <c r="AK66" s="1435">
        <f>(AK23/AI23-1)*100</f>
        <v>35.632609134324333</v>
      </c>
      <c r="AL66" s="1420">
        <f t="shared" si="174"/>
        <v>47.536512187259781</v>
      </c>
      <c r="AM66" s="1420">
        <f t="shared" si="174"/>
        <v>7.5630252100840289</v>
      </c>
      <c r="AN66" s="1420">
        <f t="shared" si="174"/>
        <v>3.2812499999999911</v>
      </c>
      <c r="AO66" s="1420">
        <f t="shared" si="174"/>
        <v>2.8744326777609741</v>
      </c>
      <c r="AP66" s="1420">
        <f t="shared" si="174"/>
        <v>3.2352941176470695</v>
      </c>
      <c r="AQ66" s="1420"/>
      <c r="AR66" s="1420"/>
      <c r="AS66" s="1420"/>
      <c r="AT66" s="1420"/>
      <c r="AU66" s="1420"/>
      <c r="AV66" s="1420"/>
      <c r="AW66" s="1420"/>
      <c r="AX66" s="1420"/>
      <c r="AY66" s="1420"/>
      <c r="AZ66" s="1420"/>
      <c r="BA66" s="1420"/>
      <c r="BB66" s="1420"/>
      <c r="BC66" s="1420"/>
      <c r="BD66" s="1420"/>
      <c r="BE66" s="1420"/>
      <c r="BF66" s="1420"/>
      <c r="BG66" s="1420"/>
      <c r="BH66" s="1420"/>
      <c r="BI66" s="1420"/>
      <c r="BJ66" s="1420"/>
      <c r="BK66" s="1420"/>
      <c r="BL66" s="1420"/>
      <c r="BM66" s="1420"/>
    </row>
    <row r="67" spans="1:65">
      <c r="A67" s="1405"/>
      <c r="B67" s="1406" t="s">
        <v>1145</v>
      </c>
      <c r="C67" s="1405" t="s">
        <v>233</v>
      </c>
      <c r="D67" s="1420" t="e">
        <f>(D29/#REF!-1)*100</f>
        <v>#REF!</v>
      </c>
      <c r="E67" s="1420">
        <f t="shared" ref="E67:AP67" si="175">(E29/D29-1)*100</f>
        <v>-10.687229437229441</v>
      </c>
      <c r="F67" s="1420">
        <f t="shared" si="175"/>
        <v>4.3118246995859755</v>
      </c>
      <c r="G67" s="1420">
        <f t="shared" si="175"/>
        <v>1.1035818005808329</v>
      </c>
      <c r="H67" s="1420">
        <f t="shared" si="175"/>
        <v>-25.44044427422444</v>
      </c>
      <c r="I67" s="1420">
        <f t="shared" si="175"/>
        <v>31.064594837549752</v>
      </c>
      <c r="J67" s="1420">
        <f t="shared" si="175"/>
        <v>-16.960611405055847</v>
      </c>
      <c r="K67" s="1420">
        <f t="shared" si="175"/>
        <v>30.383480825958699</v>
      </c>
      <c r="L67" s="1420">
        <f t="shared" si="175"/>
        <v>35.384615384615394</v>
      </c>
      <c r="M67" s="1420">
        <f t="shared" si="175"/>
        <v>7.9679144385026657</v>
      </c>
      <c r="N67" s="1420">
        <f t="shared" si="175"/>
        <v>0.40861812778603124</v>
      </c>
      <c r="O67" s="1420">
        <f t="shared" si="175"/>
        <v>16.974966087063748</v>
      </c>
      <c r="P67" s="1420">
        <f t="shared" si="175"/>
        <v>-4.5016077170418001</v>
      </c>
      <c r="Q67" s="1420">
        <f t="shared" si="175"/>
        <v>11.823149528067557</v>
      </c>
      <c r="R67" s="1420">
        <f t="shared" si="175"/>
        <v>4.4029813909867155</v>
      </c>
      <c r="S67" s="1420">
        <f t="shared" si="175"/>
        <v>1.8675239941373878</v>
      </c>
      <c r="T67" s="1420">
        <f t="shared" si="175"/>
        <v>4.9986076301865801</v>
      </c>
      <c r="U67" s="1420">
        <f t="shared" si="175"/>
        <v>18.092207045926713</v>
      </c>
      <c r="V67" s="1420">
        <f t="shared" si="175"/>
        <v>21.818385985926049</v>
      </c>
      <c r="W67" s="1420">
        <f t="shared" si="175"/>
        <v>-16.451067752342908</v>
      </c>
      <c r="X67" s="1420">
        <f t="shared" si="175"/>
        <v>-0.74289286896399576</v>
      </c>
      <c r="Y67" s="1420">
        <f t="shared" si="175"/>
        <v>5.116899477564929</v>
      </c>
      <c r="Z67" s="1420">
        <f t="shared" si="175"/>
        <v>3.426154388438496</v>
      </c>
      <c r="AA67" s="1420">
        <f t="shared" si="175"/>
        <v>-18.594506168631998</v>
      </c>
      <c r="AB67" s="1420">
        <f t="shared" si="175"/>
        <v>11.688855396466558</v>
      </c>
      <c r="AC67" s="1420">
        <f t="shared" si="175"/>
        <v>5.6001199490216758</v>
      </c>
      <c r="AD67" s="1420">
        <f t="shared" si="175"/>
        <v>-8.0860428794547801</v>
      </c>
      <c r="AE67" s="1420">
        <f t="shared" si="175"/>
        <v>-12.15339460878968</v>
      </c>
      <c r="AF67" s="1420">
        <f t="shared" si="175"/>
        <v>20.66206532729591</v>
      </c>
      <c r="AG67" s="1420">
        <f t="shared" si="175"/>
        <v>30.604437643458304</v>
      </c>
      <c r="AH67" s="1954">
        <f>(AH29/AG29-1)*100</f>
        <v>-3.3475604653109059</v>
      </c>
      <c r="AI67" s="1420">
        <f>(AI29/AG29-1)*100</f>
        <v>-11.205958657628257</v>
      </c>
      <c r="AJ67" s="1954">
        <f>(AJ29/AI29-1)*100</f>
        <v>-22.346842601319505</v>
      </c>
      <c r="AK67" s="1435">
        <f>(AK29/AI29-1)*100</f>
        <v>37.364121897580894</v>
      </c>
      <c r="AL67" s="1420">
        <f t="shared" si="175"/>
        <v>46.376049218946555</v>
      </c>
      <c r="AM67" s="1420">
        <f t="shared" si="175"/>
        <v>7.03125</v>
      </c>
      <c r="AN67" s="1420">
        <f t="shared" si="175"/>
        <v>3.2116788321167933</v>
      </c>
      <c r="AO67" s="1420">
        <f t="shared" si="175"/>
        <v>2.6874115983026803</v>
      </c>
      <c r="AP67" s="1420">
        <f t="shared" si="175"/>
        <v>3.1680440771349794</v>
      </c>
      <c r="AQ67" s="1420"/>
      <c r="AR67" s="1420"/>
      <c r="AS67" s="1420"/>
      <c r="AT67" s="1420"/>
      <c r="AU67" s="1420"/>
      <c r="AV67" s="1420"/>
      <c r="AW67" s="1420"/>
      <c r="AX67" s="1420"/>
      <c r="AY67" s="1420"/>
      <c r="AZ67" s="1420"/>
      <c r="BA67" s="1420"/>
      <c r="BB67" s="1420"/>
      <c r="BC67" s="1420"/>
      <c r="BD67" s="1420"/>
      <c r="BE67" s="1420"/>
      <c r="BF67" s="1420"/>
      <c r="BG67" s="1420"/>
      <c r="BH67" s="1420"/>
      <c r="BI67" s="1420"/>
      <c r="BJ67" s="1420"/>
      <c r="BK67" s="1420"/>
      <c r="BL67" s="1420"/>
      <c r="BM67" s="1420"/>
    </row>
    <row r="68" spans="1:65">
      <c r="A68" s="1405"/>
      <c r="B68" s="1436" t="s">
        <v>1008</v>
      </c>
      <c r="C68" s="1437" t="s">
        <v>468</v>
      </c>
      <c r="D68" s="1438" t="e">
        <f>(D35/#REF!-1)*100</f>
        <v>#REF!</v>
      </c>
      <c r="E68" s="1438">
        <f t="shared" ref="E68:AP68" si="176">(E35/D35-1)*100</f>
        <v>78.367897487776077</v>
      </c>
      <c r="F68" s="1438">
        <f t="shared" si="176"/>
        <v>-46.459967860856409</v>
      </c>
      <c r="G68" s="1438">
        <f t="shared" si="176"/>
        <v>-19.067796610169495</v>
      </c>
      <c r="H68" s="1438">
        <f t="shared" si="176"/>
        <v>-9.9694589877835966</v>
      </c>
      <c r="I68" s="1438">
        <f t="shared" si="176"/>
        <v>6.5665132057184383</v>
      </c>
      <c r="J68" s="1438">
        <f t="shared" si="176"/>
        <v>-53.001364256480208</v>
      </c>
      <c r="K68" s="1438">
        <f t="shared" si="176"/>
        <v>67.5858732462506</v>
      </c>
      <c r="L68" s="1438">
        <f t="shared" si="176"/>
        <v>38.01963048498844</v>
      </c>
      <c r="M68" s="1438">
        <f t="shared" si="176"/>
        <v>-82.388621627274631</v>
      </c>
      <c r="N68" s="1438">
        <f t="shared" si="176"/>
        <v>668.88361045130637</v>
      </c>
      <c r="O68" s="1438">
        <f t="shared" si="176"/>
        <v>14.241581711461237</v>
      </c>
      <c r="P68" s="1438">
        <f t="shared" si="176"/>
        <v>22.782585181179016</v>
      </c>
      <c r="Q68" s="1438">
        <f t="shared" si="176"/>
        <v>31.78064089857946</v>
      </c>
      <c r="R68" s="1438">
        <f t="shared" si="176"/>
        <v>15.425754157265814</v>
      </c>
      <c r="S68" s="1438">
        <f t="shared" si="176"/>
        <v>-55.288496344023756</v>
      </c>
      <c r="T68" s="1438">
        <f t="shared" si="176"/>
        <v>84.294041450777215</v>
      </c>
      <c r="U68" s="1438">
        <f t="shared" si="176"/>
        <v>21.498857845721318</v>
      </c>
      <c r="V68" s="1438">
        <f t="shared" si="176"/>
        <v>33.820232844023423</v>
      </c>
      <c r="W68" s="1438">
        <f t="shared" si="176"/>
        <v>-32.913649627147954</v>
      </c>
      <c r="X68" s="1438">
        <f t="shared" si="176"/>
        <v>38.2601691502215</v>
      </c>
      <c r="Y68" s="1438">
        <f t="shared" si="176"/>
        <v>-6.3244975240314467</v>
      </c>
      <c r="Z68" s="1438">
        <f t="shared" si="176"/>
        <v>3.7479010410836233</v>
      </c>
      <c r="AA68" s="1438">
        <f t="shared" si="176"/>
        <v>-20.277615927068883</v>
      </c>
      <c r="AB68" s="1438">
        <f t="shared" si="176"/>
        <v>13.016003825759515</v>
      </c>
      <c r="AC68" s="1438">
        <f t="shared" si="176"/>
        <v>6.1627266412780379</v>
      </c>
      <c r="AD68" s="1438">
        <f t="shared" si="176"/>
        <v>-8.8512368518685598</v>
      </c>
      <c r="AE68" s="1438">
        <f t="shared" si="176"/>
        <v>-13.415170775040098</v>
      </c>
      <c r="AF68" s="1438">
        <f t="shared" si="176"/>
        <v>23.1395823440381</v>
      </c>
      <c r="AG68" s="1438">
        <f t="shared" si="176"/>
        <v>33.584529449015108</v>
      </c>
      <c r="AH68" s="1958">
        <f>(AH35/AG35-1)*100</f>
        <v>-3.5915760163822252</v>
      </c>
      <c r="AI68" s="1438">
        <f>(AI35/AG35-1)*100</f>
        <v>8.2058822677519849</v>
      </c>
      <c r="AJ68" s="1958">
        <f>(AJ35/AI35-1)*100</f>
        <v>-38.369217042159278</v>
      </c>
      <c r="AK68" s="1439">
        <f>(AK35/AI35-1)*100</f>
        <v>47.784965424938662</v>
      </c>
      <c r="AL68" s="1438">
        <f t="shared" si="176"/>
        <v>47.316307432228456</v>
      </c>
      <c r="AM68" s="1438">
        <f t="shared" si="176"/>
        <v>7.1721311475409832</v>
      </c>
      <c r="AN68" s="1438">
        <f t="shared" si="176"/>
        <v>3.2504780114722687</v>
      </c>
      <c r="AO68" s="1438">
        <f t="shared" si="176"/>
        <v>2.5925925925925908</v>
      </c>
      <c r="AP68" s="1438">
        <f t="shared" si="176"/>
        <v>3.2490974729241895</v>
      </c>
      <c r="AQ68" s="1420"/>
      <c r="AR68" s="1420"/>
      <c r="AS68" s="1420"/>
      <c r="AT68" s="1420"/>
      <c r="AU68" s="1420"/>
      <c r="AV68" s="1420"/>
      <c r="AW68" s="1420"/>
      <c r="AX68" s="1420"/>
      <c r="AY68" s="1420"/>
      <c r="AZ68" s="1420"/>
      <c r="BA68" s="1420"/>
      <c r="BB68" s="1420"/>
      <c r="BC68" s="1420"/>
      <c r="BD68" s="1420"/>
      <c r="BE68" s="1420"/>
      <c r="BF68" s="1420"/>
      <c r="BG68" s="1420"/>
      <c r="BH68" s="1420"/>
      <c r="BI68" s="1420"/>
      <c r="BJ68" s="1420"/>
      <c r="BK68" s="1420"/>
      <c r="BL68" s="1420"/>
      <c r="BM68" s="1420"/>
    </row>
    <row r="69" spans="1:65">
      <c r="B69" s="1338"/>
      <c r="AK69" s="1526"/>
    </row>
    <row r="70" spans="1:65" ht="11.5">
      <c r="B70" s="1901" t="s">
        <v>666</v>
      </c>
      <c r="C70" s="1902" t="s">
        <v>588</v>
      </c>
      <c r="D70" s="1902"/>
      <c r="E70" s="1902"/>
      <c r="F70" s="1902"/>
      <c r="G70" s="1902"/>
      <c r="H70" s="1902"/>
      <c r="I70" s="1902"/>
      <c r="J70" s="1902"/>
      <c r="K70" s="1902"/>
      <c r="L70" s="1902"/>
      <c r="M70" s="1902"/>
      <c r="N70" s="1902"/>
      <c r="O70" s="1902"/>
      <c r="P70" s="1902"/>
      <c r="Q70" s="1902"/>
      <c r="R70" s="1902"/>
      <c r="S70" s="1902"/>
      <c r="T70" s="1902"/>
      <c r="U70" s="1902"/>
      <c r="V70" s="1902"/>
      <c r="W70" s="1902"/>
      <c r="X70" s="1902"/>
      <c r="Y70" s="1902"/>
      <c r="Z70" s="1902"/>
      <c r="AA70" s="1902"/>
      <c r="AB70" s="1902"/>
      <c r="AC70" s="1902"/>
      <c r="AD70" s="1902"/>
      <c r="AE70" s="1902"/>
      <c r="AF70" s="1902"/>
      <c r="AG70" s="1902"/>
      <c r="AH70" s="1960"/>
      <c r="AI70" s="1902"/>
      <c r="AJ70" s="1960"/>
      <c r="AK70" s="1903"/>
      <c r="AL70" s="1902"/>
      <c r="AM70" s="1902"/>
      <c r="AN70" s="1902"/>
      <c r="AO70" s="1902"/>
      <c r="AP70" s="1902"/>
    </row>
    <row r="71" spans="1:65">
      <c r="B71" s="1906" t="s">
        <v>642</v>
      </c>
      <c r="C71" s="1487" t="s">
        <v>550</v>
      </c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  <c r="R71" s="1487"/>
      <c r="S71" s="1907">
        <v>46385</v>
      </c>
      <c r="T71" s="1487"/>
      <c r="U71" s="1489"/>
      <c r="V71" s="1489">
        <v>33376</v>
      </c>
      <c r="W71" s="1489">
        <v>33355</v>
      </c>
      <c r="X71" s="1489">
        <v>32555</v>
      </c>
      <c r="Y71" s="1489">
        <v>32361</v>
      </c>
      <c r="Z71" s="1489">
        <v>33400</v>
      </c>
      <c r="AA71" s="1489">
        <v>34514</v>
      </c>
      <c r="AB71" s="1489">
        <v>33075</v>
      </c>
      <c r="AC71" s="1489">
        <v>31413</v>
      </c>
      <c r="AD71" s="1489">
        <v>32021</v>
      </c>
      <c r="AE71" s="1489">
        <v>30000</v>
      </c>
      <c r="AF71" s="1489">
        <v>29900</v>
      </c>
      <c r="AG71" s="1489">
        <v>25700</v>
      </c>
      <c r="AH71" s="1961">
        <v>25000</v>
      </c>
      <c r="AI71" s="1489">
        <f>+Quarterly!IR8</f>
        <v>25000</v>
      </c>
      <c r="AJ71" s="1961">
        <f>ROUND(AI71*1.08,-2)</f>
        <v>27000</v>
      </c>
      <c r="AK71" s="1490">
        <f>+Quarterly!JD8</f>
        <v>28526</v>
      </c>
      <c r="AL71" s="2042">
        <f>ROUND(AK71*1.05,-2)</f>
        <v>30000</v>
      </c>
      <c r="AM71" s="2042">
        <f>ROUND(AL71*1.04,-2)</f>
        <v>31200</v>
      </c>
      <c r="AN71" s="2042">
        <f>ROUND(AM71*1.04,-2)</f>
        <v>32400</v>
      </c>
      <c r="AO71" s="2042">
        <f>ROUND(AN71*1.04,-2)</f>
        <v>33700</v>
      </c>
      <c r="AP71" s="2042">
        <f>ROUND(AO71*1.035,-2)</f>
        <v>34900</v>
      </c>
      <c r="AQ71" s="367"/>
      <c r="AR71" s="367">
        <f>+Quarterly!KH8</f>
        <v>29800</v>
      </c>
      <c r="AS71" s="367"/>
      <c r="AT71" s="367">
        <f>+Quarterly!KM8</f>
        <v>28000</v>
      </c>
      <c r="AU71" s="367">
        <f>+Quarterly!KW8</f>
        <v>26300</v>
      </c>
    </row>
    <row r="72" spans="1:65" s="1449" customFormat="1">
      <c r="B72" s="1908" t="s">
        <v>1459</v>
      </c>
      <c r="C72" s="1909" t="s">
        <v>1460</v>
      </c>
      <c r="D72" s="1909"/>
      <c r="E72" s="1909"/>
      <c r="F72" s="1909"/>
      <c r="G72" s="1909"/>
      <c r="H72" s="1909"/>
      <c r="I72" s="1909"/>
      <c r="J72" s="1909"/>
      <c r="K72" s="1909"/>
      <c r="L72" s="1909"/>
      <c r="M72" s="1909"/>
      <c r="N72" s="1909"/>
      <c r="O72" s="1909"/>
      <c r="P72" s="1909"/>
      <c r="Q72" s="1909"/>
      <c r="R72" s="1909"/>
      <c r="S72" s="1909"/>
      <c r="T72" s="1909"/>
      <c r="U72" s="1907"/>
      <c r="V72" s="1907"/>
      <c r="W72" s="1910">
        <f t="shared" ref="W72:AP72" si="177">(W71-V71)/V71</f>
        <v>-6.2919463087248318E-4</v>
      </c>
      <c r="X72" s="1910">
        <f t="shared" si="177"/>
        <v>-2.3984410133413282E-2</v>
      </c>
      <c r="Y72" s="1910">
        <f t="shared" si="177"/>
        <v>-5.9591460605129777E-3</v>
      </c>
      <c r="Z72" s="1910">
        <f t="shared" si="177"/>
        <v>3.2106548005315039E-2</v>
      </c>
      <c r="AA72" s="1910">
        <f t="shared" si="177"/>
        <v>3.3353293413173654E-2</v>
      </c>
      <c r="AB72" s="1910">
        <f t="shared" si="177"/>
        <v>-4.1693225937300807E-2</v>
      </c>
      <c r="AC72" s="1910">
        <f>(AC71-AB71)/AB71</f>
        <v>-5.0249433106575966E-2</v>
      </c>
      <c r="AD72" s="1910">
        <f t="shared" si="177"/>
        <v>1.9355044090026422E-2</v>
      </c>
      <c r="AE72" s="1910">
        <f t="shared" si="177"/>
        <v>-6.311483089222697E-2</v>
      </c>
      <c r="AF72" s="1910">
        <f t="shared" si="177"/>
        <v>-3.3333333333333335E-3</v>
      </c>
      <c r="AG72" s="1910">
        <f t="shared" si="177"/>
        <v>-0.14046822742474915</v>
      </c>
      <c r="AH72" s="1962">
        <f>(AH71-AG71)/AG71</f>
        <v>-2.7237354085603113E-2</v>
      </c>
      <c r="AI72" s="1910">
        <f>(AI71-AG71)/AG71</f>
        <v>-2.7237354085603113E-2</v>
      </c>
      <c r="AJ72" s="1962">
        <f>(AJ71-AI71)/AI71</f>
        <v>0.08</v>
      </c>
      <c r="AK72" s="1911">
        <f>(AK71-AI71)/AI71</f>
        <v>0.14104</v>
      </c>
      <c r="AL72" s="1910">
        <f t="shared" si="177"/>
        <v>5.1672158732384489E-2</v>
      </c>
      <c r="AM72" s="1910">
        <f t="shared" si="177"/>
        <v>0.04</v>
      </c>
      <c r="AN72" s="1910">
        <f t="shared" si="177"/>
        <v>3.8461538461538464E-2</v>
      </c>
      <c r="AO72" s="1910">
        <f t="shared" si="177"/>
        <v>4.0123456790123455E-2</v>
      </c>
      <c r="AP72" s="1910">
        <f t="shared" si="177"/>
        <v>3.5608308605341248E-2</v>
      </c>
      <c r="AQ72" s="1441"/>
      <c r="AR72" s="1664">
        <f>+AR71/AK71-1</f>
        <v>4.4661011007501861E-2</v>
      </c>
      <c r="AS72" s="1441"/>
      <c r="AT72" s="1664">
        <f>+AT71/AI71-1</f>
        <v>0.12000000000000011</v>
      </c>
      <c r="AU72" s="1664">
        <f>+AU71/AG71-1</f>
        <v>2.3346303501945442E-2</v>
      </c>
    </row>
    <row r="73" spans="1:65" s="1449" customFormat="1" ht="5.25" customHeight="1">
      <c r="B73" s="1904"/>
      <c r="U73" s="1441"/>
      <c r="V73" s="1441"/>
      <c r="W73" s="1453"/>
      <c r="X73" s="1453"/>
      <c r="Y73" s="1453"/>
      <c r="Z73" s="1453"/>
      <c r="AA73" s="1453"/>
      <c r="AB73" s="1453"/>
      <c r="AC73" s="1453"/>
      <c r="AD73" s="1453"/>
      <c r="AE73" s="1453"/>
      <c r="AF73" s="1453"/>
      <c r="AG73" s="1453"/>
      <c r="AH73" s="1962"/>
      <c r="AI73" s="1453"/>
      <c r="AJ73" s="1962"/>
      <c r="AK73" s="1905"/>
      <c r="AL73" s="1453"/>
      <c r="AM73" s="1453"/>
      <c r="AN73" s="1453"/>
      <c r="AO73" s="1453"/>
      <c r="AP73" s="1453"/>
      <c r="AQ73" s="1441"/>
      <c r="AR73" s="1664"/>
      <c r="AS73" s="1441"/>
      <c r="AT73" s="1664"/>
      <c r="AU73" s="1664"/>
    </row>
    <row r="74" spans="1:65">
      <c r="B74" s="1906" t="s">
        <v>640</v>
      </c>
      <c r="C74" s="1487" t="s">
        <v>549</v>
      </c>
      <c r="D74" s="1487"/>
      <c r="E74" s="1487"/>
      <c r="F74" s="1487"/>
      <c r="G74" s="1487"/>
      <c r="H74" s="1487"/>
      <c r="I74" s="1487"/>
      <c r="J74" s="1487"/>
      <c r="K74" s="1487"/>
      <c r="L74" s="1487"/>
      <c r="M74" s="1487"/>
      <c r="N74" s="1487"/>
      <c r="O74" s="1487"/>
      <c r="P74" s="1487"/>
      <c r="Q74" s="1487"/>
      <c r="R74" s="1487"/>
      <c r="S74" s="1912">
        <v>53086</v>
      </c>
      <c r="T74" s="1487"/>
      <c r="U74" s="1489"/>
      <c r="V74" s="1489">
        <v>59225</v>
      </c>
      <c r="W74" s="1489">
        <v>50191</v>
      </c>
      <c r="X74" s="1489">
        <v>57559</v>
      </c>
      <c r="Y74" s="1489">
        <v>70650</v>
      </c>
      <c r="Z74" s="1489">
        <v>75400</v>
      </c>
      <c r="AA74" s="1489">
        <f>ROUND('maruchan inc'!V95,-2)</f>
        <v>85900</v>
      </c>
      <c r="AB74" s="1489">
        <f>ROUND('maruchan inc'!W95,-2)</f>
        <v>77400</v>
      </c>
      <c r="AC74" s="1489">
        <f>ROUND('maruchan inc'!X95,-2)</f>
        <v>73000</v>
      </c>
      <c r="AD74" s="1489">
        <v>73048</v>
      </c>
      <c r="AE74" s="1489">
        <f>ROUND('maruchan inc'!Z95,-2)</f>
        <v>83900</v>
      </c>
      <c r="AF74" s="1489">
        <f>ROUND('maruchan inc'!AA95,-2)</f>
        <v>89000</v>
      </c>
      <c r="AG74" s="1489">
        <f>ROUND('maruchan inc'!AB95,-2)</f>
        <v>93900</v>
      </c>
      <c r="AH74" s="1961">
        <f>ROUND('maruchan inc'!AB95,-2)</f>
        <v>93900</v>
      </c>
      <c r="AI74" s="1489">
        <f>+Quarterly!IR10</f>
        <v>114200</v>
      </c>
      <c r="AJ74" s="1961">
        <f>ROUND('maruchan inc'!AD95,-2)</f>
        <v>114200</v>
      </c>
      <c r="AK74" s="1490">
        <f>+Quarterly!JD10</f>
        <v>178374</v>
      </c>
      <c r="AL74" s="2042">
        <f>ROUND('maruchan inc'!AG95,-2)</f>
        <v>212800</v>
      </c>
      <c r="AM74" s="2042">
        <f>ROUND('maruchan inc'!AH95,-2)</f>
        <v>223000</v>
      </c>
      <c r="AN74" s="2042">
        <f>ROUND('maruchan inc'!AI95,-2)</f>
        <v>234900</v>
      </c>
      <c r="AO74" s="2042">
        <f>ROUND('maruchan inc'!AJ95,-2)</f>
        <v>247400</v>
      </c>
      <c r="AP74" s="2042">
        <f>ROUND('maruchan inc'!AK95,-2)</f>
        <v>259300</v>
      </c>
      <c r="AQ74" s="367"/>
      <c r="AR74" s="367">
        <f>+Quarterly!KH10</f>
        <v>199500</v>
      </c>
      <c r="AS74" s="367"/>
      <c r="AT74" s="367">
        <f>+Quarterly!KM10</f>
        <v>184000</v>
      </c>
      <c r="AU74" s="367">
        <f>+Quarterly!KW10</f>
        <v>102600</v>
      </c>
    </row>
    <row r="75" spans="1:65" s="1449" customFormat="1">
      <c r="B75" s="1908" t="s">
        <v>1459</v>
      </c>
      <c r="C75" s="1909" t="s">
        <v>1460</v>
      </c>
      <c r="D75" s="1909"/>
      <c r="E75" s="1909"/>
      <c r="F75" s="1909"/>
      <c r="G75" s="1909"/>
      <c r="H75" s="1909"/>
      <c r="I75" s="1909"/>
      <c r="J75" s="1909"/>
      <c r="K75" s="1909"/>
      <c r="L75" s="1909"/>
      <c r="M75" s="1909"/>
      <c r="N75" s="1909"/>
      <c r="O75" s="1909"/>
      <c r="P75" s="1909"/>
      <c r="Q75" s="1909"/>
      <c r="R75" s="1909"/>
      <c r="S75" s="1909"/>
      <c r="T75" s="1909"/>
      <c r="U75" s="1907"/>
      <c r="V75" s="1907"/>
      <c r="W75" s="1910">
        <f t="shared" ref="W75:AP75" si="178">(W74-V74)/V74</f>
        <v>-0.15253693541578725</v>
      </c>
      <c r="X75" s="1910">
        <f t="shared" si="178"/>
        <v>0.1467992269530394</v>
      </c>
      <c r="Y75" s="1910">
        <f t="shared" si="178"/>
        <v>0.22743619590333397</v>
      </c>
      <c r="Z75" s="1910">
        <f t="shared" si="178"/>
        <v>6.723283793347487E-2</v>
      </c>
      <c r="AA75" s="1910">
        <f t="shared" si="178"/>
        <v>0.13925729442970822</v>
      </c>
      <c r="AB75" s="1910">
        <f t="shared" si="178"/>
        <v>-9.8952270081490101E-2</v>
      </c>
      <c r="AC75" s="1910">
        <f t="shared" si="178"/>
        <v>-5.6847545219638244E-2</v>
      </c>
      <c r="AD75" s="1910">
        <f t="shared" si="178"/>
        <v>6.5753424657534248E-4</v>
      </c>
      <c r="AE75" s="1910">
        <f t="shared" si="178"/>
        <v>0.14855985105683933</v>
      </c>
      <c r="AF75" s="1910">
        <f t="shared" si="178"/>
        <v>6.0786650774731825E-2</v>
      </c>
      <c r="AG75" s="1910">
        <f t="shared" si="178"/>
        <v>5.5056179775280899E-2</v>
      </c>
      <c r="AH75" s="1962">
        <f>(AH74-AG74)/AG74</f>
        <v>0</v>
      </c>
      <c r="AI75" s="1910">
        <f>(AI74-AG74)/AG74</f>
        <v>0.2161874334398296</v>
      </c>
      <c r="AJ75" s="1962">
        <f>(AJ74-AI74)/AI74</f>
        <v>0</v>
      </c>
      <c r="AK75" s="1911">
        <f>(AK74-AI74)/AI74</f>
        <v>0.5619439579684764</v>
      </c>
      <c r="AL75" s="1910">
        <f t="shared" si="178"/>
        <v>0.19299897967192528</v>
      </c>
      <c r="AM75" s="1910">
        <f t="shared" si="178"/>
        <v>4.7932330827067667E-2</v>
      </c>
      <c r="AN75" s="1910">
        <f t="shared" si="178"/>
        <v>5.3363228699551568E-2</v>
      </c>
      <c r="AO75" s="1910">
        <f t="shared" si="178"/>
        <v>5.3214133673903791E-2</v>
      </c>
      <c r="AP75" s="1910">
        <f t="shared" si="178"/>
        <v>4.8100242522231204E-2</v>
      </c>
      <c r="AQ75" s="1441"/>
      <c r="AR75" s="1664">
        <f>+AR74/AK74-1</f>
        <v>0.11843654344242993</v>
      </c>
      <c r="AS75" s="1441"/>
      <c r="AT75" s="1664">
        <f>+AT74/AI74-1</f>
        <v>0.6112084063047285</v>
      </c>
      <c r="AU75" s="1664">
        <f>+AU74/AG74-1</f>
        <v>9.2651757188498385E-2</v>
      </c>
    </row>
    <row r="76" spans="1:65" s="1449" customFormat="1" ht="5.25" customHeight="1">
      <c r="B76" s="1904"/>
      <c r="U76" s="1441"/>
      <c r="V76" s="1441"/>
      <c r="W76" s="1453"/>
      <c r="X76" s="1453"/>
      <c r="Y76" s="1453"/>
      <c r="Z76" s="1453"/>
      <c r="AA76" s="1453"/>
      <c r="AB76" s="1453"/>
      <c r="AC76" s="1453"/>
      <c r="AD76" s="1453"/>
      <c r="AE76" s="1453"/>
      <c r="AF76" s="1453"/>
      <c r="AG76" s="1453"/>
      <c r="AH76" s="1962"/>
      <c r="AI76" s="1453"/>
      <c r="AJ76" s="1962"/>
      <c r="AK76" s="1905"/>
      <c r="AL76" s="1453"/>
      <c r="AM76" s="1453"/>
      <c r="AN76" s="1453"/>
      <c r="AO76" s="1453"/>
      <c r="AP76" s="1453"/>
      <c r="AQ76" s="1441"/>
      <c r="AR76" s="1664"/>
      <c r="AS76" s="1441"/>
      <c r="AT76" s="1664"/>
      <c r="AU76" s="1664"/>
    </row>
    <row r="77" spans="1:65">
      <c r="B77" s="1906" t="s">
        <v>638</v>
      </c>
      <c r="C77" s="1487" t="s">
        <v>548</v>
      </c>
      <c r="D77" s="1487"/>
      <c r="E77" s="1487"/>
      <c r="F77" s="1487"/>
      <c r="G77" s="1487"/>
      <c r="H77" s="1487"/>
      <c r="I77" s="1487"/>
      <c r="J77" s="1487"/>
      <c r="K77" s="1487"/>
      <c r="L77" s="1487"/>
      <c r="M77" s="1487"/>
      <c r="N77" s="1487"/>
      <c r="O77" s="1487"/>
      <c r="P77" s="1487"/>
      <c r="Q77" s="1487"/>
      <c r="R77" s="1487"/>
      <c r="S77" s="1913">
        <f>S152-S149-S146-S138-S124-S71-S74</f>
        <v>94053</v>
      </c>
      <c r="T77" s="1487"/>
      <c r="U77" s="1489"/>
      <c r="V77" s="1489">
        <v>97031</v>
      </c>
      <c r="W77" s="1489">
        <v>101755</v>
      </c>
      <c r="X77" s="1489">
        <v>106638</v>
      </c>
      <c r="Y77" s="1489">
        <v>116974</v>
      </c>
      <c r="Z77" s="1489">
        <f t="shared" ref="Z77:AA77" si="179">Z79+Z94</f>
        <v>124800</v>
      </c>
      <c r="AA77" s="1489">
        <f t="shared" si="179"/>
        <v>117400</v>
      </c>
      <c r="AB77" s="1489">
        <f t="shared" ref="AB77:AE77" si="180">AB79+AB94</f>
        <v>123900</v>
      </c>
      <c r="AC77" s="1489">
        <f t="shared" si="180"/>
        <v>126100</v>
      </c>
      <c r="AD77" s="1489">
        <f>AD79+AD94</f>
        <v>129100</v>
      </c>
      <c r="AE77" s="1489">
        <f t="shared" si="180"/>
        <v>127600</v>
      </c>
      <c r="AF77" s="1489">
        <f>AF79+AF94+AF120</f>
        <v>133300</v>
      </c>
      <c r="AG77" s="1489">
        <f>AG79+AG94+AG120+AF120</f>
        <v>134800</v>
      </c>
      <c r="AH77" s="1961">
        <f>AH79+AH94+5000+1000+AH121</f>
        <v>95200</v>
      </c>
      <c r="AI77" s="1489">
        <f>+Quarterly!IR27</f>
        <v>95500</v>
      </c>
      <c r="AJ77" s="1961">
        <f>ROUND(AJ79+AJ94+4500+1000+AJ121+AJ120,-2)</f>
        <v>87300</v>
      </c>
      <c r="AK77" s="1490">
        <f>+Quarterly!JD27</f>
        <v>97635</v>
      </c>
      <c r="AL77" s="1489">
        <f>ROUND(AL79+AL94,-2)</f>
        <v>100400</v>
      </c>
      <c r="AM77" s="1489">
        <f t="shared" ref="AM77:AP77" si="181">ROUND(AM79+AM94,-2)</f>
        <v>101400</v>
      </c>
      <c r="AN77" s="1489">
        <f t="shared" si="181"/>
        <v>101000</v>
      </c>
      <c r="AO77" s="1489">
        <f t="shared" si="181"/>
        <v>101500</v>
      </c>
      <c r="AP77" s="1489">
        <f t="shared" si="181"/>
        <v>101600</v>
      </c>
      <c r="AQ77" s="367"/>
      <c r="AR77" s="367">
        <f>+Quarterly!KH27</f>
        <v>100000</v>
      </c>
      <c r="AS77" s="367"/>
      <c r="AT77" s="367">
        <f>+Quarterly!KM27</f>
        <v>100000</v>
      </c>
      <c r="AU77" s="367">
        <f>+Quarterly!KW27</f>
        <v>96600</v>
      </c>
    </row>
    <row r="78" spans="1:65" s="1449" customFormat="1">
      <c r="B78" s="1908" t="s">
        <v>1459</v>
      </c>
      <c r="C78" s="1909" t="s">
        <v>1460</v>
      </c>
      <c r="D78" s="1909"/>
      <c r="E78" s="1909"/>
      <c r="F78" s="1909"/>
      <c r="G78" s="1909"/>
      <c r="H78" s="1909"/>
      <c r="I78" s="1909"/>
      <c r="J78" s="1909"/>
      <c r="K78" s="1909"/>
      <c r="L78" s="1909"/>
      <c r="M78" s="1909"/>
      <c r="N78" s="1909"/>
      <c r="O78" s="1909"/>
      <c r="P78" s="1909"/>
      <c r="Q78" s="1909"/>
      <c r="R78" s="1909"/>
      <c r="S78" s="1909"/>
      <c r="T78" s="1909"/>
      <c r="U78" s="1907"/>
      <c r="V78" s="1907"/>
      <c r="W78" s="1910">
        <f t="shared" ref="W78:AP78" si="182">(W77-V77)/V77</f>
        <v>4.8685471653389122E-2</v>
      </c>
      <c r="X78" s="1910">
        <f t="shared" si="182"/>
        <v>4.7987813866640458E-2</v>
      </c>
      <c r="Y78" s="1910">
        <f t="shared" si="182"/>
        <v>9.6926048875635329E-2</v>
      </c>
      <c r="Z78" s="1910">
        <f t="shared" si="182"/>
        <v>6.690375639030896E-2</v>
      </c>
      <c r="AA78" s="1910">
        <f t="shared" si="182"/>
        <v>-5.9294871794871792E-2</v>
      </c>
      <c r="AB78" s="1910">
        <f t="shared" si="182"/>
        <v>5.536626916524702E-2</v>
      </c>
      <c r="AC78" s="1910">
        <f>(AC77-AB77)/AB77</f>
        <v>1.7756255044390639E-2</v>
      </c>
      <c r="AD78" s="1910">
        <f t="shared" si="182"/>
        <v>2.3790642347343377E-2</v>
      </c>
      <c r="AE78" s="1910">
        <f t="shared" si="182"/>
        <v>-1.1618900077459334E-2</v>
      </c>
      <c r="AF78" s="1910">
        <f t="shared" si="182"/>
        <v>4.4670846394984323E-2</v>
      </c>
      <c r="AG78" s="1910">
        <f t="shared" si="182"/>
        <v>1.1252813203300824E-2</v>
      </c>
      <c r="AH78" s="1962">
        <f>(AH77-AG77)/AG77</f>
        <v>-0.29376854599406527</v>
      </c>
      <c r="AI78" s="1910">
        <f>(AI77-AG77)/AG77</f>
        <v>-0.29154302670623145</v>
      </c>
      <c r="AJ78" s="1962">
        <f>(AJ77-AI77)/AI77</f>
        <v>-8.5863874345549734E-2</v>
      </c>
      <c r="AK78" s="1911">
        <f>(AK77-AI77)/AI77</f>
        <v>2.2356020942408378E-2</v>
      </c>
      <c r="AL78" s="1910">
        <f t="shared" si="182"/>
        <v>2.8319762380293951E-2</v>
      </c>
      <c r="AM78" s="1910">
        <f t="shared" si="182"/>
        <v>9.9601593625498006E-3</v>
      </c>
      <c r="AN78" s="1910">
        <f t="shared" si="182"/>
        <v>-3.9447731755424065E-3</v>
      </c>
      <c r="AO78" s="1910">
        <f t="shared" si="182"/>
        <v>4.9504950495049506E-3</v>
      </c>
      <c r="AP78" s="1910">
        <f t="shared" si="182"/>
        <v>9.8522167487684722E-4</v>
      </c>
      <c r="AQ78" s="1441"/>
      <c r="AR78" s="1664">
        <f>+AR77/AK77-1</f>
        <v>2.422287089670716E-2</v>
      </c>
      <c r="AS78" s="1441"/>
      <c r="AT78" s="1664">
        <f>+AT77/AI77-1</f>
        <v>4.7120418848167533E-2</v>
      </c>
      <c r="AU78" s="1664">
        <f>+AU77/AG77-1</f>
        <v>-0.28338278931750738</v>
      </c>
    </row>
    <row r="79" spans="1:65">
      <c r="B79" s="1914" t="s">
        <v>1012</v>
      </c>
      <c r="C79" s="1915" t="s">
        <v>587</v>
      </c>
      <c r="D79" s="1915"/>
      <c r="E79" s="1915"/>
      <c r="F79" s="1915"/>
      <c r="G79" s="1915"/>
      <c r="H79" s="1915"/>
      <c r="I79" s="1915"/>
      <c r="J79" s="1915"/>
      <c r="K79" s="1915"/>
      <c r="L79" s="1915"/>
      <c r="M79" s="1915"/>
      <c r="N79" s="1915"/>
      <c r="O79" s="1915"/>
      <c r="P79" s="1915"/>
      <c r="Q79" s="1915"/>
      <c r="R79" s="1915"/>
      <c r="S79" s="1916"/>
      <c r="T79" s="1915"/>
      <c r="U79" s="1917"/>
      <c r="V79" s="1918" t="s">
        <v>518</v>
      </c>
      <c r="W79" s="1917">
        <v>16608</v>
      </c>
      <c r="X79" s="1917">
        <v>19825</v>
      </c>
      <c r="Y79" s="1917">
        <v>31000</v>
      </c>
      <c r="Z79" s="1917">
        <v>35700</v>
      </c>
      <c r="AA79" s="1917">
        <v>25700</v>
      </c>
      <c r="AB79" s="1917">
        <f>ROUND(AB81+AB87+AB93,-2)</f>
        <v>23100</v>
      </c>
      <c r="AC79" s="1917">
        <v>21300</v>
      </c>
      <c r="AD79" s="1917">
        <v>20700</v>
      </c>
      <c r="AE79" s="1917">
        <f>ROUND(AE81+AE87+AE93,-2)</f>
        <v>19800</v>
      </c>
      <c r="AF79" s="1917">
        <f t="shared" ref="AF79:AH79" si="183">ROUND(AF81+AF87+AF93,-2)</f>
        <v>19800</v>
      </c>
      <c r="AG79" s="1917">
        <f t="shared" si="183"/>
        <v>21800</v>
      </c>
      <c r="AH79" s="1961">
        <f t="shared" si="183"/>
        <v>21100</v>
      </c>
      <c r="AI79" s="1917">
        <f>+Quarterly!IR33</f>
        <v>15300</v>
      </c>
      <c r="AJ79" s="1961">
        <f t="shared" ref="AJ79" si="184">ROUND(AJ81+AJ87+AJ93,-2)</f>
        <v>22700</v>
      </c>
      <c r="AK79" s="1919">
        <f>+Quarterly!JD33</f>
        <v>16100</v>
      </c>
      <c r="AL79" s="1917">
        <f>ROUND(AL81+AL87+AL93,-1)</f>
        <v>16380</v>
      </c>
      <c r="AM79" s="1917">
        <f>ROUND(AM81+AM87+AM93,-1)</f>
        <v>16530</v>
      </c>
      <c r="AN79" s="1917">
        <f>ROUND(AN81+AN87+AN93,-1)</f>
        <v>16570</v>
      </c>
      <c r="AO79" s="1917">
        <f>ROUND(AO81+AO87+AO93,-1)</f>
        <v>16620</v>
      </c>
      <c r="AP79" s="1917">
        <f>ROUND(AP81+AP87+AP93,-1)</f>
        <v>16680</v>
      </c>
      <c r="AQ79" s="367"/>
      <c r="AR79" s="367">
        <f>+Quarterly!KH33</f>
        <v>16500</v>
      </c>
      <c r="AS79" s="367"/>
      <c r="AT79" s="367">
        <f>+Quarterly!KM33</f>
        <v>16700</v>
      </c>
      <c r="AU79" s="367">
        <f>+Quarterly!KW33</f>
        <v>15400</v>
      </c>
    </row>
    <row r="80" spans="1:65" s="1449" customFormat="1">
      <c r="B80" s="1920" t="s">
        <v>1459</v>
      </c>
      <c r="C80" s="1916" t="s">
        <v>1460</v>
      </c>
      <c r="D80" s="1916"/>
      <c r="E80" s="1916"/>
      <c r="F80" s="1916"/>
      <c r="G80" s="1916"/>
      <c r="H80" s="1916"/>
      <c r="I80" s="1916"/>
      <c r="J80" s="1916"/>
      <c r="K80" s="1916"/>
      <c r="L80" s="1916"/>
      <c r="M80" s="1916"/>
      <c r="N80" s="1916"/>
      <c r="O80" s="1916"/>
      <c r="P80" s="1916"/>
      <c r="Q80" s="1916"/>
      <c r="R80" s="1916"/>
      <c r="S80" s="1916"/>
      <c r="T80" s="1916"/>
      <c r="U80" s="1921"/>
      <c r="V80" s="1921"/>
      <c r="W80" s="1922" t="e">
        <f t="shared" ref="W80:AG80" si="185">(W79-V79)/V79</f>
        <v>#VALUE!</v>
      </c>
      <c r="X80" s="1922">
        <f t="shared" si="185"/>
        <v>0.19370183044315992</v>
      </c>
      <c r="Y80" s="1922">
        <f t="shared" si="185"/>
        <v>0.56368221941992436</v>
      </c>
      <c r="Z80" s="1922">
        <f t="shared" si="185"/>
        <v>0.15161290322580645</v>
      </c>
      <c r="AA80" s="1922">
        <f t="shared" si="185"/>
        <v>-0.28011204481792717</v>
      </c>
      <c r="AB80" s="1922">
        <f t="shared" si="185"/>
        <v>-0.10116731517509728</v>
      </c>
      <c r="AC80" s="1922">
        <f t="shared" si="185"/>
        <v>-7.792207792207792E-2</v>
      </c>
      <c r="AD80" s="1922">
        <f t="shared" si="185"/>
        <v>-2.8169014084507043E-2</v>
      </c>
      <c r="AE80" s="1922">
        <f t="shared" si="185"/>
        <v>-4.3478260869565216E-2</v>
      </c>
      <c r="AF80" s="1922">
        <f t="shared" si="185"/>
        <v>0</v>
      </c>
      <c r="AG80" s="1922">
        <f t="shared" si="185"/>
        <v>0.10101010101010101</v>
      </c>
      <c r="AH80" s="1962">
        <f>(AH79-AG79)/AG79</f>
        <v>-3.2110091743119268E-2</v>
      </c>
      <c r="AI80" s="1922">
        <f>(AI79-AG79)/AG79</f>
        <v>-0.29816513761467889</v>
      </c>
      <c r="AJ80" s="1962">
        <f>(AJ79-AI79)/AI79</f>
        <v>0.48366013071895425</v>
      </c>
      <c r="AK80" s="1923">
        <f>(AK79-AI79)/AI79</f>
        <v>5.2287581699346407E-2</v>
      </c>
      <c r="AL80" s="1922">
        <f>(AL79-AK79)/AK79</f>
        <v>1.7391304347826087E-2</v>
      </c>
      <c r="AM80" s="1922">
        <f>(AM79-AL79)/AL79</f>
        <v>9.1575091575091579E-3</v>
      </c>
      <c r="AN80" s="1922">
        <f>(AN79-AM79)/AM79</f>
        <v>2.4198427102238356E-3</v>
      </c>
      <c r="AO80" s="1922">
        <f>(AO79-AN79)/AN79</f>
        <v>3.0175015087507543E-3</v>
      </c>
      <c r="AP80" s="1922">
        <f>(AP79-AO79)/AO79</f>
        <v>3.6101083032490976E-3</v>
      </c>
      <c r="AQ80" s="1441"/>
      <c r="AR80" s="1664">
        <f>+AR79/AK79-1</f>
        <v>2.4844720496894457E-2</v>
      </c>
      <c r="AS80" s="1441"/>
      <c r="AT80" s="1664">
        <f>+AT79/AI79-1</f>
        <v>9.1503267973856106E-2</v>
      </c>
      <c r="AU80" s="1664">
        <f>+AU79/AG79-1</f>
        <v>-0.29357798165137616</v>
      </c>
    </row>
    <row r="81" spans="2:47">
      <c r="B81" s="1338" t="s">
        <v>1013</v>
      </c>
      <c r="C81" s="1" t="s">
        <v>583</v>
      </c>
      <c r="S81" s="1449"/>
      <c r="U81" s="367"/>
      <c r="V81" s="367"/>
      <c r="W81" s="367">
        <v>15600</v>
      </c>
      <c r="X81" s="367">
        <v>15025</v>
      </c>
      <c r="Y81" s="367">
        <f>Y79-Y87</f>
        <v>13000</v>
      </c>
      <c r="Z81" s="367">
        <f>Z79-Z87</f>
        <v>11000</v>
      </c>
      <c r="AA81" s="367">
        <f>AA79-AA87</f>
        <v>9600</v>
      </c>
      <c r="AB81" s="367">
        <f t="shared" ref="AB81:AH81" si="186">AB82*AB85/1000</f>
        <v>9242.7906976744198</v>
      </c>
      <c r="AC81" s="367">
        <f>AC79-AC87-AC93</f>
        <v>9500</v>
      </c>
      <c r="AD81" s="367">
        <f>AD82*AD85/1000</f>
        <v>9690</v>
      </c>
      <c r="AE81" s="367">
        <f t="shared" si="186"/>
        <v>9786.9</v>
      </c>
      <c r="AF81" s="367">
        <f t="shared" si="186"/>
        <v>10002.211800000001</v>
      </c>
      <c r="AG81" s="367">
        <f t="shared" si="186"/>
        <v>11002.432980000001</v>
      </c>
      <c r="AH81" s="1961">
        <f t="shared" si="186"/>
        <v>10342.2870012</v>
      </c>
      <c r="AI81" s="367">
        <f>AI82*AI84/1000</f>
        <v>7548.8915168333333</v>
      </c>
      <c r="AJ81" s="1961">
        <f t="shared" ref="AJ81" si="187">AJ82*AJ85/1000</f>
        <v>10243.26510438</v>
      </c>
      <c r="AK81" s="1442">
        <f>AK82*AK84/1000</f>
        <v>7447.2718233374999</v>
      </c>
      <c r="AL81" s="367">
        <f>ROUND(AL82*AL84/1000,-1)</f>
        <v>7590</v>
      </c>
      <c r="AM81" s="367">
        <f>ROUND(AM82*AM84/1000,-1)</f>
        <v>7670</v>
      </c>
      <c r="AN81" s="367">
        <f>ROUND(AN82*AN84/1000,-1)</f>
        <v>7700</v>
      </c>
      <c r="AO81" s="367">
        <f>ROUND(AO82*AO84/1000,-1)</f>
        <v>7740</v>
      </c>
      <c r="AP81" s="367">
        <f>ROUND(AP82*AP84/1000,-1)</f>
        <v>7780</v>
      </c>
      <c r="AQ81" s="367"/>
      <c r="AR81" s="367"/>
      <c r="AS81" s="367"/>
      <c r="AT81" s="367"/>
      <c r="AU81" s="367"/>
    </row>
    <row r="82" spans="2:47">
      <c r="B82" s="1338" t="s">
        <v>1014</v>
      </c>
      <c r="C82" s="1" t="s">
        <v>581</v>
      </c>
      <c r="S82" s="1449"/>
      <c r="U82" s="367"/>
      <c r="V82" s="367"/>
      <c r="W82" s="367">
        <v>184000</v>
      </c>
      <c r="X82" s="367">
        <v>176978</v>
      </c>
      <c r="Y82" s="367">
        <f>Y81/Y85*1000</f>
        <v>152941.17647058822</v>
      </c>
      <c r="Z82" s="367">
        <f>Z81/Z85*1000</f>
        <v>129411.76470588235</v>
      </c>
      <c r="AA82" s="367">
        <f>AA81/AA85*1000</f>
        <v>111627.90697674418</v>
      </c>
      <c r="AB82" s="367">
        <f t="shared" ref="AB82:AG82" si="188">AA82*(1+AB83)</f>
        <v>102697.67441860466</v>
      </c>
      <c r="AC82" s="367">
        <f>AC81/AC85*1000</f>
        <v>105555.55555555556</v>
      </c>
      <c r="AD82" s="367">
        <f t="shared" si="188"/>
        <v>107666.66666666667</v>
      </c>
      <c r="AE82" s="367">
        <f t="shared" si="188"/>
        <v>108743.33333333334</v>
      </c>
      <c r="AF82" s="367">
        <f t="shared" si="188"/>
        <v>111135.68666666668</v>
      </c>
      <c r="AG82" s="367">
        <f t="shared" si="188"/>
        <v>122249.25533333335</v>
      </c>
      <c r="AH82" s="1961">
        <f>AG82*(1+AH83)</f>
        <v>114914.30001333334</v>
      </c>
      <c r="AI82" s="367">
        <f>AG82*(1+AI83)</f>
        <v>116136.79256666667</v>
      </c>
      <c r="AJ82" s="1961">
        <f>AI82*(1+AJ83)</f>
        <v>113814.05671533334</v>
      </c>
      <c r="AK82" s="1442">
        <f>AI82*(1+AK83)</f>
        <v>110329.95293833333</v>
      </c>
      <c r="AL82" s="367">
        <f>ROUND(AK82*(1+AL83),-1)</f>
        <v>104610</v>
      </c>
      <c r="AM82" s="367">
        <f t="shared" ref="AM82:AP82" si="189">ROUND(AL82*(1+AM83),-1)</f>
        <v>105660</v>
      </c>
      <c r="AN82" s="367">
        <f t="shared" si="189"/>
        <v>106190</v>
      </c>
      <c r="AO82" s="367">
        <f t="shared" si="189"/>
        <v>106720</v>
      </c>
      <c r="AP82" s="367">
        <f t="shared" si="189"/>
        <v>107250</v>
      </c>
      <c r="AQ82" s="367"/>
      <c r="AR82" s="61"/>
      <c r="AS82" s="367"/>
      <c r="AT82" s="61"/>
      <c r="AU82" s="61"/>
    </row>
    <row r="83" spans="2:47" s="1449" customFormat="1">
      <c r="B83" s="1904" t="s">
        <v>1459</v>
      </c>
      <c r="C83" s="1449" t="s">
        <v>1466</v>
      </c>
      <c r="U83" s="1441"/>
      <c r="V83" s="1441"/>
      <c r="W83" s="1453"/>
      <c r="X83" s="1453">
        <f>(X82-W82)/W82</f>
        <v>-3.8163043478260869E-2</v>
      </c>
      <c r="Y83" s="1453">
        <f>(Y82-X82)/X82</f>
        <v>-0.13581814422929278</v>
      </c>
      <c r="Z83" s="1453">
        <f>(Z82-Y82)/Y82</f>
        <v>-0.1538461538461538</v>
      </c>
      <c r="AA83" s="1453">
        <f>(AA82-Z82)/Z82</f>
        <v>-0.13742071881606766</v>
      </c>
      <c r="AB83" s="1453">
        <v>-0.08</v>
      </c>
      <c r="AC83" s="1453">
        <v>-0.1</v>
      </c>
      <c r="AD83" s="1453">
        <v>0.02</v>
      </c>
      <c r="AE83" s="1453">
        <v>0.01</v>
      </c>
      <c r="AF83" s="1453">
        <f t="shared" ref="AF83" si="190">AF99</f>
        <v>2.1999999999999999E-2</v>
      </c>
      <c r="AG83" s="1453">
        <v>0.1</v>
      </c>
      <c r="AH83" s="1962">
        <v>-0.06</v>
      </c>
      <c r="AI83" s="1453">
        <v>-0.05</v>
      </c>
      <c r="AJ83" s="1962">
        <v>-0.02</v>
      </c>
      <c r="AK83" s="1905">
        <v>-0.05</v>
      </c>
      <c r="AL83" s="1657">
        <f>+Quarterly!JX29</f>
        <v>-5.1875000000000004E-2</v>
      </c>
      <c r="AM83" s="1657">
        <v>0.01</v>
      </c>
      <c r="AN83" s="1657">
        <v>5.0000000000000001E-3</v>
      </c>
      <c r="AO83" s="1657">
        <v>5.0000000000000001E-3</v>
      </c>
      <c r="AP83" s="1657">
        <f>AO83</f>
        <v>5.0000000000000001E-3</v>
      </c>
      <c r="AQ83" s="1441"/>
      <c r="AR83" s="1664"/>
      <c r="AS83" s="1441"/>
      <c r="AT83" s="1664"/>
      <c r="AU83" s="1664"/>
    </row>
    <row r="84" spans="2:47">
      <c r="B84" s="1338" t="s">
        <v>1015</v>
      </c>
      <c r="C84" s="1" t="s">
        <v>580</v>
      </c>
      <c r="S84" s="1449"/>
      <c r="U84" s="367"/>
      <c r="V84" s="367"/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1961"/>
      <c r="AI84" s="367">
        <v>65</v>
      </c>
      <c r="AJ84" s="1961"/>
      <c r="AK84" s="2010">
        <f>+AK85*0.75</f>
        <v>67.5</v>
      </c>
      <c r="AL84" s="2009">
        <f t="shared" ref="AL84:AP84" si="191">+AL85*0.75</f>
        <v>72.552376900768138</v>
      </c>
      <c r="AM84" s="2009">
        <f t="shared" si="191"/>
        <v>72.552376900768138</v>
      </c>
      <c r="AN84" s="2009">
        <f t="shared" si="191"/>
        <v>72.552376900768138</v>
      </c>
      <c r="AO84" s="2009">
        <f t="shared" si="191"/>
        <v>72.552376900768138</v>
      </c>
      <c r="AP84" s="2009">
        <f t="shared" si="191"/>
        <v>72.552376900768138</v>
      </c>
      <c r="AQ84" s="367"/>
      <c r="AR84" s="367"/>
      <c r="AS84" s="367"/>
      <c r="AT84" s="367"/>
      <c r="AU84" s="367"/>
    </row>
    <row r="85" spans="2:47">
      <c r="B85" s="1338" t="s">
        <v>1015</v>
      </c>
      <c r="C85" s="1" t="s">
        <v>580</v>
      </c>
      <c r="S85" s="1449"/>
      <c r="U85" s="367"/>
      <c r="V85" s="367"/>
      <c r="W85" s="367">
        <v>85</v>
      </c>
      <c r="X85" s="367">
        <v>85</v>
      </c>
      <c r="Y85" s="367">
        <f>X85</f>
        <v>85</v>
      </c>
      <c r="Z85" s="367">
        <f>Y85</f>
        <v>85</v>
      </c>
      <c r="AA85" s="367">
        <v>86</v>
      </c>
      <c r="AB85" s="367">
        <v>90</v>
      </c>
      <c r="AC85" s="367">
        <f>AB85</f>
        <v>90</v>
      </c>
      <c r="AD85" s="367">
        <f>AC85</f>
        <v>90</v>
      </c>
      <c r="AE85" s="367">
        <f t="shared" ref="AE85:AG85" si="192">AD85</f>
        <v>90</v>
      </c>
      <c r="AF85" s="367">
        <f t="shared" si="192"/>
        <v>90</v>
      </c>
      <c r="AG85" s="367">
        <f t="shared" si="192"/>
        <v>90</v>
      </c>
      <c r="AH85" s="1961">
        <f>AG85</f>
        <v>90</v>
      </c>
      <c r="AI85" s="367">
        <f>AG85</f>
        <v>90</v>
      </c>
      <c r="AJ85" s="1961">
        <f>AI85</f>
        <v>90</v>
      </c>
      <c r="AK85" s="2010">
        <f>AI85</f>
        <v>90</v>
      </c>
      <c r="AL85" s="2007">
        <f>AK85*(1+AL86)</f>
        <v>96.736502534357513</v>
      </c>
      <c r="AM85" s="2007">
        <f t="shared" ref="AM85:AP85" si="193">AL85*(1+AM86)</f>
        <v>96.736502534357513</v>
      </c>
      <c r="AN85" s="2007">
        <f t="shared" si="193"/>
        <v>96.736502534357513</v>
      </c>
      <c r="AO85" s="2007">
        <f t="shared" si="193"/>
        <v>96.736502534357513</v>
      </c>
      <c r="AP85" s="2007">
        <f t="shared" si="193"/>
        <v>96.736502534357513</v>
      </c>
      <c r="AQ85" s="367"/>
      <c r="AR85" s="367"/>
      <c r="AS85" s="367"/>
      <c r="AT85" s="367"/>
      <c r="AU85" s="367"/>
    </row>
    <row r="86" spans="2:47">
      <c r="B86" s="1904" t="s">
        <v>1459</v>
      </c>
      <c r="C86" s="1449" t="s">
        <v>1466</v>
      </c>
      <c r="S86" s="1449"/>
      <c r="U86" s="367"/>
      <c r="V86" s="367"/>
      <c r="W86" s="367"/>
      <c r="X86" s="367"/>
      <c r="Y86" s="367"/>
      <c r="Z86" s="367"/>
      <c r="AA86" s="367"/>
      <c r="AB86" s="367"/>
      <c r="AC86" s="367"/>
      <c r="AD86" s="367"/>
      <c r="AE86" s="367"/>
      <c r="AF86" s="367"/>
      <c r="AG86" s="367"/>
      <c r="AH86" s="1961"/>
      <c r="AI86" s="367"/>
      <c r="AJ86" s="1961"/>
      <c r="AK86" s="2008">
        <f>+Quarterly!JD32</f>
        <v>7.2356020942408381E-2</v>
      </c>
      <c r="AL86" s="1657">
        <f>+Quarterly!JX32</f>
        <v>7.4850028159527959E-2</v>
      </c>
      <c r="AM86" s="1657">
        <v>0</v>
      </c>
      <c r="AN86" s="1657">
        <f>+AM86</f>
        <v>0</v>
      </c>
      <c r="AO86" s="1657">
        <f>+AN86</f>
        <v>0</v>
      </c>
      <c r="AP86" s="1657">
        <f>+AO86</f>
        <v>0</v>
      </c>
      <c r="AQ86" s="367"/>
      <c r="AR86" s="367"/>
      <c r="AS86" s="367"/>
      <c r="AT86" s="367"/>
      <c r="AU86" s="367"/>
    </row>
    <row r="87" spans="2:47">
      <c r="B87" s="1338" t="s">
        <v>1018</v>
      </c>
      <c r="C87" s="1" t="s">
        <v>586</v>
      </c>
      <c r="S87" s="1449"/>
      <c r="U87" s="367"/>
      <c r="V87" s="80"/>
      <c r="W87" s="367"/>
      <c r="X87" s="367">
        <v>4800</v>
      </c>
      <c r="Y87" s="367">
        <f t="shared" ref="Y87:AH87" si="194">ROUND(Y91*Y88/1000,-2)</f>
        <v>18000</v>
      </c>
      <c r="Z87" s="367">
        <f t="shared" si="194"/>
        <v>24700</v>
      </c>
      <c r="AA87" s="367">
        <f t="shared" si="194"/>
        <v>16100</v>
      </c>
      <c r="AB87" s="367">
        <f t="shared" si="194"/>
        <v>13900</v>
      </c>
      <c r="AC87" s="367">
        <f t="shared" si="194"/>
        <v>11800</v>
      </c>
      <c r="AD87" s="367">
        <f t="shared" si="194"/>
        <v>11000</v>
      </c>
      <c r="AE87" s="367">
        <f t="shared" si="194"/>
        <v>10000</v>
      </c>
      <c r="AF87" s="367">
        <f t="shared" si="194"/>
        <v>9800</v>
      </c>
      <c r="AG87" s="367">
        <f t="shared" si="194"/>
        <v>10800</v>
      </c>
      <c r="AH87" s="1961">
        <f t="shared" si="194"/>
        <v>10800</v>
      </c>
      <c r="AI87" s="367">
        <f>ROUND(AI90*AI88/1000,-2)</f>
        <v>7400</v>
      </c>
      <c r="AJ87" s="1961">
        <f>ROUND(AJ91*AJ88/1000,-2)</f>
        <v>9500</v>
      </c>
      <c r="AK87" s="1442">
        <f>ROUND(AK90*AK88/1000,-2)</f>
        <v>6900</v>
      </c>
      <c r="AL87" s="367">
        <f>ROUND(AL90*AL88/1000,-1)</f>
        <v>7040</v>
      </c>
      <c r="AM87" s="367">
        <f>ROUND(AM90*AM88/1000,-1)</f>
        <v>7070</v>
      </c>
      <c r="AN87" s="367">
        <f>ROUND(AN90*AN88/1000,-1)</f>
        <v>7040</v>
      </c>
      <c r="AO87" s="367">
        <f>ROUND(AO90*AO88/1000,-1)</f>
        <v>7000</v>
      </c>
      <c r="AP87" s="367">
        <f>ROUND(AP90*AP88/1000,-1)</f>
        <v>6970</v>
      </c>
      <c r="AQ87" s="367"/>
      <c r="AR87" s="367"/>
      <c r="AS87" s="367"/>
      <c r="AT87" s="367"/>
      <c r="AU87" s="367"/>
    </row>
    <row r="88" spans="2:47">
      <c r="B88" s="1338" t="s">
        <v>1014</v>
      </c>
      <c r="C88" s="1" t="s">
        <v>581</v>
      </c>
      <c r="S88" s="1449"/>
      <c r="U88" s="367"/>
      <c r="V88" s="367"/>
      <c r="W88" s="367"/>
      <c r="X88" s="367">
        <f>X87*1000000/X91/1000</f>
        <v>13714.285714285714</v>
      </c>
      <c r="Y88" s="367">
        <v>50000</v>
      </c>
      <c r="Z88" s="367">
        <f>Y88*1.41</f>
        <v>70500</v>
      </c>
      <c r="AA88" s="367">
        <f>Z88*0.65</f>
        <v>45825</v>
      </c>
      <c r="AB88" s="367">
        <f>AA88*0.84</f>
        <v>38493</v>
      </c>
      <c r="AC88" s="367">
        <f>AB88*0.85</f>
        <v>32719.05</v>
      </c>
      <c r="AD88" s="367">
        <f>AC88*0.93</f>
        <v>30428.716500000002</v>
      </c>
      <c r="AE88" s="367">
        <f>AD88*0.96</f>
        <v>29211.56784</v>
      </c>
      <c r="AF88" s="367">
        <f>AE88*0.98</f>
        <v>28627.336483200001</v>
      </c>
      <c r="AG88" s="367">
        <f>AF88*1.1</f>
        <v>31490.070131520002</v>
      </c>
      <c r="AH88" s="1961">
        <f>AG88*1</f>
        <v>31490.070131520002</v>
      </c>
      <c r="AI88" s="367">
        <f>AG88*0.9</f>
        <v>28341.063118368002</v>
      </c>
      <c r="AJ88" s="1961">
        <f>AI88*0.98</f>
        <v>27774.241856000641</v>
      </c>
      <c r="AK88" s="1442">
        <f>AI88*0.95</f>
        <v>26924.0099624496</v>
      </c>
      <c r="AL88" s="367">
        <f>ROUND(AK88*(1+AL89),-1)</f>
        <v>25530</v>
      </c>
      <c r="AM88" s="367">
        <f t="shared" ref="AM88" si="195">ROUND(AL88*(1+AM89),-1)</f>
        <v>25660</v>
      </c>
      <c r="AN88" s="367">
        <f t="shared" ref="AN88" si="196">ROUND(AM88*(1+AN89),-1)</f>
        <v>25530</v>
      </c>
      <c r="AO88" s="367">
        <f t="shared" ref="AO88" si="197">ROUND(AN88*(1+AO89),-1)</f>
        <v>25400</v>
      </c>
      <c r="AP88" s="367">
        <f t="shared" ref="AP88" si="198">ROUND(AO88*(1+AP89),-1)</f>
        <v>25270</v>
      </c>
      <c r="AQ88" s="367"/>
      <c r="AR88" s="367"/>
      <c r="AS88" s="367"/>
      <c r="AT88" s="367"/>
      <c r="AU88" s="367"/>
    </row>
    <row r="89" spans="2:47" s="1449" customFormat="1">
      <c r="B89" s="1904" t="s">
        <v>1459</v>
      </c>
      <c r="C89" s="1449" t="s">
        <v>1466</v>
      </c>
      <c r="U89" s="1441"/>
      <c r="V89" s="1441"/>
      <c r="W89" s="1453"/>
      <c r="X89" s="1453"/>
      <c r="Y89" s="1453">
        <f t="shared" ref="Y89:AC89" si="199">+Y88/X88-1</f>
        <v>2.6458333333333335</v>
      </c>
      <c r="Z89" s="1453">
        <f t="shared" si="199"/>
        <v>0.40999999999999992</v>
      </c>
      <c r="AA89" s="1453">
        <f t="shared" si="199"/>
        <v>-0.35</v>
      </c>
      <c r="AB89" s="1453">
        <f t="shared" si="199"/>
        <v>-0.16000000000000003</v>
      </c>
      <c r="AC89" s="1453">
        <f t="shared" si="199"/>
        <v>-0.15000000000000002</v>
      </c>
      <c r="AD89" s="1453">
        <f>+AD88/AC88-1</f>
        <v>-6.9999999999999951E-2</v>
      </c>
      <c r="AE89" s="1453">
        <f t="shared" ref="AE89:AG89" si="200">+AE88/AD88-1</f>
        <v>-4.0000000000000036E-2</v>
      </c>
      <c r="AF89" s="1453">
        <f t="shared" si="200"/>
        <v>-2.0000000000000018E-2</v>
      </c>
      <c r="AG89" s="1453">
        <f t="shared" si="200"/>
        <v>0.10000000000000009</v>
      </c>
      <c r="AH89" s="1962">
        <v>-0.06</v>
      </c>
      <c r="AI89" s="1453">
        <f>+AI88/AG88-1</f>
        <v>-9.9999999999999978E-2</v>
      </c>
      <c r="AJ89" s="1962">
        <v>-0.02</v>
      </c>
      <c r="AK89" s="1905">
        <f>+AK88/AI88-1</f>
        <v>-5.0000000000000044E-2</v>
      </c>
      <c r="AL89" s="1657">
        <f>+Quarterly!JX29</f>
        <v>-5.1875000000000004E-2</v>
      </c>
      <c r="AM89" s="1657">
        <v>5.0000000000000001E-3</v>
      </c>
      <c r="AN89" s="1657">
        <v>-5.0000000000000001E-3</v>
      </c>
      <c r="AO89" s="1657">
        <f>AN89</f>
        <v>-5.0000000000000001E-3</v>
      </c>
      <c r="AP89" s="1657">
        <f>AO89</f>
        <v>-5.0000000000000001E-3</v>
      </c>
      <c r="AQ89" s="1441"/>
      <c r="AR89" s="1664"/>
      <c r="AS89" s="1441"/>
      <c r="AT89" s="1664"/>
      <c r="AU89" s="1664"/>
    </row>
    <row r="90" spans="2:47">
      <c r="B90" s="1338" t="s">
        <v>1015</v>
      </c>
      <c r="C90" s="1" t="s">
        <v>585</v>
      </c>
      <c r="S90" s="1449"/>
      <c r="U90" s="367"/>
      <c r="V90" s="367"/>
      <c r="W90" s="367"/>
      <c r="X90" s="367">
        <v>350</v>
      </c>
      <c r="Y90" s="367">
        <v>360</v>
      </c>
      <c r="Z90" s="367">
        <v>350</v>
      </c>
      <c r="AA90" s="367">
        <v>352</v>
      </c>
      <c r="AB90" s="367">
        <v>360</v>
      </c>
      <c r="AC90" s="367">
        <f t="shared" ref="AC90" si="201">AB90</f>
        <v>360</v>
      </c>
      <c r="AD90" s="367">
        <f t="shared" ref="AD90" si="202">AC90</f>
        <v>360</v>
      </c>
      <c r="AE90" s="367">
        <f>AD90*0.95</f>
        <v>342</v>
      </c>
      <c r="AF90" s="367">
        <f t="shared" ref="AF90" si="203">AE90</f>
        <v>342</v>
      </c>
      <c r="AG90" s="367">
        <f t="shared" ref="AG90" si="204">AF90</f>
        <v>342</v>
      </c>
      <c r="AH90" s="1961">
        <f>AG90</f>
        <v>342</v>
      </c>
      <c r="AI90" s="367">
        <v>260</v>
      </c>
      <c r="AJ90" s="1961">
        <f>AI90</f>
        <v>260</v>
      </c>
      <c r="AK90" s="2010">
        <f>+AK91*0.75</f>
        <v>256.5</v>
      </c>
      <c r="AL90" s="2009">
        <f t="shared" ref="AL90:AO90" si="205">+AL91*0.75</f>
        <v>275.6990322229189</v>
      </c>
      <c r="AM90" s="2009">
        <f t="shared" si="205"/>
        <v>275.6990322229189</v>
      </c>
      <c r="AN90" s="2009">
        <f t="shared" si="205"/>
        <v>275.6990322229189</v>
      </c>
      <c r="AO90" s="2009">
        <f t="shared" si="205"/>
        <v>275.6990322229189</v>
      </c>
      <c r="AP90" s="2009">
        <f>+AP91*0.75</f>
        <v>275.6990322229189</v>
      </c>
      <c r="AQ90" s="367"/>
      <c r="AR90" s="367"/>
      <c r="AS90" s="367"/>
      <c r="AT90" s="367"/>
      <c r="AU90" s="367"/>
    </row>
    <row r="91" spans="2:47">
      <c r="B91" s="1338" t="s">
        <v>1015</v>
      </c>
      <c r="C91" s="1" t="s">
        <v>585</v>
      </c>
      <c r="S91" s="1449"/>
      <c r="U91" s="367"/>
      <c r="V91" s="367"/>
      <c r="W91" s="367"/>
      <c r="X91" s="367">
        <v>350</v>
      </c>
      <c r="Y91" s="367">
        <v>360</v>
      </c>
      <c r="Z91" s="367">
        <v>350</v>
      </c>
      <c r="AA91" s="367">
        <v>352</v>
      </c>
      <c r="AB91" s="367">
        <v>360</v>
      </c>
      <c r="AC91" s="367">
        <f t="shared" ref="AC91:AG91" si="206">AB91</f>
        <v>360</v>
      </c>
      <c r="AD91" s="367">
        <f t="shared" si="206"/>
        <v>360</v>
      </c>
      <c r="AE91" s="367">
        <f>AD91*0.95</f>
        <v>342</v>
      </c>
      <c r="AF91" s="367">
        <f t="shared" si="206"/>
        <v>342</v>
      </c>
      <c r="AG91" s="367">
        <f t="shared" si="206"/>
        <v>342</v>
      </c>
      <c r="AH91" s="1961">
        <f>AG91</f>
        <v>342</v>
      </c>
      <c r="AI91" s="367">
        <f>AG91</f>
        <v>342</v>
      </c>
      <c r="AJ91" s="1961">
        <f>AI91</f>
        <v>342</v>
      </c>
      <c r="AK91" s="2010">
        <f>AI91</f>
        <v>342</v>
      </c>
      <c r="AL91" s="2007">
        <f>AK91*(1+AL92)</f>
        <v>367.59870963055852</v>
      </c>
      <c r="AM91" s="2007">
        <f t="shared" ref="AM91" si="207">AL91*(1+AM92)</f>
        <v>367.59870963055852</v>
      </c>
      <c r="AN91" s="2007">
        <f t="shared" ref="AN91" si="208">AM91*(1+AN92)</f>
        <v>367.59870963055852</v>
      </c>
      <c r="AO91" s="2007">
        <f t="shared" ref="AO91" si="209">AN91*(1+AO92)</f>
        <v>367.59870963055852</v>
      </c>
      <c r="AP91" s="2007">
        <f t="shared" ref="AP91" si="210">AO91*(1+AP92)</f>
        <v>367.59870963055852</v>
      </c>
      <c r="AQ91" s="367"/>
      <c r="AR91" s="367"/>
      <c r="AS91" s="367"/>
      <c r="AT91" s="367"/>
      <c r="AU91" s="367"/>
    </row>
    <row r="92" spans="2:47">
      <c r="B92" s="1904" t="s">
        <v>1459</v>
      </c>
      <c r="C92" s="1449" t="s">
        <v>1466</v>
      </c>
      <c r="S92" s="1449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1961"/>
      <c r="AI92" s="367"/>
      <c r="AJ92" s="1961"/>
      <c r="AK92" s="2008">
        <f>+Quarterly!JD32</f>
        <v>7.2356020942408381E-2</v>
      </c>
      <c r="AL92" s="1657">
        <f>+Quarterly!JX32</f>
        <v>7.4850028159527959E-2</v>
      </c>
      <c r="AM92" s="1657">
        <v>0</v>
      </c>
      <c r="AN92" s="1657">
        <f>+AM92</f>
        <v>0</v>
      </c>
      <c r="AO92" s="1657">
        <f>+AN92</f>
        <v>0</v>
      </c>
      <c r="AP92" s="1657">
        <f>+AO92</f>
        <v>0</v>
      </c>
      <c r="AQ92" s="367"/>
      <c r="AR92" s="367"/>
      <c r="AS92" s="367"/>
      <c r="AT92" s="367"/>
      <c r="AU92" s="367"/>
    </row>
    <row r="93" spans="2:47">
      <c r="B93" s="1338" t="s">
        <v>1016</v>
      </c>
      <c r="C93" s="1" t="s">
        <v>582</v>
      </c>
      <c r="S93" s="1449"/>
      <c r="U93" s="367"/>
      <c r="V93" s="367"/>
      <c r="W93" s="367">
        <f>W79-W81</f>
        <v>1008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1961">
        <v>0</v>
      </c>
      <c r="AI93" s="367">
        <f>+AI79-AI81-AI87</f>
        <v>351.1084831666667</v>
      </c>
      <c r="AJ93" s="1961">
        <v>3000</v>
      </c>
      <c r="AK93" s="1442">
        <f>+AK79-AK81-AK87</f>
        <v>1752.7281766625001</v>
      </c>
      <c r="AL93" s="2006">
        <f>+ROUND(AK93*1,-1)</f>
        <v>1750</v>
      </c>
      <c r="AM93" s="2006">
        <f>+ROUND(AL93*1.025,-1)</f>
        <v>1790</v>
      </c>
      <c r="AN93" s="2006">
        <f>+ROUND(AM93*1.025,-1)</f>
        <v>1830</v>
      </c>
      <c r="AO93" s="2006">
        <f>+ROUND(AN93*1.025,-1)</f>
        <v>1880</v>
      </c>
      <c r="AP93" s="2006">
        <f>+ROUND(AO93*1.025,-1)</f>
        <v>1930</v>
      </c>
      <c r="AQ93" s="367"/>
      <c r="AR93" s="367"/>
      <c r="AS93" s="367"/>
      <c r="AT93" s="367"/>
      <c r="AU93" s="367"/>
    </row>
    <row r="94" spans="2:47">
      <c r="B94" s="1914" t="s">
        <v>1017</v>
      </c>
      <c r="C94" s="1915" t="s">
        <v>584</v>
      </c>
      <c r="D94" s="1915"/>
      <c r="E94" s="1915"/>
      <c r="F94" s="1915"/>
      <c r="G94" s="1915"/>
      <c r="H94" s="1915"/>
      <c r="I94" s="1915"/>
      <c r="J94" s="1915"/>
      <c r="K94" s="1915"/>
      <c r="L94" s="1915"/>
      <c r="M94" s="1915"/>
      <c r="N94" s="1915"/>
      <c r="O94" s="1915"/>
      <c r="P94" s="1915"/>
      <c r="Q94" s="1915"/>
      <c r="R94" s="1915"/>
      <c r="S94" s="1916"/>
      <c r="T94" s="1915"/>
      <c r="U94" s="1917"/>
      <c r="V94" s="1918" t="s">
        <v>518</v>
      </c>
      <c r="W94" s="1917">
        <v>85147</v>
      </c>
      <c r="X94" s="1917">
        <v>86813</v>
      </c>
      <c r="Y94" s="1917">
        <v>86000</v>
      </c>
      <c r="Z94" s="1917">
        <v>89100</v>
      </c>
      <c r="AA94" s="1917">
        <v>91700</v>
      </c>
      <c r="AB94" s="1917">
        <v>100800</v>
      </c>
      <c r="AC94" s="1917">
        <v>104800</v>
      </c>
      <c r="AD94" s="1917">
        <f>ROUND(AD96+AD103+AD108+AD116,-2)</f>
        <v>108400</v>
      </c>
      <c r="AE94" s="1917">
        <f>ROUND(AE96+AE103+AE108+AE116,-2)</f>
        <v>107800</v>
      </c>
      <c r="AF94" s="1917">
        <f>ROUND(AF96+AF103+AF108+AF116,-2)</f>
        <v>109100</v>
      </c>
      <c r="AG94" s="1917">
        <f>ROUND(AG96+AG103+AG108+AG116,-2)</f>
        <v>107600</v>
      </c>
      <c r="AH94" s="1961">
        <f>ROUND(AH96+AH103+AH108+AH116,-2)</f>
        <v>108100</v>
      </c>
      <c r="AI94" s="1917">
        <f>+Quarterly!IR37</f>
        <v>80200</v>
      </c>
      <c r="AJ94" s="1961">
        <f>ROUND(AJ96+AJ103+AJ108+AJ116,-2)</f>
        <v>92200</v>
      </c>
      <c r="AK94" s="1919">
        <f>+Quarterly!JD37</f>
        <v>81500</v>
      </c>
      <c r="AL94" s="1917">
        <f>ROUND(AL96+AL103+AL108+AL116,-1)</f>
        <v>84050</v>
      </c>
      <c r="AM94" s="1917">
        <f>ROUND(AM96+AM103+AM108+AM116,-1)</f>
        <v>84890</v>
      </c>
      <c r="AN94" s="1917">
        <f>ROUND(AN96+AN103+AN108+AN116,-1)</f>
        <v>84460</v>
      </c>
      <c r="AO94" s="1917">
        <f>ROUND(AO96+AO103+AO108+AO116,-1)</f>
        <v>84890</v>
      </c>
      <c r="AP94" s="1917">
        <f>ROUND(AP96+AP103+AP108+AP116,-1)</f>
        <v>84890</v>
      </c>
      <c r="AQ94" s="367"/>
      <c r="AR94" s="367">
        <f>+Quarterly!KH37</f>
        <v>83500</v>
      </c>
      <c r="AS94" s="367"/>
      <c r="AT94" s="367">
        <f>+Quarterly!KM37</f>
        <v>83300</v>
      </c>
      <c r="AU94" s="367">
        <f>+Quarterly!KW37</f>
        <v>81200</v>
      </c>
    </row>
    <row r="95" spans="2:47" s="1449" customFormat="1">
      <c r="B95" s="1920" t="s">
        <v>1459</v>
      </c>
      <c r="C95" s="1916" t="s">
        <v>1460</v>
      </c>
      <c r="D95" s="1916"/>
      <c r="E95" s="1916"/>
      <c r="F95" s="1916"/>
      <c r="G95" s="1916"/>
      <c r="H95" s="1916"/>
      <c r="I95" s="1916"/>
      <c r="J95" s="1916"/>
      <c r="K95" s="1916"/>
      <c r="L95" s="1916"/>
      <c r="M95" s="1916"/>
      <c r="N95" s="1916"/>
      <c r="O95" s="1916"/>
      <c r="P95" s="1916"/>
      <c r="Q95" s="1916"/>
      <c r="R95" s="1916"/>
      <c r="S95" s="1916"/>
      <c r="T95" s="1916"/>
      <c r="U95" s="1921"/>
      <c r="V95" s="1921"/>
      <c r="W95" s="1922" t="e">
        <f t="shared" ref="W95:AP95" si="211">(W94-V94)/V94</f>
        <v>#VALUE!</v>
      </c>
      <c r="X95" s="1922">
        <f t="shared" si="211"/>
        <v>1.9566162049162037E-2</v>
      </c>
      <c r="Y95" s="1922">
        <f t="shared" si="211"/>
        <v>-9.3649568612995757E-3</v>
      </c>
      <c r="Z95" s="1922">
        <f t="shared" si="211"/>
        <v>3.604651162790698E-2</v>
      </c>
      <c r="AA95" s="1922">
        <f t="shared" si="211"/>
        <v>2.9180695847362513E-2</v>
      </c>
      <c r="AB95" s="1922">
        <f t="shared" si="211"/>
        <v>9.9236641221374045E-2</v>
      </c>
      <c r="AC95" s="1922">
        <f>(AC94-AB94)/AB94</f>
        <v>3.968253968253968E-2</v>
      </c>
      <c r="AD95" s="1922">
        <f t="shared" si="211"/>
        <v>3.4351145038167941E-2</v>
      </c>
      <c r="AE95" s="1922">
        <f t="shared" si="211"/>
        <v>-5.5350553505535052E-3</v>
      </c>
      <c r="AF95" s="1922">
        <f t="shared" si="211"/>
        <v>1.2059369202226345E-2</v>
      </c>
      <c r="AG95" s="1922">
        <f t="shared" si="211"/>
        <v>-1.3748854262144821E-2</v>
      </c>
      <c r="AH95" s="1962">
        <f>(AH94-AG94)/AG94</f>
        <v>4.646840148698885E-3</v>
      </c>
      <c r="AI95" s="1922">
        <f>(AI94-AG94)/AG94</f>
        <v>-0.25464684014869887</v>
      </c>
      <c r="AJ95" s="1962">
        <f>(AJ94-AI94)/AI94</f>
        <v>0.14962593516209477</v>
      </c>
      <c r="AK95" s="1923">
        <f>(AK94-AI94)/AI94</f>
        <v>1.6209476309226933E-2</v>
      </c>
      <c r="AL95" s="1922">
        <f t="shared" si="211"/>
        <v>3.1288343558282208E-2</v>
      </c>
      <c r="AM95" s="1922">
        <f t="shared" si="211"/>
        <v>9.9940511600237949E-3</v>
      </c>
      <c r="AN95" s="1922">
        <f t="shared" si="211"/>
        <v>-5.065378725409353E-3</v>
      </c>
      <c r="AO95" s="1922">
        <f t="shared" si="211"/>
        <v>5.0911674165285345E-3</v>
      </c>
      <c r="AP95" s="1922">
        <f t="shared" si="211"/>
        <v>0</v>
      </c>
      <c r="AQ95" s="1441"/>
      <c r="AR95" s="1664">
        <f>+AR94/AK94-1</f>
        <v>2.4539877300613577E-2</v>
      </c>
      <c r="AS95" s="1441"/>
      <c r="AT95" s="1664">
        <f>+AT94/AI94-1</f>
        <v>3.8653366583541127E-2</v>
      </c>
      <c r="AU95" s="1664">
        <f>+AU94/AG94-1</f>
        <v>-0.24535315985130113</v>
      </c>
    </row>
    <row r="96" spans="2:47">
      <c r="B96" s="2012" t="s">
        <v>1013</v>
      </c>
      <c r="C96" s="2013" t="s">
        <v>583</v>
      </c>
      <c r="D96" s="2013"/>
      <c r="E96" s="2013"/>
      <c r="F96" s="2013"/>
      <c r="G96" s="2013"/>
      <c r="H96" s="2013"/>
      <c r="I96" s="2013"/>
      <c r="J96" s="2013"/>
      <c r="K96" s="2013"/>
      <c r="L96" s="2013"/>
      <c r="M96" s="2013"/>
      <c r="N96" s="2013"/>
      <c r="O96" s="2013"/>
      <c r="P96" s="2013"/>
      <c r="Q96" s="2013"/>
      <c r="R96" s="2013"/>
      <c r="S96" s="2014"/>
      <c r="T96" s="2013"/>
      <c r="U96" s="2015"/>
      <c r="V96" s="2015"/>
      <c r="W96" s="2015">
        <v>74900</v>
      </c>
      <c r="X96" s="2015">
        <v>78700</v>
      </c>
      <c r="Y96" s="2015">
        <f t="shared" ref="Y96:AB96" si="212">Y98*Y101/1000</f>
        <v>78700</v>
      </c>
      <c r="Z96" s="2015">
        <f>Z94-Z103</f>
        <v>71557.391304347824</v>
      </c>
      <c r="AA96" s="2015">
        <f>AA94*0.78</f>
        <v>71526</v>
      </c>
      <c r="AB96" s="2015">
        <f t="shared" si="212"/>
        <v>73528.117071428569</v>
      </c>
      <c r="AC96" s="2015">
        <f>AC98*AC101/1000</f>
        <v>76910.410456714279</v>
      </c>
      <c r="AD96" s="2015">
        <f>AD98*AD101/1000</f>
        <v>77679.514561281409</v>
      </c>
      <c r="AE96" s="2015">
        <f>AE98*AE101/1000</f>
        <v>76902.719415668602</v>
      </c>
      <c r="AF96" s="2015">
        <f t="shared" ref="AF96:AI96" si="213">AF98*AF101/1000</f>
        <v>78594.579242813314</v>
      </c>
      <c r="AG96" s="2015">
        <f t="shared" si="213"/>
        <v>77415.660554171118</v>
      </c>
      <c r="AH96" s="2016">
        <f t="shared" si="213"/>
        <v>77802.738856941956</v>
      </c>
      <c r="AI96" s="2015">
        <f t="shared" si="213"/>
        <v>71222.407709837426</v>
      </c>
      <c r="AJ96" s="2016">
        <f t="shared" ref="AJ96" si="214">AJ98*AJ101/1000</f>
        <v>65524.615093050437</v>
      </c>
      <c r="AK96" s="2017">
        <f>AK98*AK100/1000</f>
        <v>58865.319972180638</v>
      </c>
      <c r="AL96" s="2015">
        <f>ROUND(AL98*AL100/1000,-1)</f>
        <v>60500</v>
      </c>
      <c r="AM96" s="2015">
        <f>ROUND(AM98*AM100/1000,-1)</f>
        <v>61110</v>
      </c>
      <c r="AN96" s="2015">
        <f>ROUND(AN98*AN100/1000,-1)</f>
        <v>60800</v>
      </c>
      <c r="AO96" s="2015">
        <f>ROUND(AO98*AO100/1000,-1)</f>
        <v>61110</v>
      </c>
      <c r="AP96" s="2015">
        <f>ROUND(AP98*AP100/1000,-1)</f>
        <v>61110</v>
      </c>
      <c r="AQ96" s="367"/>
      <c r="AR96" s="367"/>
      <c r="AS96" s="367"/>
      <c r="AT96" s="367"/>
      <c r="AU96" s="367"/>
    </row>
    <row r="97" spans="2:47" s="1449" customFormat="1">
      <c r="B97" s="2018" t="s">
        <v>1459</v>
      </c>
      <c r="C97" s="2014" t="s">
        <v>1466</v>
      </c>
      <c r="D97" s="2014"/>
      <c r="E97" s="2014"/>
      <c r="F97" s="2014"/>
      <c r="G97" s="2014"/>
      <c r="H97" s="2014"/>
      <c r="I97" s="2014"/>
      <c r="J97" s="2014"/>
      <c r="K97" s="2014"/>
      <c r="L97" s="2014"/>
      <c r="M97" s="2014"/>
      <c r="N97" s="2014"/>
      <c r="O97" s="2014"/>
      <c r="P97" s="2014"/>
      <c r="Q97" s="2014"/>
      <c r="R97" s="2014"/>
      <c r="S97" s="2014"/>
      <c r="T97" s="2014"/>
      <c r="U97" s="2016"/>
      <c r="V97" s="2016"/>
      <c r="W97" s="2019" t="e">
        <f t="shared" ref="W97" si="215">(W96-V96)/V96</f>
        <v>#DIV/0!</v>
      </c>
      <c r="X97" s="2019">
        <f t="shared" ref="X97" si="216">(X96-W96)/W96</f>
        <v>5.0734312416555405E-2</v>
      </c>
      <c r="Y97" s="2019">
        <f t="shared" ref="Y97" si="217">(Y96-X96)/X96</f>
        <v>0</v>
      </c>
      <c r="Z97" s="2019">
        <f t="shared" ref="Z97" si="218">(Z96-Y96)/Y96</f>
        <v>-9.0757416717308456E-2</v>
      </c>
      <c r="AA97" s="2019">
        <f t="shared" ref="AA97" si="219">(AA96-Z96)/Z96</f>
        <v>-4.3868709822456671E-4</v>
      </c>
      <c r="AB97" s="2019">
        <f t="shared" ref="AB97" si="220">(AB96-AA96)/AA96</f>
        <v>2.799145865040082E-2</v>
      </c>
      <c r="AC97" s="2019">
        <f t="shared" ref="AC97:AD97" si="221">(AC96-AB96)/AB96</f>
        <v>4.5999999999999937E-2</v>
      </c>
      <c r="AD97" s="2019">
        <f t="shared" si="221"/>
        <v>9.9999999999998337E-3</v>
      </c>
      <c r="AE97" s="2019">
        <f t="shared" ref="AE97" si="222">(AE96-AD96)/AD96</f>
        <v>-9.9999999999999048E-3</v>
      </c>
      <c r="AF97" s="2019">
        <f t="shared" ref="AF97" si="223">(AF96-AE96)/AE96</f>
        <v>2.2000000000000033E-2</v>
      </c>
      <c r="AG97" s="2019">
        <f t="shared" ref="AG97:AP97" si="224">(AG96-AF96)/AF96</f>
        <v>-1.4999999999999951E-2</v>
      </c>
      <c r="AH97" s="2019">
        <f>(AH96-AG96)/AG96</f>
        <v>4.9999999999997789E-3</v>
      </c>
      <c r="AI97" s="2019">
        <f>(AI96-AG96)/AG96</f>
        <v>-8.0000000000000043E-2</v>
      </c>
      <c r="AJ97" s="2019">
        <f>(AJ96-AI96)/AI96</f>
        <v>-7.9999999999999918E-2</v>
      </c>
      <c r="AK97" s="2020">
        <f>(AK96-AI96)/AI96</f>
        <v>-0.17349999999999993</v>
      </c>
      <c r="AL97" s="2019">
        <f t="shared" si="224"/>
        <v>2.7769831686838723E-2</v>
      </c>
      <c r="AM97" s="2019">
        <f t="shared" si="224"/>
        <v>1.0082644628099173E-2</v>
      </c>
      <c r="AN97" s="2019">
        <f t="shared" si="224"/>
        <v>-5.0728195058091967E-3</v>
      </c>
      <c r="AO97" s="2019">
        <f t="shared" si="224"/>
        <v>5.098684210526316E-3</v>
      </c>
      <c r="AP97" s="2019">
        <f t="shared" si="224"/>
        <v>0</v>
      </c>
      <c r="AQ97" s="1441"/>
      <c r="AR97" s="1664"/>
      <c r="AS97" s="1441"/>
      <c r="AT97" s="1664"/>
      <c r="AU97" s="1664"/>
    </row>
    <row r="98" spans="2:47">
      <c r="B98" s="1338" t="s">
        <v>1014</v>
      </c>
      <c r="C98" s="1" t="s">
        <v>581</v>
      </c>
      <c r="S98" s="1449"/>
      <c r="U98" s="367"/>
      <c r="V98" s="367"/>
      <c r="W98" s="367">
        <f>W96*1000/W101</f>
        <v>535000</v>
      </c>
      <c r="X98" s="367">
        <f>X96*1000/X101</f>
        <v>562142.85714285716</v>
      </c>
      <c r="Y98" s="367">
        <f t="shared" ref="Y98:AG98" si="225">X98*(1+Y99)</f>
        <v>562142.85714285716</v>
      </c>
      <c r="Z98" s="367">
        <f t="shared" si="225"/>
        <v>579007.14285714284</v>
      </c>
      <c r="AA98" s="367">
        <f t="shared" si="225"/>
        <v>590587.28571428568</v>
      </c>
      <c r="AB98" s="367">
        <f t="shared" si="225"/>
        <v>490187.44714285707</v>
      </c>
      <c r="AC98" s="367">
        <f>AB98*(1+AC99)</f>
        <v>512736.06971142848</v>
      </c>
      <c r="AD98" s="367">
        <f t="shared" si="225"/>
        <v>517863.4304085428</v>
      </c>
      <c r="AE98" s="367">
        <f t="shared" si="225"/>
        <v>512684.79610445735</v>
      </c>
      <c r="AF98" s="367">
        <f t="shared" si="225"/>
        <v>523963.86161875544</v>
      </c>
      <c r="AG98" s="367">
        <f t="shared" si="225"/>
        <v>516104.40369447408</v>
      </c>
      <c r="AH98" s="1961">
        <f>AG98*(1+AH99)</f>
        <v>518684.92571294639</v>
      </c>
      <c r="AI98" s="367">
        <f>AG98*(1+AI99)</f>
        <v>474816.05139891617</v>
      </c>
      <c r="AJ98" s="1961">
        <f>AI98*(1+AJ99)</f>
        <v>436830.76728700288</v>
      </c>
      <c r="AK98" s="1442">
        <f>AI98*(1+AK99)</f>
        <v>451075.24882897036</v>
      </c>
      <c r="AL98" s="367">
        <f>ROUND(AK98*(1+AL99),-1)</f>
        <v>431340</v>
      </c>
      <c r="AM98" s="367">
        <f t="shared" ref="AM98:AP98" si="226">ROUND(AL98*(1+AM99),-1)</f>
        <v>435650</v>
      </c>
      <c r="AN98" s="367">
        <f t="shared" si="226"/>
        <v>433470</v>
      </c>
      <c r="AO98" s="367">
        <f t="shared" si="226"/>
        <v>435640</v>
      </c>
      <c r="AP98" s="367">
        <f t="shared" si="226"/>
        <v>435640</v>
      </c>
      <c r="AQ98" s="367"/>
      <c r="AR98" s="367"/>
      <c r="AS98" s="367"/>
      <c r="AT98" s="367"/>
      <c r="AU98" s="367"/>
    </row>
    <row r="99" spans="2:47" s="1449" customFormat="1">
      <c r="B99" s="1904" t="s">
        <v>1459</v>
      </c>
      <c r="C99" s="1449" t="s">
        <v>1466</v>
      </c>
      <c r="U99" s="1441"/>
      <c r="V99" s="1441"/>
      <c r="W99" s="1453" t="e">
        <f>(W98-V98)/V98</f>
        <v>#DIV/0!</v>
      </c>
      <c r="X99" s="1453">
        <f>(X98-W98)/W98</f>
        <v>5.073431241655544E-2</v>
      </c>
      <c r="Y99" s="1453">
        <v>0</v>
      </c>
      <c r="Z99" s="1453">
        <v>0.03</v>
      </c>
      <c r="AA99" s="1453">
        <v>0.02</v>
      </c>
      <c r="AB99" s="1453">
        <v>-0.17</v>
      </c>
      <c r="AC99" s="1453">
        <v>4.5999999999999999E-2</v>
      </c>
      <c r="AD99" s="1453">
        <v>0.01</v>
      </c>
      <c r="AE99" s="1453">
        <v>-0.01</v>
      </c>
      <c r="AF99" s="1453">
        <v>2.1999999999999999E-2</v>
      </c>
      <c r="AG99" s="1453">
        <v>-1.4999999999999999E-2</v>
      </c>
      <c r="AH99" s="1453">
        <v>5.0000000000000001E-3</v>
      </c>
      <c r="AI99" s="1453">
        <v>-0.08</v>
      </c>
      <c r="AJ99" s="1453">
        <v>-0.08</v>
      </c>
      <c r="AK99" s="1905">
        <f>+Quarterly!JD31</f>
        <v>-0.05</v>
      </c>
      <c r="AL99" s="1657">
        <f>+Quarterly!JX31</f>
        <v>-4.3749999999999997E-2</v>
      </c>
      <c r="AM99" s="1657">
        <v>0.01</v>
      </c>
      <c r="AN99" s="1657">
        <v>-5.0000000000000001E-3</v>
      </c>
      <c r="AO99" s="1657">
        <v>5.0000000000000001E-3</v>
      </c>
      <c r="AP99" s="1657">
        <v>0</v>
      </c>
      <c r="AQ99" s="1441"/>
      <c r="AR99" s="1441"/>
      <c r="AS99" s="1441"/>
      <c r="AT99" s="1441"/>
      <c r="AU99" s="1441"/>
    </row>
    <row r="100" spans="2:47" s="1449" customFormat="1">
      <c r="B100" s="1338" t="s">
        <v>1015</v>
      </c>
      <c r="C100" s="1" t="s">
        <v>580</v>
      </c>
      <c r="U100" s="1441"/>
      <c r="V100" s="1441"/>
      <c r="W100" s="1453"/>
      <c r="X100" s="1453"/>
      <c r="Y100" s="1453"/>
      <c r="Z100" s="1453"/>
      <c r="AA100" s="1453"/>
      <c r="AB100" s="1453"/>
      <c r="AC100" s="1453"/>
      <c r="AD100" s="1453"/>
      <c r="AE100" s="1453"/>
      <c r="AF100" s="1453"/>
      <c r="AG100" s="1453"/>
      <c r="AH100" s="1453"/>
      <c r="AI100" s="1453"/>
      <c r="AJ100" s="1453"/>
      <c r="AK100" s="2010">
        <f>+AK101*0.87</f>
        <v>130.5</v>
      </c>
      <c r="AL100" s="2007">
        <f t="shared" ref="AL100:AP100" si="227">+AL101*0.87</f>
        <v>140.26792867481839</v>
      </c>
      <c r="AM100" s="2007">
        <f t="shared" si="227"/>
        <v>140.26792867481839</v>
      </c>
      <c r="AN100" s="2007">
        <f t="shared" si="227"/>
        <v>140.26792867481839</v>
      </c>
      <c r="AO100" s="2007">
        <f t="shared" si="227"/>
        <v>140.26792867481839</v>
      </c>
      <c r="AP100" s="2007">
        <f t="shared" si="227"/>
        <v>140.26792867481839</v>
      </c>
      <c r="AQ100" s="1441"/>
      <c r="AR100" s="1441"/>
      <c r="AS100" s="1441"/>
      <c r="AT100" s="1441"/>
      <c r="AU100" s="1441"/>
    </row>
    <row r="101" spans="2:47">
      <c r="B101" s="1338" t="s">
        <v>1015</v>
      </c>
      <c r="C101" s="1" t="s">
        <v>580</v>
      </c>
      <c r="S101" s="1449"/>
      <c r="U101" s="367"/>
      <c r="V101" s="367"/>
      <c r="W101" s="367">
        <v>140</v>
      </c>
      <c r="X101" s="367">
        <v>140</v>
      </c>
      <c r="Y101" s="367">
        <v>140</v>
      </c>
      <c r="Z101" s="367">
        <f>Y101</f>
        <v>140</v>
      </c>
      <c r="AA101" s="367">
        <v>143</v>
      </c>
      <c r="AB101" s="367">
        <v>150</v>
      </c>
      <c r="AC101" s="367">
        <f t="shared" ref="AC101:AG101" si="228">AB101</f>
        <v>150</v>
      </c>
      <c r="AD101" s="367">
        <f t="shared" si="228"/>
        <v>150</v>
      </c>
      <c r="AE101" s="367">
        <f t="shared" si="228"/>
        <v>150</v>
      </c>
      <c r="AF101" s="367">
        <f t="shared" si="228"/>
        <v>150</v>
      </c>
      <c r="AG101" s="367">
        <f t="shared" si="228"/>
        <v>150</v>
      </c>
      <c r="AH101" s="1961">
        <f>AG101</f>
        <v>150</v>
      </c>
      <c r="AI101" s="367">
        <f>AG101</f>
        <v>150</v>
      </c>
      <c r="AJ101" s="1961">
        <f>AI101</f>
        <v>150</v>
      </c>
      <c r="AK101" s="1442">
        <f>AI101</f>
        <v>150</v>
      </c>
      <c r="AL101" s="2007">
        <f>AK101*(1+AL102)</f>
        <v>161.22750422392917</v>
      </c>
      <c r="AM101" s="2007">
        <f t="shared" ref="AM101" si="229">AL101*(1+AM102)</f>
        <v>161.22750422392917</v>
      </c>
      <c r="AN101" s="2007">
        <f t="shared" ref="AN101" si="230">AM101*(1+AN102)</f>
        <v>161.22750422392917</v>
      </c>
      <c r="AO101" s="2007">
        <f t="shared" ref="AO101" si="231">AN101*(1+AO102)</f>
        <v>161.22750422392917</v>
      </c>
      <c r="AP101" s="2007">
        <f t="shared" ref="AP101" si="232">AO101*(1+AP102)</f>
        <v>161.22750422392917</v>
      </c>
      <c r="AQ101" s="367"/>
      <c r="AR101" s="367"/>
      <c r="AS101" s="367"/>
      <c r="AT101" s="367"/>
      <c r="AU101" s="367"/>
    </row>
    <row r="102" spans="2:47" s="1449" customFormat="1">
      <c r="B102" s="1904" t="s">
        <v>1459</v>
      </c>
      <c r="C102" s="1449" t="s">
        <v>1466</v>
      </c>
      <c r="U102" s="1441"/>
      <c r="V102" s="1441"/>
      <c r="W102" s="1453" t="e">
        <f>(W96-V96)/V96</f>
        <v>#DIV/0!</v>
      </c>
      <c r="X102" s="1453">
        <f>(X96-W96)/W96</f>
        <v>5.0734312416555405E-2</v>
      </c>
      <c r="Y102" s="1453">
        <v>0.01</v>
      </c>
      <c r="Z102" s="1453">
        <v>0.01</v>
      </c>
      <c r="AA102" s="1453">
        <v>0.01</v>
      </c>
      <c r="AB102" s="1453">
        <f t="shared" ref="AB102:AG102" si="233">(AB101-AA101)/AA101</f>
        <v>4.8951048951048952E-2</v>
      </c>
      <c r="AC102" s="1453">
        <f t="shared" si="233"/>
        <v>0</v>
      </c>
      <c r="AD102" s="1453">
        <f t="shared" si="233"/>
        <v>0</v>
      </c>
      <c r="AE102" s="1453">
        <f t="shared" si="233"/>
        <v>0</v>
      </c>
      <c r="AF102" s="1453">
        <f t="shared" si="233"/>
        <v>0</v>
      </c>
      <c r="AG102" s="1453">
        <f t="shared" si="233"/>
        <v>0</v>
      </c>
      <c r="AH102" s="1962">
        <f>(AH101-AG101)/AG101</f>
        <v>0</v>
      </c>
      <c r="AI102" s="1453">
        <f>(AI101-AG101)/AG101</f>
        <v>0</v>
      </c>
      <c r="AJ102" s="1962">
        <f>(AJ101-AI101)/AI101</f>
        <v>0</v>
      </c>
      <c r="AK102" s="1453">
        <f>+Quarterly!JD32</f>
        <v>7.2356020942408381E-2</v>
      </c>
      <c r="AL102" s="1657">
        <f>+Quarterly!JX32</f>
        <v>7.4850028159527959E-2</v>
      </c>
      <c r="AM102" s="1657">
        <v>0</v>
      </c>
      <c r="AN102" s="1657">
        <v>0</v>
      </c>
      <c r="AO102" s="1657">
        <v>0</v>
      </c>
      <c r="AP102" s="1657">
        <v>0</v>
      </c>
      <c r="AQ102" s="1441"/>
      <c r="AR102" s="1441"/>
      <c r="AS102" s="1441"/>
      <c r="AT102" s="1441"/>
      <c r="AU102" s="1441"/>
    </row>
    <row r="103" spans="2:47">
      <c r="B103" s="2012" t="s">
        <v>1016</v>
      </c>
      <c r="C103" s="2013" t="s">
        <v>582</v>
      </c>
      <c r="D103" s="2013"/>
      <c r="E103" s="2013"/>
      <c r="F103" s="2013"/>
      <c r="G103" s="2013"/>
      <c r="H103" s="2013"/>
      <c r="I103" s="2013"/>
      <c r="J103" s="2013"/>
      <c r="K103" s="2013"/>
      <c r="L103" s="2013"/>
      <c r="M103" s="2013"/>
      <c r="N103" s="2013"/>
      <c r="O103" s="2013"/>
      <c r="P103" s="2013"/>
      <c r="Q103" s="2013"/>
      <c r="R103" s="2013"/>
      <c r="S103" s="2014"/>
      <c r="T103" s="2013"/>
      <c r="U103" s="2015"/>
      <c r="V103" s="2015"/>
      <c r="W103" s="2015">
        <v>8400</v>
      </c>
      <c r="X103" s="2015">
        <v>8113</v>
      </c>
      <c r="Y103" s="2015">
        <f t="shared" ref="Y103:AB103" si="234">Y104*Y107/1000</f>
        <v>7517.4</v>
      </c>
      <c r="Z103" s="2015">
        <f>AA103/1.15</f>
        <v>17542.608695652176</v>
      </c>
      <c r="AA103" s="2015">
        <f>AA94-AA96</f>
        <v>20174</v>
      </c>
      <c r="AB103" s="2015">
        <f t="shared" si="234"/>
        <v>23200.1</v>
      </c>
      <c r="AC103" s="2015">
        <f>AC104*AC107/1000</f>
        <v>22040.094999999998</v>
      </c>
      <c r="AD103" s="2015">
        <f>AD104*AD107/1000</f>
        <v>21819.694049999998</v>
      </c>
      <c r="AE103" s="2015">
        <f t="shared" ref="AE103:AI103" si="235">AE104*AE107/1000</f>
        <v>21601.497109499996</v>
      </c>
      <c r="AF103" s="2015">
        <f t="shared" si="235"/>
        <v>21169.467167309995</v>
      </c>
      <c r="AG103" s="2015">
        <f t="shared" si="235"/>
        <v>20851.925159800347</v>
      </c>
      <c r="AH103" s="2016">
        <f t="shared" si="235"/>
        <v>20956.184785599347</v>
      </c>
      <c r="AI103" s="2015">
        <f t="shared" si="235"/>
        <v>19183.771147016319</v>
      </c>
      <c r="AJ103" s="2016">
        <f t="shared" ref="AJ103" si="236">AJ104*AJ107/1000</f>
        <v>17649.069455255012</v>
      </c>
      <c r="AK103" s="2017">
        <f>AK104*AK106/1000</f>
        <v>15855.386853008986</v>
      </c>
      <c r="AL103" s="2015">
        <f>ROUND(AL104*AL106/1000,-1)</f>
        <v>16340</v>
      </c>
      <c r="AM103" s="2015">
        <f>ROUND(AM104*AM106/1000,-1)</f>
        <v>16500</v>
      </c>
      <c r="AN103" s="2015">
        <f>ROUND(AN104*AN106/1000,-1)</f>
        <v>16420</v>
      </c>
      <c r="AO103" s="2015">
        <f>ROUND(AO104*AO106/1000,-1)</f>
        <v>16500</v>
      </c>
      <c r="AP103" s="2015">
        <f>ROUND(AP104*AP106/1000,-1)</f>
        <v>16500</v>
      </c>
      <c r="AQ103" s="367"/>
      <c r="AR103" s="367"/>
      <c r="AS103" s="367"/>
      <c r="AT103" s="367"/>
      <c r="AU103" s="367"/>
    </row>
    <row r="104" spans="2:47">
      <c r="B104" s="1338" t="s">
        <v>1014</v>
      </c>
      <c r="C104" s="1" t="s">
        <v>581</v>
      </c>
      <c r="S104" s="1449"/>
      <c r="U104" s="367"/>
      <c r="V104" s="367">
        <v>75100</v>
      </c>
      <c r="W104" s="367">
        <v>76600</v>
      </c>
      <c r="X104" s="367">
        <v>80400</v>
      </c>
      <c r="Y104" s="367">
        <f t="shared" ref="Y104:AG104" si="237">X104*(1+Y105)</f>
        <v>68340</v>
      </c>
      <c r="Z104" s="367">
        <f>Z103/Z107*1000</f>
        <v>194917.8743961353</v>
      </c>
      <c r="AA104" s="367">
        <f>AA103/AA107*1000</f>
        <v>224155.55555555556</v>
      </c>
      <c r="AB104" s="367">
        <f t="shared" si="237"/>
        <v>257778.88888888888</v>
      </c>
      <c r="AC104" s="367">
        <f t="shared" si="237"/>
        <v>244889.94444444441</v>
      </c>
      <c r="AD104" s="367">
        <f t="shared" si="237"/>
        <v>242441.04499999995</v>
      </c>
      <c r="AE104" s="367">
        <f t="shared" si="237"/>
        <v>240016.63454999996</v>
      </c>
      <c r="AF104" s="367">
        <f t="shared" si="237"/>
        <v>235216.30185899994</v>
      </c>
      <c r="AG104" s="367">
        <f t="shared" si="237"/>
        <v>231688.05733111495</v>
      </c>
      <c r="AH104" s="1961">
        <f>AG104*(1+AH105)</f>
        <v>232846.49761777051</v>
      </c>
      <c r="AI104" s="367">
        <f>AG104*(1+AI105)</f>
        <v>213153.01274462577</v>
      </c>
      <c r="AJ104" s="1961">
        <f>AI104*(1+AJ105)</f>
        <v>196100.7717250557</v>
      </c>
      <c r="AK104" s="1442">
        <f>AI104*(1+AK105)</f>
        <v>202495.36210739447</v>
      </c>
      <c r="AL104" s="367">
        <f>ROUND(AK104*(1+AL105),-1)</f>
        <v>193640</v>
      </c>
      <c r="AM104" s="367">
        <f t="shared" ref="AM104:AP104" si="238">ROUND(AL104*(1+AM105),-1)</f>
        <v>195580</v>
      </c>
      <c r="AN104" s="367">
        <f t="shared" si="238"/>
        <v>194600</v>
      </c>
      <c r="AO104" s="367">
        <f t="shared" si="238"/>
        <v>195570</v>
      </c>
      <c r="AP104" s="367">
        <f t="shared" si="238"/>
        <v>195570</v>
      </c>
      <c r="AQ104" s="367"/>
      <c r="AR104" s="367"/>
      <c r="AS104" s="367"/>
      <c r="AT104" s="367"/>
      <c r="AU104" s="367"/>
    </row>
    <row r="105" spans="2:47" s="1449" customFormat="1">
      <c r="B105" s="1904" t="s">
        <v>1459</v>
      </c>
      <c r="C105" s="1449" t="s">
        <v>1466</v>
      </c>
      <c r="U105" s="1441"/>
      <c r="V105" s="1441"/>
      <c r="W105" s="1453">
        <f>(W104-V104)/V104</f>
        <v>1.9973368841544607E-2</v>
      </c>
      <c r="X105" s="1453">
        <f>(X104-W104)/W104</f>
        <v>4.960835509138381E-2</v>
      </c>
      <c r="Y105" s="1453">
        <v>-0.15</v>
      </c>
      <c r="Z105" s="1453">
        <v>0.05</v>
      </c>
      <c r="AA105" s="1453">
        <v>0</v>
      </c>
      <c r="AB105" s="1453">
        <v>0.15</v>
      </c>
      <c r="AC105" s="1453">
        <v>-0.05</v>
      </c>
      <c r="AD105" s="1453">
        <v>-0.01</v>
      </c>
      <c r="AE105" s="1453">
        <v>-0.01</v>
      </c>
      <c r="AF105" s="1453">
        <v>-0.02</v>
      </c>
      <c r="AG105" s="1453">
        <f t="shared" ref="AG105:AN105" si="239">AG99</f>
        <v>-1.4999999999999999E-2</v>
      </c>
      <c r="AH105" s="1962">
        <f t="shared" ref="AH105:AI105" si="240">AH99</f>
        <v>5.0000000000000001E-3</v>
      </c>
      <c r="AI105" s="1453">
        <f t="shared" si="240"/>
        <v>-0.08</v>
      </c>
      <c r="AJ105" s="1962">
        <f t="shared" ref="AJ105" si="241">AJ99</f>
        <v>-0.08</v>
      </c>
      <c r="AK105" s="1905">
        <f t="shared" si="239"/>
        <v>-0.05</v>
      </c>
      <c r="AL105" s="1453">
        <f t="shared" si="239"/>
        <v>-4.3749999999999997E-2</v>
      </c>
      <c r="AM105" s="1453">
        <f t="shared" si="239"/>
        <v>0.01</v>
      </c>
      <c r="AN105" s="1453">
        <f t="shared" si="239"/>
        <v>-5.0000000000000001E-3</v>
      </c>
      <c r="AO105" s="1453">
        <f t="shared" ref="AO105" si="242">AO99</f>
        <v>5.0000000000000001E-3</v>
      </c>
      <c r="AP105" s="1453">
        <f t="shared" ref="AP105" si="243">AP99</f>
        <v>0</v>
      </c>
      <c r="AQ105" s="1441"/>
      <c r="AR105" s="1441"/>
      <c r="AS105" s="1441"/>
      <c r="AT105" s="1441"/>
      <c r="AU105" s="1441"/>
    </row>
    <row r="106" spans="2:47" s="1449" customFormat="1">
      <c r="B106" s="1338" t="s">
        <v>1015</v>
      </c>
      <c r="C106" s="1" t="s">
        <v>580</v>
      </c>
      <c r="U106" s="1441"/>
      <c r="V106" s="1441"/>
      <c r="W106" s="1453"/>
      <c r="X106" s="1453"/>
      <c r="Y106" s="1453"/>
      <c r="Z106" s="1453"/>
      <c r="AA106" s="1453"/>
      <c r="AB106" s="1453"/>
      <c r="AC106" s="1453"/>
      <c r="AD106" s="1453"/>
      <c r="AE106" s="1453"/>
      <c r="AF106" s="1453"/>
      <c r="AG106" s="1453"/>
      <c r="AH106" s="1962"/>
      <c r="AI106" s="1453"/>
      <c r="AJ106" s="1962"/>
      <c r="AK106" s="2010">
        <f>+AK107*0.87</f>
        <v>78.3</v>
      </c>
      <c r="AL106" s="2007">
        <f t="shared" ref="AL106:AP106" si="244">+AL107*0.87</f>
        <v>84.39</v>
      </c>
      <c r="AM106" s="2007">
        <f t="shared" si="244"/>
        <v>84.39</v>
      </c>
      <c r="AN106" s="2007">
        <f t="shared" si="244"/>
        <v>84.39</v>
      </c>
      <c r="AO106" s="2007">
        <f t="shared" si="244"/>
        <v>84.39</v>
      </c>
      <c r="AP106" s="2007">
        <f t="shared" si="244"/>
        <v>84.39</v>
      </c>
      <c r="AQ106" s="1441"/>
      <c r="AR106" s="1441"/>
      <c r="AS106" s="1441"/>
      <c r="AT106" s="1441"/>
      <c r="AU106" s="1441"/>
    </row>
    <row r="107" spans="2:47">
      <c r="B107" s="1338" t="s">
        <v>1015</v>
      </c>
      <c r="C107" s="1" t="s">
        <v>580</v>
      </c>
      <c r="S107" s="1449"/>
      <c r="U107" s="367"/>
      <c r="V107" s="367">
        <v>1100</v>
      </c>
      <c r="W107" s="367">
        <v>110</v>
      </c>
      <c r="X107" s="367">
        <v>110</v>
      </c>
      <c r="Y107" s="367">
        <v>110</v>
      </c>
      <c r="Z107" s="367">
        <v>90</v>
      </c>
      <c r="AA107" s="367">
        <v>90</v>
      </c>
      <c r="AB107" s="367">
        <v>90</v>
      </c>
      <c r="AC107" s="367">
        <v>90</v>
      </c>
      <c r="AD107" s="367">
        <f t="shared" ref="AD107:AG107" si="245">AC107</f>
        <v>90</v>
      </c>
      <c r="AE107" s="367">
        <f t="shared" si="245"/>
        <v>90</v>
      </c>
      <c r="AF107" s="367">
        <f t="shared" si="245"/>
        <v>90</v>
      </c>
      <c r="AG107" s="367">
        <f t="shared" si="245"/>
        <v>90</v>
      </c>
      <c r="AH107" s="1961">
        <f>AG107</f>
        <v>90</v>
      </c>
      <c r="AI107" s="367">
        <f>AG107</f>
        <v>90</v>
      </c>
      <c r="AJ107" s="1961">
        <f>AI107</f>
        <v>90</v>
      </c>
      <c r="AK107" s="1442">
        <f>AI107</f>
        <v>90</v>
      </c>
      <c r="AL107" s="367">
        <f>ROUND(AK107*(1+AL102),)</f>
        <v>97</v>
      </c>
      <c r="AM107" s="367">
        <f t="shared" ref="AM107:AP107" si="246">ROUND(AL107*(1+AM102),)</f>
        <v>97</v>
      </c>
      <c r="AN107" s="367">
        <f t="shared" si="246"/>
        <v>97</v>
      </c>
      <c r="AO107" s="367">
        <f t="shared" si="246"/>
        <v>97</v>
      </c>
      <c r="AP107" s="367">
        <f t="shared" si="246"/>
        <v>97</v>
      </c>
      <c r="AQ107" s="367"/>
      <c r="AR107" s="367"/>
      <c r="AS107" s="367"/>
      <c r="AT107" s="367"/>
      <c r="AU107" s="367"/>
    </row>
    <row r="108" spans="2:47">
      <c r="B108" s="2012" t="s">
        <v>1242</v>
      </c>
      <c r="C108" s="2013" t="s">
        <v>1127</v>
      </c>
      <c r="D108" s="2013"/>
      <c r="E108" s="2013"/>
      <c r="F108" s="2013"/>
      <c r="G108" s="2013"/>
      <c r="H108" s="2013"/>
      <c r="I108" s="2013"/>
      <c r="J108" s="2013"/>
      <c r="K108" s="2013"/>
      <c r="L108" s="2013"/>
      <c r="M108" s="2013"/>
      <c r="N108" s="2013"/>
      <c r="O108" s="2013"/>
      <c r="P108" s="2013"/>
      <c r="Q108" s="2013"/>
      <c r="R108" s="2013"/>
      <c r="S108" s="2014"/>
      <c r="T108" s="2013"/>
      <c r="U108" s="2015"/>
      <c r="V108" s="2015"/>
      <c r="W108" s="2015"/>
      <c r="X108" s="2015"/>
      <c r="Y108" s="2015"/>
      <c r="Z108" s="2015"/>
      <c r="AA108" s="2015"/>
      <c r="AB108" s="2015">
        <f t="shared" ref="AB108:AJ108" si="247">AB111*AB109/1000</f>
        <v>4305</v>
      </c>
      <c r="AC108" s="2015">
        <f t="shared" si="247"/>
        <v>4900</v>
      </c>
      <c r="AD108" s="2015">
        <f t="shared" si="247"/>
        <v>4900</v>
      </c>
      <c r="AE108" s="2015">
        <f t="shared" si="247"/>
        <v>4900</v>
      </c>
      <c r="AF108" s="2015">
        <f t="shared" si="247"/>
        <v>4900</v>
      </c>
      <c r="AG108" s="2015">
        <f t="shared" si="247"/>
        <v>4900</v>
      </c>
      <c r="AH108" s="2016">
        <f t="shared" si="247"/>
        <v>4900</v>
      </c>
      <c r="AI108" s="2015">
        <f t="shared" si="247"/>
        <v>4802</v>
      </c>
      <c r="AJ108" s="2016">
        <f t="shared" si="247"/>
        <v>4705.96</v>
      </c>
      <c r="AK108" s="2017">
        <f>AK110*AK109/1000</f>
        <v>3668.0557200000003</v>
      </c>
      <c r="AL108" s="2015">
        <f>ROUND(AL110*AL109/1000,-1)</f>
        <v>3770</v>
      </c>
      <c r="AM108" s="2015">
        <f>ROUND(AM110*AM109/1000,-1)</f>
        <v>3810</v>
      </c>
      <c r="AN108" s="2015">
        <f>ROUND(AN110*AN109/1000,-1)</f>
        <v>3790</v>
      </c>
      <c r="AO108" s="2015">
        <f>ROUND(AO110*AO109/1000,-1)</f>
        <v>3810</v>
      </c>
      <c r="AP108" s="2015">
        <f>ROUND(AP110*AP109/1000,-1)</f>
        <v>3810</v>
      </c>
      <c r="AQ108" s="367"/>
      <c r="AR108" s="367"/>
      <c r="AS108" s="367"/>
      <c r="AT108" s="367"/>
      <c r="AU108" s="367"/>
    </row>
    <row r="109" spans="2:47">
      <c r="B109" s="1338" t="s">
        <v>1014</v>
      </c>
      <c r="C109" s="1" t="s">
        <v>581</v>
      </c>
      <c r="S109" s="1449"/>
      <c r="U109" s="367"/>
      <c r="V109" s="367"/>
      <c r="W109" s="367"/>
      <c r="X109" s="367"/>
      <c r="Y109" s="367"/>
      <c r="Z109" s="367"/>
      <c r="AA109" s="367"/>
      <c r="AB109" s="367">
        <v>30000</v>
      </c>
      <c r="AC109" s="367">
        <v>35000</v>
      </c>
      <c r="AD109" s="367">
        <f>AC109</f>
        <v>35000</v>
      </c>
      <c r="AE109" s="367">
        <f>AD109</f>
        <v>35000</v>
      </c>
      <c r="AF109" s="367">
        <f>AE109</f>
        <v>35000</v>
      </c>
      <c r="AG109" s="367">
        <f>AF109</f>
        <v>35000</v>
      </c>
      <c r="AH109" s="1441">
        <f>AG109</f>
        <v>35000</v>
      </c>
      <c r="AI109" s="367">
        <f>AG109*0.98</f>
        <v>34300</v>
      </c>
      <c r="AJ109" s="1441">
        <f>AI109*0.98</f>
        <v>33614</v>
      </c>
      <c r="AK109" s="1442">
        <f>AI109*0.878</f>
        <v>30115.4</v>
      </c>
      <c r="AL109" s="367">
        <f>ROUND(AK109*(1+AL99),-1)</f>
        <v>28800</v>
      </c>
      <c r="AM109" s="367">
        <f>ROUND(AL109*(1+AM99),-1)</f>
        <v>29090</v>
      </c>
      <c r="AN109" s="367">
        <f>ROUND(AM109*(1+AN99),-1)</f>
        <v>28940</v>
      </c>
      <c r="AO109" s="367">
        <f>ROUND(AN109*(1+AO99),-1)</f>
        <v>29080</v>
      </c>
      <c r="AP109" s="367">
        <f>ROUND(AO109*(1+AP99),-1)</f>
        <v>29080</v>
      </c>
      <c r="AQ109" s="367"/>
      <c r="AR109" s="367"/>
      <c r="AS109" s="367"/>
      <c r="AT109" s="367"/>
      <c r="AU109" s="367"/>
    </row>
    <row r="110" spans="2:47">
      <c r="B110" s="1338" t="s">
        <v>1015</v>
      </c>
      <c r="C110" s="1" t="s">
        <v>580</v>
      </c>
      <c r="S110" s="1449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1441"/>
      <c r="AI110" s="367"/>
      <c r="AJ110" s="1441"/>
      <c r="AK110" s="2010">
        <f>+AK111*0.87</f>
        <v>121.8</v>
      </c>
      <c r="AL110" s="2007">
        <f t="shared" ref="AL110:AP110" si="248">+AL111*0.87</f>
        <v>130.91673342983051</v>
      </c>
      <c r="AM110" s="2007">
        <f t="shared" si="248"/>
        <v>130.91673342983051</v>
      </c>
      <c r="AN110" s="2007">
        <f t="shared" si="248"/>
        <v>130.91673342983051</v>
      </c>
      <c r="AO110" s="2007">
        <f t="shared" si="248"/>
        <v>130.91673342983051</v>
      </c>
      <c r="AP110" s="2007">
        <f t="shared" si="248"/>
        <v>130.91673342983051</v>
      </c>
      <c r="AQ110" s="367"/>
      <c r="AR110" s="367"/>
      <c r="AS110" s="367"/>
      <c r="AT110" s="367"/>
      <c r="AU110" s="367"/>
    </row>
    <row r="111" spans="2:47">
      <c r="B111" s="1338" t="s">
        <v>1015</v>
      </c>
      <c r="C111" s="1" t="s">
        <v>580</v>
      </c>
      <c r="S111" s="1449"/>
      <c r="U111" s="367"/>
      <c r="V111" s="367"/>
      <c r="W111" s="367"/>
      <c r="X111" s="367"/>
      <c r="Y111" s="367"/>
      <c r="Z111" s="367">
        <f>ROUND(AC96+AC103+AC108+AC112,-2)-AB112</f>
        <v>104830</v>
      </c>
      <c r="AA111" s="367"/>
      <c r="AB111" s="367">
        <f>205*0.7</f>
        <v>143.5</v>
      </c>
      <c r="AC111" s="367">
        <f>140</f>
        <v>140</v>
      </c>
      <c r="AD111" s="367">
        <f t="shared" ref="AD111:AG111" si="249">AC111</f>
        <v>140</v>
      </c>
      <c r="AE111" s="367">
        <f t="shared" si="249"/>
        <v>140</v>
      </c>
      <c r="AF111" s="367">
        <f t="shared" si="249"/>
        <v>140</v>
      </c>
      <c r="AG111" s="367">
        <f t="shared" si="249"/>
        <v>140</v>
      </c>
      <c r="AH111" s="1961">
        <f>AG111</f>
        <v>140</v>
      </c>
      <c r="AI111" s="367">
        <f>AG111</f>
        <v>140</v>
      </c>
      <c r="AJ111" s="1961">
        <f>AI111</f>
        <v>140</v>
      </c>
      <c r="AK111" s="1442">
        <f>AI111</f>
        <v>140</v>
      </c>
      <c r="AL111" s="367">
        <f>AK111*(1+AL102)</f>
        <v>150.47900394233392</v>
      </c>
      <c r="AM111" s="367">
        <f t="shared" ref="AM111:AP111" si="250">AL111*(1+AM102)</f>
        <v>150.47900394233392</v>
      </c>
      <c r="AN111" s="367">
        <f t="shared" si="250"/>
        <v>150.47900394233392</v>
      </c>
      <c r="AO111" s="367">
        <f t="shared" si="250"/>
        <v>150.47900394233392</v>
      </c>
      <c r="AP111" s="367">
        <f t="shared" si="250"/>
        <v>150.47900394233392</v>
      </c>
      <c r="AQ111" s="367"/>
      <c r="AR111" s="367"/>
      <c r="AS111" s="367"/>
      <c r="AT111" s="367"/>
      <c r="AU111" s="367"/>
    </row>
    <row r="112" spans="2:47" hidden="1" outlineLevel="1">
      <c r="B112" s="2022" t="s">
        <v>1244</v>
      </c>
      <c r="C112" s="2022" t="s">
        <v>1245</v>
      </c>
      <c r="D112" s="1492"/>
      <c r="E112" s="1492"/>
      <c r="F112" s="1492"/>
      <c r="G112" s="1492"/>
      <c r="H112" s="1492"/>
      <c r="I112" s="1492"/>
      <c r="J112" s="1492"/>
      <c r="K112" s="1492"/>
      <c r="L112" s="1492"/>
      <c r="M112" s="1492"/>
      <c r="N112" s="1492"/>
      <c r="O112" s="1492"/>
      <c r="P112" s="1492"/>
      <c r="Q112" s="1492"/>
      <c r="R112" s="1492"/>
      <c r="S112" s="2021"/>
      <c r="T112" s="1492"/>
      <c r="U112" s="1457"/>
      <c r="V112" s="1457"/>
      <c r="W112" s="1457"/>
      <c r="X112" s="1457"/>
      <c r="Y112" s="1457"/>
      <c r="Z112" s="1457"/>
      <c r="AA112" s="1457"/>
      <c r="AB112" s="1457">
        <f>+AB114+AB116</f>
        <v>5670.0000000000009</v>
      </c>
      <c r="AC112" s="1457">
        <f t="shared" ref="AC112:AG112" si="251">+AC114+AC116</f>
        <v>6615.0000000000009</v>
      </c>
      <c r="AD112" s="1457">
        <f>+AD114+AD116</f>
        <v>9702</v>
      </c>
      <c r="AE112" s="1457">
        <f t="shared" si="251"/>
        <v>9821.7000000000007</v>
      </c>
      <c r="AF112" s="1457">
        <f t="shared" si="251"/>
        <v>9866.0519999999997</v>
      </c>
      <c r="AG112" s="1457">
        <f t="shared" si="251"/>
        <v>9866.0519999999997</v>
      </c>
      <c r="AH112" s="1933">
        <f t="shared" ref="AH112:AI112" si="252">+AH114+AH116</f>
        <v>9866.0519999999997</v>
      </c>
      <c r="AI112" s="1457">
        <f t="shared" si="252"/>
        <v>9776.4609600000003</v>
      </c>
      <c r="AJ112" s="1933">
        <f t="shared" ref="AJ112:AK112" si="253">+AJ114+AJ116</f>
        <v>9688.661740800002</v>
      </c>
      <c r="AK112" s="1494">
        <f t="shared" si="253"/>
        <v>8739.8155789056</v>
      </c>
      <c r="AL112" s="1457">
        <f t="shared" ref="AL112" si="254">+AL114+AL116</f>
        <v>8826.5</v>
      </c>
      <c r="AM112" s="1457">
        <f t="shared" ref="AM112:AN112" si="255">+AM114+AM116</f>
        <v>8856.5</v>
      </c>
      <c r="AN112" s="1457">
        <f t="shared" si="255"/>
        <v>8836.5</v>
      </c>
      <c r="AO112" s="1457">
        <f t="shared" ref="AO112" si="256">+AO114+AO116</f>
        <v>8856.5</v>
      </c>
      <c r="AP112" s="1457">
        <f t="shared" ref="AP112" si="257">+AP114+AP116</f>
        <v>8856.5</v>
      </c>
      <c r="AQ112" s="367"/>
      <c r="AR112" s="367"/>
      <c r="AS112" s="367"/>
      <c r="AT112" s="367"/>
      <c r="AU112" s="367"/>
    </row>
    <row r="113" spans="1:47" s="1449" customFormat="1" hidden="1" outlineLevel="1">
      <c r="B113" s="2023" t="s">
        <v>1467</v>
      </c>
      <c r="C113" s="2021" t="s">
        <v>1466</v>
      </c>
      <c r="D113" s="2021"/>
      <c r="E113" s="2021"/>
      <c r="F113" s="2021"/>
      <c r="G113" s="2021"/>
      <c r="H113" s="2021"/>
      <c r="I113" s="2021"/>
      <c r="J113" s="2021"/>
      <c r="K113" s="2021"/>
      <c r="L113" s="2021"/>
      <c r="M113" s="2021"/>
      <c r="N113" s="2021"/>
      <c r="O113" s="2021"/>
      <c r="P113" s="2021"/>
      <c r="Q113" s="2021"/>
      <c r="R113" s="2021"/>
      <c r="S113" s="2021"/>
      <c r="T113" s="2021"/>
      <c r="U113" s="1933"/>
      <c r="V113" s="1933"/>
      <c r="W113" s="1933"/>
      <c r="X113" s="1933"/>
      <c r="Y113" s="1933"/>
      <c r="Z113" s="1933"/>
      <c r="AA113" s="1933"/>
      <c r="AB113" s="1933"/>
      <c r="AC113" s="2024">
        <f>+AC112/AB112-1</f>
        <v>0.16666666666666674</v>
      </c>
      <c r="AD113" s="2024">
        <f t="shared" ref="AD113:AP113" si="258">+AD112/AC112-1</f>
        <v>0.46666666666666656</v>
      </c>
      <c r="AE113" s="2024">
        <f t="shared" si="258"/>
        <v>1.2337662337662314E-2</v>
      </c>
      <c r="AF113" s="2024">
        <f t="shared" si="258"/>
        <v>4.5157152020525171E-3</v>
      </c>
      <c r="AG113" s="2024">
        <f t="shared" si="258"/>
        <v>0</v>
      </c>
      <c r="AH113" s="2024">
        <f>+AH112/AG112-1</f>
        <v>0</v>
      </c>
      <c r="AI113" s="2024">
        <f>+AI112/AG112-1</f>
        <v>-9.080738678450051E-3</v>
      </c>
      <c r="AJ113" s="2024">
        <f>+AJ112/AI112-1</f>
        <v>-8.9806750683325554E-3</v>
      </c>
      <c r="AK113" s="2025">
        <f>+AK112/AI112-1</f>
        <v>-0.10603483053180429</v>
      </c>
      <c r="AL113" s="2024">
        <f t="shared" si="258"/>
        <v>9.9183352682659098E-3</v>
      </c>
      <c r="AM113" s="2024">
        <f t="shared" si="258"/>
        <v>3.3988557185746782E-3</v>
      </c>
      <c r="AN113" s="2024">
        <f t="shared" si="258"/>
        <v>-2.2582284198046088E-3</v>
      </c>
      <c r="AO113" s="2024">
        <f t="shared" si="258"/>
        <v>2.2633395575171189E-3</v>
      </c>
      <c r="AP113" s="2024">
        <f t="shared" si="258"/>
        <v>0</v>
      </c>
      <c r="AQ113" s="1441"/>
      <c r="AR113" s="1441"/>
      <c r="AS113" s="1441"/>
      <c r="AT113" s="1441"/>
      <c r="AU113" s="1441"/>
    </row>
    <row r="114" spans="1:47" hidden="1" outlineLevel="1">
      <c r="B114" s="2026" t="s">
        <v>1470</v>
      </c>
      <c r="C114" s="2027" t="s">
        <v>1243</v>
      </c>
      <c r="D114" s="1492"/>
      <c r="E114" s="1492"/>
      <c r="F114" s="1492"/>
      <c r="G114" s="1492"/>
      <c r="H114" s="1492"/>
      <c r="I114" s="1492"/>
      <c r="J114" s="1492"/>
      <c r="K114" s="1492"/>
      <c r="L114" s="1492"/>
      <c r="M114" s="1492"/>
      <c r="N114" s="1492"/>
      <c r="O114" s="1492"/>
      <c r="P114" s="1492"/>
      <c r="Q114" s="1492"/>
      <c r="R114" s="1492"/>
      <c r="S114" s="2021"/>
      <c r="T114" s="1492"/>
      <c r="U114" s="1457"/>
      <c r="V114" s="1457"/>
      <c r="W114" s="1457"/>
      <c r="X114" s="1457"/>
      <c r="Y114" s="1457"/>
      <c r="Z114" s="1457"/>
      <c r="AA114" s="1457"/>
      <c r="AB114" s="1457">
        <f>420000*0.27*0.05</f>
        <v>5670.0000000000009</v>
      </c>
      <c r="AC114" s="1457">
        <f>+(1+AC115)*AB114</f>
        <v>5670.0000000000009</v>
      </c>
      <c r="AD114" s="1457">
        <f t="shared" ref="AD114:AP114" si="259">+(1+AD115)*AC114</f>
        <v>5670.0000000000009</v>
      </c>
      <c r="AE114" s="1457">
        <f t="shared" si="259"/>
        <v>5386.5000000000009</v>
      </c>
      <c r="AF114" s="1457">
        <f t="shared" si="259"/>
        <v>5386.5000000000009</v>
      </c>
      <c r="AG114" s="1457">
        <f t="shared" si="259"/>
        <v>5386.5000000000009</v>
      </c>
      <c r="AH114" s="1933">
        <f>+(1+AH115)*AG114</f>
        <v>5386.5000000000009</v>
      </c>
      <c r="AI114" s="1457">
        <f>+(1+AI115)*AG114</f>
        <v>5386.5000000000009</v>
      </c>
      <c r="AJ114" s="1933">
        <f>+(1+AJ115)*AI114</f>
        <v>5386.5000000000009</v>
      </c>
      <c r="AK114" s="1494">
        <f>+(1+AK115)*AI114</f>
        <v>5386.5000000000009</v>
      </c>
      <c r="AL114" s="1457">
        <f t="shared" si="259"/>
        <v>5386.5000000000009</v>
      </c>
      <c r="AM114" s="1457">
        <f t="shared" si="259"/>
        <v>5386.5000000000009</v>
      </c>
      <c r="AN114" s="1457">
        <f t="shared" si="259"/>
        <v>5386.5000000000009</v>
      </c>
      <c r="AO114" s="1457">
        <f t="shared" si="259"/>
        <v>5386.5000000000009</v>
      </c>
      <c r="AP114" s="1457">
        <f t="shared" si="259"/>
        <v>5386.5000000000009</v>
      </c>
      <c r="AQ114" s="367"/>
      <c r="AR114" s="367"/>
      <c r="AS114" s="367"/>
      <c r="AT114" s="367"/>
      <c r="AU114" s="367"/>
    </row>
    <row r="115" spans="1:47" s="1664" customFormat="1" hidden="1" outlineLevel="1">
      <c r="A115" s="1664" t="s">
        <v>1468</v>
      </c>
      <c r="B115" s="2028" t="s">
        <v>1469</v>
      </c>
      <c r="C115" s="2028" t="s">
        <v>1466</v>
      </c>
      <c r="D115" s="2028"/>
      <c r="E115" s="2028"/>
      <c r="F115" s="2028"/>
      <c r="G115" s="2028"/>
      <c r="H115" s="2028"/>
      <c r="I115" s="2028"/>
      <c r="J115" s="2028"/>
      <c r="K115" s="2028"/>
      <c r="L115" s="2028"/>
      <c r="M115" s="2028"/>
      <c r="N115" s="2028"/>
      <c r="O115" s="2028"/>
      <c r="P115" s="2028"/>
      <c r="Q115" s="2028"/>
      <c r="R115" s="2028"/>
      <c r="S115" s="2028"/>
      <c r="T115" s="2028"/>
      <c r="U115" s="2028"/>
      <c r="V115" s="2028"/>
      <c r="W115" s="2028"/>
      <c r="X115" s="2028"/>
      <c r="Y115" s="2028"/>
      <c r="Z115" s="2028"/>
      <c r="AA115" s="2028"/>
      <c r="AB115" s="2028"/>
      <c r="AC115" s="2028">
        <v>0</v>
      </c>
      <c r="AD115" s="2028">
        <v>0</v>
      </c>
      <c r="AE115" s="2028">
        <v>-0.05</v>
      </c>
      <c r="AF115" s="2028">
        <v>0</v>
      </c>
      <c r="AG115" s="2028">
        <f t="shared" ref="AG115:AP115" si="260">+AF115</f>
        <v>0</v>
      </c>
      <c r="AH115" s="2028">
        <f>+AG115</f>
        <v>0</v>
      </c>
      <c r="AI115" s="2028">
        <f>+AG115</f>
        <v>0</v>
      </c>
      <c r="AJ115" s="2028">
        <f>+AI115</f>
        <v>0</v>
      </c>
      <c r="AK115" s="2029">
        <f>+AI115</f>
        <v>0</v>
      </c>
      <c r="AL115" s="2028">
        <f t="shared" si="260"/>
        <v>0</v>
      </c>
      <c r="AM115" s="2028">
        <f t="shared" si="260"/>
        <v>0</v>
      </c>
      <c r="AN115" s="2028">
        <f t="shared" si="260"/>
        <v>0</v>
      </c>
      <c r="AO115" s="2028">
        <f t="shared" si="260"/>
        <v>0</v>
      </c>
      <c r="AP115" s="2028">
        <f t="shared" si="260"/>
        <v>0</v>
      </c>
    </row>
    <row r="116" spans="1:47" collapsed="1">
      <c r="B116" s="2012" t="s">
        <v>1246</v>
      </c>
      <c r="C116" s="2013" t="s">
        <v>1471</v>
      </c>
      <c r="D116" s="2013"/>
      <c r="E116" s="2013"/>
      <c r="F116" s="2013"/>
      <c r="G116" s="2013"/>
      <c r="H116" s="2013"/>
      <c r="I116" s="2013"/>
      <c r="J116" s="2013"/>
      <c r="K116" s="2013"/>
      <c r="L116" s="2013"/>
      <c r="M116" s="2013"/>
      <c r="N116" s="2013"/>
      <c r="O116" s="2013"/>
      <c r="P116" s="2013"/>
      <c r="Q116" s="2013"/>
      <c r="R116" s="2013"/>
      <c r="S116" s="2014"/>
      <c r="T116" s="2013"/>
      <c r="U116" s="2015"/>
      <c r="V116" s="2015"/>
      <c r="W116" s="2015"/>
      <c r="X116" s="2015"/>
      <c r="Y116" s="2015"/>
      <c r="Z116" s="2015"/>
      <c r="AA116" s="2015"/>
      <c r="AB116" s="2015"/>
      <c r="AC116" s="2015">
        <f t="shared" ref="AC116:AJ116" si="261">+AC119*AC117/1000</f>
        <v>944.99999999999989</v>
      </c>
      <c r="AD116" s="2015">
        <f t="shared" si="261"/>
        <v>4031.9999999999995</v>
      </c>
      <c r="AE116" s="2015">
        <f t="shared" si="261"/>
        <v>4435.1999999999989</v>
      </c>
      <c r="AF116" s="2015">
        <f t="shared" si="261"/>
        <v>4479.5519999999988</v>
      </c>
      <c r="AG116" s="2015">
        <f t="shared" si="261"/>
        <v>4479.5519999999988</v>
      </c>
      <c r="AH116" s="2016">
        <f t="shared" si="261"/>
        <v>4479.5519999999988</v>
      </c>
      <c r="AI116" s="2015">
        <f t="shared" si="261"/>
        <v>4389.9609599999994</v>
      </c>
      <c r="AJ116" s="2016">
        <f t="shared" si="261"/>
        <v>4302.1617408000002</v>
      </c>
      <c r="AK116" s="2017">
        <f>+AK118*AK117/1000</f>
        <v>3353.3155789055995</v>
      </c>
      <c r="AL116" s="2015">
        <f>ROUND(+AL118*AL117/1000,-1)</f>
        <v>3440</v>
      </c>
      <c r="AM116" s="2015">
        <f>ROUND(+AM118*AM117/1000,-1)</f>
        <v>3470</v>
      </c>
      <c r="AN116" s="2015">
        <f>ROUND(+AN118*AN117/1000,-1)</f>
        <v>3450</v>
      </c>
      <c r="AO116" s="2015">
        <f>ROUND(+AO118*AO117/1000,-1)</f>
        <v>3470</v>
      </c>
      <c r="AP116" s="2015">
        <f>ROUND(+AP118*AP117/1000,-1)</f>
        <v>3470</v>
      </c>
      <c r="AQ116" s="367"/>
      <c r="AR116" s="367">
        <f>Quarterly!KH39</f>
        <v>0</v>
      </c>
      <c r="AS116" s="367"/>
      <c r="AT116" s="367">
        <f>Quarterly!KM39</f>
        <v>0</v>
      </c>
      <c r="AU116" s="367">
        <f>Quarterly!KW39</f>
        <v>0</v>
      </c>
    </row>
    <row r="117" spans="1:47">
      <c r="B117" s="1338" t="s">
        <v>1014</v>
      </c>
      <c r="C117" s="1" t="s">
        <v>581</v>
      </c>
      <c r="S117" s="1449"/>
      <c r="U117" s="367"/>
      <c r="V117" s="367"/>
      <c r="W117" s="367"/>
      <c r="X117" s="367"/>
      <c r="Y117" s="367"/>
      <c r="Z117" s="367"/>
      <c r="AA117" s="367"/>
      <c r="AB117" s="367"/>
      <c r="AC117" s="367">
        <f>10000*3/4</f>
        <v>7500</v>
      </c>
      <c r="AD117" s="367">
        <v>32000</v>
      </c>
      <c r="AE117" s="367">
        <f>AD117*1.1</f>
        <v>35200</v>
      </c>
      <c r="AF117" s="367">
        <f>AE117*1.01</f>
        <v>35552</v>
      </c>
      <c r="AG117" s="367">
        <f t="shared" ref="AG117" si="262">+AF117</f>
        <v>35552</v>
      </c>
      <c r="AH117" s="1961">
        <f>+AG117</f>
        <v>35552</v>
      </c>
      <c r="AI117" s="367">
        <f>+AG117*0.98</f>
        <v>34840.959999999999</v>
      </c>
      <c r="AJ117" s="1961">
        <f>+AI117*0.98</f>
        <v>34144.140800000001</v>
      </c>
      <c r="AK117" s="1442">
        <f>+AI117*0.878</f>
        <v>30590.362880000001</v>
      </c>
      <c r="AL117" s="367">
        <f>ROUND(AK117*(1+AL99),-1)</f>
        <v>29250</v>
      </c>
      <c r="AM117" s="367">
        <f>ROUND(AL117*(1+AM99),-1)</f>
        <v>29540</v>
      </c>
      <c r="AN117" s="367">
        <f>ROUND(AM117*(1+AN99),-1)</f>
        <v>29390</v>
      </c>
      <c r="AO117" s="367">
        <f>ROUND(AN117*(1+AO99),-1)</f>
        <v>29540</v>
      </c>
      <c r="AP117" s="367">
        <f>ROUND(AO117*(1+AP99),-1)</f>
        <v>29540</v>
      </c>
      <c r="AQ117" s="367"/>
      <c r="AR117" s="367"/>
      <c r="AS117" s="367"/>
      <c r="AT117" s="367"/>
      <c r="AU117" s="367"/>
    </row>
    <row r="118" spans="1:47">
      <c r="B118" s="1338" t="s">
        <v>1015</v>
      </c>
      <c r="C118" s="1" t="s">
        <v>580</v>
      </c>
      <c r="S118" s="1449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1961"/>
      <c r="AI118" s="367"/>
      <c r="AJ118" s="1961"/>
      <c r="AK118" s="2010">
        <f>+AK119*0.87</f>
        <v>109.61999999999999</v>
      </c>
      <c r="AL118" s="2007">
        <f>+AL119*0.87</f>
        <v>117.45</v>
      </c>
      <c r="AM118" s="2007">
        <f t="shared" ref="AM118:AP118" si="263">+AM119*0.87</f>
        <v>117.45</v>
      </c>
      <c r="AN118" s="2007">
        <f t="shared" si="263"/>
        <v>117.45</v>
      </c>
      <c r="AO118" s="2007">
        <f t="shared" si="263"/>
        <v>117.45</v>
      </c>
      <c r="AP118" s="2007">
        <f t="shared" si="263"/>
        <v>117.45</v>
      </c>
      <c r="AQ118" s="367"/>
      <c r="AR118" s="367"/>
      <c r="AS118" s="367"/>
      <c r="AT118" s="367"/>
      <c r="AU118" s="367"/>
    </row>
    <row r="119" spans="1:47">
      <c r="B119" s="1338" t="s">
        <v>1015</v>
      </c>
      <c r="C119" s="1" t="s">
        <v>580</v>
      </c>
      <c r="S119" s="1449"/>
      <c r="U119" s="367"/>
      <c r="V119" s="367"/>
      <c r="W119" s="367"/>
      <c r="X119" s="367"/>
      <c r="Y119" s="367"/>
      <c r="Z119" s="367"/>
      <c r="AA119" s="367"/>
      <c r="AB119" s="367"/>
      <c r="AC119" s="367">
        <f>180*0.7</f>
        <v>125.99999999999999</v>
      </c>
      <c r="AD119" s="367">
        <f>+AC119</f>
        <v>125.99999999999999</v>
      </c>
      <c r="AE119" s="367">
        <f>+AD119</f>
        <v>125.99999999999999</v>
      </c>
      <c r="AF119" s="367">
        <f t="shared" ref="AF119:AG119" si="264">+AE119</f>
        <v>125.99999999999999</v>
      </c>
      <c r="AG119" s="367">
        <f t="shared" si="264"/>
        <v>125.99999999999999</v>
      </c>
      <c r="AH119" s="1961">
        <f>+AG119</f>
        <v>125.99999999999999</v>
      </c>
      <c r="AI119" s="367">
        <f>+AG119</f>
        <v>125.99999999999999</v>
      </c>
      <c r="AJ119" s="1961">
        <f>+AI119</f>
        <v>125.99999999999999</v>
      </c>
      <c r="AK119" s="1442">
        <f>+AI119</f>
        <v>125.99999999999999</v>
      </c>
      <c r="AL119" s="367">
        <f>ROUND(AK119*(1+AL102),)</f>
        <v>135</v>
      </c>
      <c r="AM119" s="367">
        <f>ROUND(AL119*(1+AM102),)</f>
        <v>135</v>
      </c>
      <c r="AN119" s="367">
        <f>ROUND(AM119*(1+AN102),)</f>
        <v>135</v>
      </c>
      <c r="AO119" s="367">
        <f>ROUND(AN119*(1+AO102),)</f>
        <v>135</v>
      </c>
      <c r="AP119" s="367">
        <f>ROUND(AO119*(1+AP102),)</f>
        <v>135</v>
      </c>
      <c r="AQ119" s="367"/>
      <c r="AR119" s="367"/>
      <c r="AS119" s="367"/>
      <c r="AT119" s="367"/>
      <c r="AU119" s="367"/>
    </row>
    <row r="120" spans="1:47" hidden="1" outlineLevel="1">
      <c r="B120" s="1338" t="s">
        <v>1343</v>
      </c>
      <c r="C120" s="1" t="s">
        <v>1375</v>
      </c>
      <c r="S120" s="1449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>
        <f>5500*0.8</f>
        <v>4400</v>
      </c>
      <c r="AG120" s="367">
        <v>1000</v>
      </c>
      <c r="AH120" s="1961">
        <v>0</v>
      </c>
      <c r="AI120" s="367">
        <f>$AG$77*0.9*0.1*0.8</f>
        <v>9705.6</v>
      </c>
      <c r="AJ120" s="1961">
        <f>$AI$77*0.9*0.1*0.8</f>
        <v>6876</v>
      </c>
      <c r="AK120" s="2030">
        <f>$AG$77*0.9*0.1*0.8</f>
        <v>9705.6</v>
      </c>
      <c r="AL120" s="2031">
        <f>$AG$77*0.9*0.1*0.15</f>
        <v>1819.8</v>
      </c>
      <c r="AM120" s="2031">
        <v>0</v>
      </c>
      <c r="AN120" s="2031">
        <v>0</v>
      </c>
      <c r="AO120" s="2031">
        <v>0</v>
      </c>
      <c r="AP120" s="2031">
        <v>0</v>
      </c>
      <c r="AQ120" s="367"/>
      <c r="AR120" s="367"/>
      <c r="AS120" s="367"/>
      <c r="AT120" s="367"/>
      <c r="AU120" s="367"/>
    </row>
    <row r="121" spans="1:47" hidden="1" outlineLevel="1">
      <c r="B121" s="1338"/>
      <c r="C121" s="1" t="s">
        <v>1360</v>
      </c>
      <c r="S121" s="1449"/>
      <c r="U121" s="367"/>
      <c r="V121" s="367"/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367"/>
      <c r="AH121" s="1961">
        <v>-40000</v>
      </c>
      <c r="AI121" s="367">
        <f>AG121</f>
        <v>0</v>
      </c>
      <c r="AJ121" s="1961">
        <f>AH121</f>
        <v>-40000</v>
      </c>
      <c r="AK121" s="2030"/>
      <c r="AL121" s="2031">
        <f>AJ121</f>
        <v>-40000</v>
      </c>
      <c r="AM121" s="2031">
        <f t="shared" ref="AM121:AP121" si="265">AL121</f>
        <v>-40000</v>
      </c>
      <c r="AN121" s="2031">
        <f t="shared" si="265"/>
        <v>-40000</v>
      </c>
      <c r="AO121" s="2031">
        <f t="shared" si="265"/>
        <v>-40000</v>
      </c>
      <c r="AP121" s="2031">
        <f t="shared" si="265"/>
        <v>-40000</v>
      </c>
      <c r="AQ121" s="367"/>
      <c r="AR121" s="367"/>
      <c r="AS121" s="367"/>
      <c r="AT121" s="367"/>
      <c r="AU121" s="367"/>
    </row>
    <row r="122" spans="1:47" hidden="1" outlineLevel="1">
      <c r="B122" s="1338"/>
      <c r="S122" s="1449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  <c r="AG122" s="367"/>
      <c r="AH122" s="1961"/>
      <c r="AI122" s="367"/>
      <c r="AJ122" s="1961"/>
      <c r="AK122" s="2030">
        <f>+AK94-AK96-AK103-AK108-AK116</f>
        <v>-242.0781240952233</v>
      </c>
      <c r="AL122" s="2031"/>
      <c r="AM122" s="2031"/>
      <c r="AN122" s="2031"/>
      <c r="AO122" s="2031"/>
      <c r="AP122" s="2031"/>
      <c r="AQ122" s="367"/>
      <c r="AR122" s="367"/>
      <c r="AS122" s="367"/>
      <c r="AT122" s="367"/>
      <c r="AU122" s="367"/>
    </row>
    <row r="123" spans="1:47" s="1449" customFormat="1" ht="5.25" customHeight="1" collapsed="1">
      <c r="B123" s="1904"/>
      <c r="U123" s="1441"/>
      <c r="V123" s="1441"/>
      <c r="W123" s="1453"/>
      <c r="X123" s="1453"/>
      <c r="Y123" s="1453"/>
      <c r="Z123" s="1453"/>
      <c r="AA123" s="1453"/>
      <c r="AB123" s="1453"/>
      <c r="AC123" s="1453"/>
      <c r="AD123" s="1453"/>
      <c r="AE123" s="1453"/>
      <c r="AF123" s="1453"/>
      <c r="AG123" s="1453"/>
      <c r="AH123" s="1962"/>
      <c r="AI123" s="1453"/>
      <c r="AJ123" s="1962"/>
      <c r="AK123" s="1905"/>
      <c r="AL123" s="1453"/>
      <c r="AM123" s="1453"/>
      <c r="AN123" s="1453"/>
      <c r="AO123" s="1453"/>
      <c r="AP123" s="1453"/>
      <c r="AQ123" s="1441"/>
      <c r="AR123" s="1664"/>
      <c r="AS123" s="1441"/>
      <c r="AT123" s="1664"/>
      <c r="AU123" s="1664"/>
    </row>
    <row r="124" spans="1:47">
      <c r="B124" s="1906" t="s">
        <v>636</v>
      </c>
      <c r="C124" s="1487" t="s">
        <v>537</v>
      </c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  <c r="R124" s="1487"/>
      <c r="S124" s="1913">
        <v>65000</v>
      </c>
      <c r="T124" s="1487"/>
      <c r="U124" s="1489"/>
      <c r="V124" s="1489">
        <v>65242</v>
      </c>
      <c r="W124" s="1489">
        <v>63378</v>
      </c>
      <c r="X124" s="1489">
        <v>63372</v>
      </c>
      <c r="Y124" s="1489">
        <v>62069</v>
      </c>
      <c r="Z124" s="1489">
        <v>63900</v>
      </c>
      <c r="AA124" s="1489">
        <f t="shared" ref="AA124:AG124" si="266">AA126+AA134+AA135</f>
        <v>67000</v>
      </c>
      <c r="AB124" s="1489">
        <f t="shared" si="266"/>
        <v>68200</v>
      </c>
      <c r="AC124" s="1489">
        <f>AC126+AC134+AC135</f>
        <v>67200</v>
      </c>
      <c r="AD124" s="1489">
        <f>AD126+AD134+AD135</f>
        <v>68500</v>
      </c>
      <c r="AE124" s="1489">
        <f t="shared" si="266"/>
        <v>69200</v>
      </c>
      <c r="AF124" s="1489">
        <f t="shared" si="266"/>
        <v>72300</v>
      </c>
      <c r="AG124" s="1489">
        <f t="shared" si="266"/>
        <v>78100</v>
      </c>
      <c r="AH124" s="1961">
        <f t="shared" ref="AH124" si="267">AH126+AH134+AH135+AH136</f>
        <v>51500</v>
      </c>
      <c r="AI124" s="1489">
        <f>+Quarterly!IR41</f>
        <v>51300</v>
      </c>
      <c r="AJ124" s="1961">
        <f t="shared" ref="AJ124" si="268">AJ126+AJ134+AJ135+AJ136</f>
        <v>58600</v>
      </c>
      <c r="AK124" s="1490">
        <f>+Quarterly!JD41</f>
        <v>52837</v>
      </c>
      <c r="AL124" s="1489">
        <f>AL126+AL134+AL135</f>
        <v>56300</v>
      </c>
      <c r="AM124" s="1489">
        <f t="shared" ref="AM124:AP124" si="269">AM126+AM134+AM135</f>
        <v>56800</v>
      </c>
      <c r="AN124" s="1489">
        <f t="shared" si="269"/>
        <v>57100</v>
      </c>
      <c r="AO124" s="1489">
        <f t="shared" si="269"/>
        <v>57500</v>
      </c>
      <c r="AP124" s="1489">
        <f t="shared" si="269"/>
        <v>57800</v>
      </c>
      <c r="AQ124" s="367"/>
      <c r="AR124" s="367">
        <f>+Quarterly!KH41</f>
        <v>54700</v>
      </c>
      <c r="AS124" s="367"/>
      <c r="AT124" s="367">
        <f>+Quarterly!KM41</f>
        <v>53200</v>
      </c>
      <c r="AU124" s="367">
        <f>+Quarterly!KW41</f>
        <v>52000</v>
      </c>
    </row>
    <row r="125" spans="1:47" s="1449" customFormat="1">
      <c r="B125" s="1908" t="s">
        <v>669</v>
      </c>
      <c r="C125" s="1909" t="s">
        <v>567</v>
      </c>
      <c r="D125" s="1909"/>
      <c r="E125" s="1909"/>
      <c r="F125" s="1909"/>
      <c r="G125" s="1909"/>
      <c r="H125" s="1909"/>
      <c r="I125" s="1909"/>
      <c r="J125" s="1909"/>
      <c r="K125" s="1909"/>
      <c r="L125" s="1909"/>
      <c r="M125" s="1909"/>
      <c r="N125" s="1909"/>
      <c r="O125" s="1909"/>
      <c r="P125" s="1909"/>
      <c r="Q125" s="1909"/>
      <c r="R125" s="1909"/>
      <c r="S125" s="1909"/>
      <c r="T125" s="1909"/>
      <c r="U125" s="1907"/>
      <c r="V125" s="1907"/>
      <c r="W125" s="1910">
        <f t="shared" ref="W125:AP125" si="270">(W124-V124)/V124</f>
        <v>-2.8570552711443549E-2</v>
      </c>
      <c r="X125" s="1910">
        <f t="shared" si="270"/>
        <v>-9.4670074789359086E-5</v>
      </c>
      <c r="Y125" s="1910">
        <f t="shared" si="270"/>
        <v>-2.0561131098908034E-2</v>
      </c>
      <c r="Z125" s="1910">
        <f t="shared" si="270"/>
        <v>2.9499428055873304E-2</v>
      </c>
      <c r="AA125" s="1910">
        <f t="shared" si="270"/>
        <v>4.8513302034428794E-2</v>
      </c>
      <c r="AB125" s="1910">
        <f t="shared" si="270"/>
        <v>1.7910447761194031E-2</v>
      </c>
      <c r="AC125" s="1910">
        <f t="shared" si="270"/>
        <v>-1.466275659824047E-2</v>
      </c>
      <c r="AD125" s="1910">
        <f t="shared" si="270"/>
        <v>1.9345238095238096E-2</v>
      </c>
      <c r="AE125" s="1910">
        <f t="shared" si="270"/>
        <v>1.0218978102189781E-2</v>
      </c>
      <c r="AF125" s="1910">
        <f t="shared" si="270"/>
        <v>4.4797687861271675E-2</v>
      </c>
      <c r="AG125" s="1910">
        <f t="shared" si="270"/>
        <v>8.0221300138312593E-2</v>
      </c>
      <c r="AH125" s="1962">
        <f>(AH124-AG124)/AG124</f>
        <v>-0.34058898847631242</v>
      </c>
      <c r="AI125" s="1910">
        <f>(AI124-AG124)/AG124</f>
        <v>-0.34314980793854033</v>
      </c>
      <c r="AJ125" s="1962">
        <f>(AJ124-AI124)/AI124</f>
        <v>0.14230019493177387</v>
      </c>
      <c r="AK125" s="1911">
        <f>(AK124-AI124)/AI124</f>
        <v>2.9961013645224171E-2</v>
      </c>
      <c r="AL125" s="1910">
        <f t="shared" si="270"/>
        <v>6.5541192724795125E-2</v>
      </c>
      <c r="AM125" s="1910">
        <f t="shared" si="270"/>
        <v>8.8809946714031966E-3</v>
      </c>
      <c r="AN125" s="1910">
        <f t="shared" si="270"/>
        <v>5.2816901408450703E-3</v>
      </c>
      <c r="AO125" s="1910">
        <f t="shared" si="270"/>
        <v>7.0052539404553416E-3</v>
      </c>
      <c r="AP125" s="1910">
        <f t="shared" si="270"/>
        <v>5.2173913043478265E-3</v>
      </c>
      <c r="AQ125" s="1441"/>
      <c r="AR125" s="1664">
        <f>+AR124/AK124-1</f>
        <v>3.5259382629596603E-2</v>
      </c>
      <c r="AS125" s="1441"/>
      <c r="AT125" s="1664">
        <f>+AT124/AI124-1</f>
        <v>3.7037037037036979E-2</v>
      </c>
      <c r="AU125" s="1664">
        <f>+AU124/AG124-1</f>
        <v>-0.33418693982074266</v>
      </c>
    </row>
    <row r="126" spans="1:47">
      <c r="B126" s="2012" t="s">
        <v>1472</v>
      </c>
      <c r="C126" s="2013" t="s">
        <v>1473</v>
      </c>
      <c r="D126" s="2013"/>
      <c r="E126" s="2013"/>
      <c r="F126" s="2013"/>
      <c r="G126" s="2013"/>
      <c r="H126" s="2013"/>
      <c r="I126" s="2013"/>
      <c r="J126" s="2013"/>
      <c r="K126" s="2013"/>
      <c r="L126" s="2013"/>
      <c r="M126" s="2013"/>
      <c r="N126" s="2013"/>
      <c r="O126" s="2013"/>
      <c r="P126" s="2013"/>
      <c r="Q126" s="2013"/>
      <c r="R126" s="2013"/>
      <c r="S126" s="2014"/>
      <c r="T126" s="2013"/>
      <c r="U126" s="2015"/>
      <c r="V126" s="2038" t="s">
        <v>518</v>
      </c>
      <c r="W126" s="2015">
        <v>48200</v>
      </c>
      <c r="X126" s="2015">
        <v>47391</v>
      </c>
      <c r="Y126" s="2015">
        <f t="shared" ref="Y126:AB126" si="271">ROUND(Y131*Y133/1000,-2)</f>
        <v>46500</v>
      </c>
      <c r="Z126" s="2015">
        <f t="shared" si="271"/>
        <v>47900</v>
      </c>
      <c r="AA126" s="2015">
        <f t="shared" si="271"/>
        <v>50500</v>
      </c>
      <c r="AB126" s="2015">
        <f t="shared" si="271"/>
        <v>50200</v>
      </c>
      <c r="AC126" s="2015">
        <f>ROUND(AC131*AC133/1000,-2)</f>
        <v>50200</v>
      </c>
      <c r="AD126" s="2015">
        <f>ROUND(AD131*AD133/1000,-2)</f>
        <v>51300</v>
      </c>
      <c r="AE126" s="2015">
        <f t="shared" ref="AE126:AI126" si="272">ROUND(AE131*AE133/1000,-2)</f>
        <v>51800</v>
      </c>
      <c r="AF126" s="2015">
        <f t="shared" si="272"/>
        <v>54900</v>
      </c>
      <c r="AG126" s="2015">
        <f t="shared" si="272"/>
        <v>60400</v>
      </c>
      <c r="AH126" s="2016">
        <f t="shared" si="272"/>
        <v>58000</v>
      </c>
      <c r="AI126" s="2015">
        <f t="shared" si="272"/>
        <v>61500</v>
      </c>
      <c r="AJ126" s="2016">
        <f t="shared" ref="AJ126" si="273">ROUND(AJ131*AJ133/1000,-2)</f>
        <v>63300</v>
      </c>
      <c r="AK126" s="2017">
        <f>+ROUND(AK$124*0.8,-2)</f>
        <v>42300</v>
      </c>
      <c r="AL126" s="2015">
        <f>ROUND(AL131*AL132/1000,-2)</f>
        <v>44900</v>
      </c>
      <c r="AM126" s="2015">
        <f t="shared" ref="AM126:AP126" si="274">ROUND(AM131*AM132/1000,-2)</f>
        <v>45300</v>
      </c>
      <c r="AN126" s="2015">
        <f t="shared" si="274"/>
        <v>45500</v>
      </c>
      <c r="AO126" s="2015">
        <f t="shared" si="274"/>
        <v>45800</v>
      </c>
      <c r="AP126" s="2015">
        <f t="shared" si="274"/>
        <v>46000</v>
      </c>
      <c r="AQ126" s="367"/>
      <c r="AR126" s="367"/>
      <c r="AS126" s="367"/>
      <c r="AT126" s="367"/>
      <c r="AU126" s="367"/>
    </row>
    <row r="127" spans="1:47">
      <c r="B127" s="2032" t="s">
        <v>1019</v>
      </c>
      <c r="C127" s="2033" t="s">
        <v>579</v>
      </c>
      <c r="D127" s="2033"/>
      <c r="E127" s="2033"/>
      <c r="F127" s="2033"/>
      <c r="G127" s="2033"/>
      <c r="H127" s="2033"/>
      <c r="I127" s="2033"/>
      <c r="J127" s="2033"/>
      <c r="K127" s="2033"/>
      <c r="L127" s="2033"/>
      <c r="M127" s="2033"/>
      <c r="N127" s="2033"/>
      <c r="O127" s="2033"/>
      <c r="P127" s="2033"/>
      <c r="Q127" s="2033"/>
      <c r="R127" s="2033"/>
      <c r="S127" s="2034"/>
      <c r="T127" s="2033"/>
      <c r="U127" s="2035"/>
      <c r="V127" s="2035"/>
      <c r="W127" s="2035">
        <v>175500</v>
      </c>
      <c r="X127" s="2035">
        <v>173700</v>
      </c>
      <c r="Y127" s="2035">
        <f>X127*0.97</f>
        <v>168489</v>
      </c>
      <c r="Z127" s="2035">
        <f>Y127*1.03</f>
        <v>173543.67</v>
      </c>
      <c r="AA127" s="2035">
        <f>Z127*1.05</f>
        <v>182220.85350000003</v>
      </c>
      <c r="AB127" s="2035">
        <f>AA127*1</f>
        <v>182220.85350000003</v>
      </c>
      <c r="AC127" s="2035">
        <f>AB127*1</f>
        <v>182220.85350000003</v>
      </c>
      <c r="AD127" s="2035">
        <f t="shared" ref="AD127:AF127" si="275">AC127*1.01</f>
        <v>184043.06203500004</v>
      </c>
      <c r="AE127" s="2035">
        <f t="shared" si="275"/>
        <v>185883.49265535004</v>
      </c>
      <c r="AF127" s="2035">
        <f t="shared" si="275"/>
        <v>187742.32758190355</v>
      </c>
      <c r="AG127" s="2035">
        <f>AF127*1.1</f>
        <v>206516.56034009391</v>
      </c>
      <c r="AH127" s="2036">
        <f>AG127*0.96</f>
        <v>198255.89792649014</v>
      </c>
      <c r="AI127" s="2035">
        <f>AG127*0.97</f>
        <v>200321.06352989108</v>
      </c>
      <c r="AJ127" s="2036">
        <f>AI127*0.98</f>
        <v>196314.64225929326</v>
      </c>
      <c r="AK127" s="2037">
        <f>AI127*0.95</f>
        <v>190305.0103533965</v>
      </c>
      <c r="AL127" s="2039">
        <f>ROUND(AK127*1.01,-2)</f>
        <v>192200</v>
      </c>
      <c r="AM127" s="2039">
        <f t="shared" ref="AM127" si="276">ROUND(AL127*1.01,-2)</f>
        <v>194100</v>
      </c>
      <c r="AN127" s="2039">
        <f>ROUND(AM127*1.005,-2)</f>
        <v>195100</v>
      </c>
      <c r="AO127" s="2039">
        <f>ROUND(AN127*1.005,-2)</f>
        <v>196100</v>
      </c>
      <c r="AP127" s="2039">
        <f>ROUND(AO127*1.005,-2)</f>
        <v>197100</v>
      </c>
      <c r="AQ127" s="367"/>
      <c r="AR127" s="367"/>
      <c r="AS127" s="367"/>
      <c r="AT127" s="367"/>
      <c r="AU127" s="367"/>
    </row>
    <row r="128" spans="1:47" s="1449" customFormat="1">
      <c r="B128" s="1904" t="s">
        <v>1020</v>
      </c>
      <c r="C128" s="1449" t="s">
        <v>578</v>
      </c>
      <c r="Q128" s="1453"/>
      <c r="R128" s="1453"/>
      <c r="S128" s="1453"/>
      <c r="T128" s="1453"/>
      <c r="U128" s="1453"/>
      <c r="V128" s="1453"/>
      <c r="W128" s="1453">
        <v>0.185</v>
      </c>
      <c r="X128" s="1453">
        <v>0.187</v>
      </c>
      <c r="Y128" s="1453">
        <v>0.189</v>
      </c>
      <c r="Z128" s="1453">
        <f>Y128</f>
        <v>0.189</v>
      </c>
      <c r="AA128" s="1453">
        <v>0.19</v>
      </c>
      <c r="AB128" s="1453">
        <v>0.189</v>
      </c>
      <c r="AC128" s="1453">
        <v>0.189</v>
      </c>
      <c r="AD128" s="1453">
        <v>0.191</v>
      </c>
      <c r="AE128" s="1453">
        <v>0.191</v>
      </c>
      <c r="AF128" s="1453">
        <f t="shared" ref="AF128:AP128" si="277">AE128</f>
        <v>0.191</v>
      </c>
      <c r="AG128" s="1453">
        <f t="shared" si="277"/>
        <v>0.191</v>
      </c>
      <c r="AH128" s="1962">
        <f>AG128</f>
        <v>0.191</v>
      </c>
      <c r="AI128" s="1453">
        <f>AG128</f>
        <v>0.191</v>
      </c>
      <c r="AJ128" s="1962">
        <f>AI128</f>
        <v>0.191</v>
      </c>
      <c r="AK128" s="1905">
        <v>0.18</v>
      </c>
      <c r="AL128" s="1657">
        <f t="shared" si="277"/>
        <v>0.18</v>
      </c>
      <c r="AM128" s="1657">
        <f t="shared" si="277"/>
        <v>0.18</v>
      </c>
      <c r="AN128" s="1657">
        <f t="shared" si="277"/>
        <v>0.18</v>
      </c>
      <c r="AO128" s="1657">
        <f t="shared" si="277"/>
        <v>0.18</v>
      </c>
      <c r="AP128" s="1657">
        <f t="shared" si="277"/>
        <v>0.18</v>
      </c>
      <c r="AQ128" s="1441"/>
      <c r="AR128" s="1441"/>
      <c r="AS128" s="1441"/>
      <c r="AT128" s="1441"/>
      <c r="AU128" s="1441"/>
    </row>
    <row r="129" spans="2:47">
      <c r="B129" s="1338" t="s">
        <v>1021</v>
      </c>
      <c r="C129" s="1" t="s">
        <v>577</v>
      </c>
      <c r="S129" s="1449"/>
      <c r="U129" s="367"/>
      <c r="V129" s="367"/>
      <c r="W129" s="1454">
        <f t="shared" ref="W129:AB129" si="278">W127*W128</f>
        <v>32467.5</v>
      </c>
      <c r="X129" s="367">
        <f t="shared" si="278"/>
        <v>32481.9</v>
      </c>
      <c r="Y129" s="367">
        <f t="shared" si="278"/>
        <v>31844.420999999998</v>
      </c>
      <c r="Z129" s="367">
        <f t="shared" si="278"/>
        <v>32799.753629999999</v>
      </c>
      <c r="AA129" s="367">
        <f t="shared" si="278"/>
        <v>34621.962165000004</v>
      </c>
      <c r="AB129" s="367">
        <f t="shared" si="278"/>
        <v>34439.741311500002</v>
      </c>
      <c r="AC129" s="367">
        <f>AC127*AC128</f>
        <v>34439.741311500002</v>
      </c>
      <c r="AD129" s="367">
        <f t="shared" ref="AD129:AE129" si="279">AD127*AD128</f>
        <v>35152.224848685008</v>
      </c>
      <c r="AE129" s="367">
        <f t="shared" si="279"/>
        <v>35503.747097171858</v>
      </c>
      <c r="AF129" s="367">
        <f t="shared" ref="AF129:AI129" si="280">AF127*AF128</f>
        <v>35858.784568143579</v>
      </c>
      <c r="AG129" s="367">
        <f t="shared" si="280"/>
        <v>39444.663024957939</v>
      </c>
      <c r="AH129" s="1961">
        <f t="shared" si="280"/>
        <v>37866.876503959618</v>
      </c>
      <c r="AI129" s="367">
        <f t="shared" si="280"/>
        <v>38261.323134209197</v>
      </c>
      <c r="AJ129" s="1961">
        <f t="shared" ref="AJ129" si="281">AJ127*AJ128</f>
        <v>37496.096671525011</v>
      </c>
      <c r="AK129" s="1442">
        <f t="shared" ref="AK129" si="282">AK127*AK128</f>
        <v>34254.901863611369</v>
      </c>
      <c r="AL129" s="367">
        <f>ROUND(AL127*AL128,-1)</f>
        <v>34600</v>
      </c>
      <c r="AM129" s="367">
        <f t="shared" ref="AM129:AP129" si="283">ROUND(AM127*AM128,-1)</f>
        <v>34940</v>
      </c>
      <c r="AN129" s="367">
        <f t="shared" si="283"/>
        <v>35120</v>
      </c>
      <c r="AO129" s="367">
        <f t="shared" si="283"/>
        <v>35300</v>
      </c>
      <c r="AP129" s="367">
        <f t="shared" si="283"/>
        <v>35480</v>
      </c>
      <c r="AQ129" s="367"/>
      <c r="AR129" s="367"/>
      <c r="AS129" s="367"/>
      <c r="AT129" s="367"/>
      <c r="AU129" s="367"/>
    </row>
    <row r="130" spans="2:47" s="1449" customFormat="1">
      <c r="B130" s="1904" t="s">
        <v>1459</v>
      </c>
      <c r="C130" s="1449" t="s">
        <v>1466</v>
      </c>
      <c r="U130" s="1441"/>
      <c r="V130" s="1441"/>
      <c r="W130" s="1453" t="e">
        <f t="shared" ref="W130:AG130" si="284">(W129-V129)/V129</f>
        <v>#DIV/0!</v>
      </c>
      <c r="X130" s="1453">
        <f t="shared" si="284"/>
        <v>4.4352044352048833E-4</v>
      </c>
      <c r="Y130" s="1453">
        <f t="shared" si="284"/>
        <v>-1.9625668449197952E-2</v>
      </c>
      <c r="Z130" s="1453">
        <f t="shared" si="284"/>
        <v>3.0000000000000027E-2</v>
      </c>
      <c r="AA130" s="1453">
        <f t="shared" si="284"/>
        <v>5.5555555555555719E-2</v>
      </c>
      <c r="AB130" s="1453">
        <f t="shared" si="284"/>
        <v>-5.2631578947369192E-3</v>
      </c>
      <c r="AC130" s="1453">
        <f t="shared" si="284"/>
        <v>0</v>
      </c>
      <c r="AD130" s="1453">
        <f t="shared" si="284"/>
        <v>2.0687830687830856E-2</v>
      </c>
      <c r="AE130" s="1453">
        <f t="shared" si="284"/>
        <v>9.9999999999999985E-3</v>
      </c>
      <c r="AF130" s="1453">
        <f t="shared" si="284"/>
        <v>1.0000000000000085E-2</v>
      </c>
      <c r="AG130" s="1453">
        <f t="shared" si="284"/>
        <v>0.10000000000000006</v>
      </c>
      <c r="AH130" s="1962">
        <f>(AH129-AG129)/AG129</f>
        <v>-4.0000000000000091E-2</v>
      </c>
      <c r="AI130" s="1453">
        <f>(AI129-AG129)/AG129</f>
        <v>-3.0000000000000113E-2</v>
      </c>
      <c r="AJ130" s="1962">
        <f>(AJ129-AI129)/AI129</f>
        <v>-2.0000000000000056E-2</v>
      </c>
      <c r="AK130" s="1905">
        <f>(AK129-AI129)/AI129</f>
        <v>-0.10471204188481692</v>
      </c>
      <c r="AL130" s="1453">
        <f>(AL129-AK129)/AK129</f>
        <v>1.007441614524739E-2</v>
      </c>
      <c r="AM130" s="1453">
        <f>(AM129-AL129)/AL129</f>
        <v>9.8265895953757228E-3</v>
      </c>
      <c r="AN130" s="1453">
        <f>(AN129-AM129)/AM129</f>
        <v>5.1516886090440753E-3</v>
      </c>
      <c r="AO130" s="1453">
        <f>(AO129-AN129)/AN129</f>
        <v>5.1252847380410024E-3</v>
      </c>
      <c r="AP130" s="1453">
        <f>(AP129-AO129)/AO129</f>
        <v>5.0991501416430595E-3</v>
      </c>
      <c r="AQ130" s="1441"/>
      <c r="AR130" s="1441"/>
      <c r="AS130" s="1441"/>
      <c r="AT130" s="1441"/>
      <c r="AU130" s="1441"/>
    </row>
    <row r="131" spans="2:47">
      <c r="B131" s="1338" t="s">
        <v>1146</v>
      </c>
      <c r="C131" s="1" t="s">
        <v>576</v>
      </c>
      <c r="S131" s="1441"/>
      <c r="U131" s="367"/>
      <c r="V131" s="367"/>
      <c r="W131" s="1454">
        <f t="shared" ref="W131:AB131" si="285">W129*1000000/480/1000</f>
        <v>67640.625</v>
      </c>
      <c r="X131" s="367">
        <f t="shared" si="285"/>
        <v>67670.625</v>
      </c>
      <c r="Y131" s="367">
        <f t="shared" si="285"/>
        <v>66342.543749999997</v>
      </c>
      <c r="Z131" s="367">
        <f t="shared" si="285"/>
        <v>68332.820062500003</v>
      </c>
      <c r="AA131" s="367">
        <f t="shared" si="285"/>
        <v>72129.087843750021</v>
      </c>
      <c r="AB131" s="367">
        <f t="shared" si="285"/>
        <v>71749.461065625001</v>
      </c>
      <c r="AC131" s="367">
        <f>AC129*1000000/480/1000</f>
        <v>71749.461065625001</v>
      </c>
      <c r="AD131" s="367">
        <f t="shared" ref="AD131:AE131" si="286">AD129*1000000/480/1000</f>
        <v>73233.801768093763</v>
      </c>
      <c r="AE131" s="367">
        <f t="shared" si="286"/>
        <v>73966.139785774707</v>
      </c>
      <c r="AF131" s="367">
        <f t="shared" ref="AF131:AI131" si="287">AF129*1000000/480/1000</f>
        <v>74705.801183632444</v>
      </c>
      <c r="AG131" s="367">
        <f t="shared" si="287"/>
        <v>82176.381301995716</v>
      </c>
      <c r="AH131" s="1961">
        <f t="shared" si="287"/>
        <v>78889.326049915864</v>
      </c>
      <c r="AI131" s="367">
        <f t="shared" si="287"/>
        <v>79711.089862935827</v>
      </c>
      <c r="AJ131" s="1961">
        <f t="shared" ref="AJ131" si="288">AJ129*1000000/480/1000</f>
        <v>78116.868065677103</v>
      </c>
      <c r="AK131" s="1442">
        <f t="shared" ref="AK131" si="289">AK129*1000000/480/1000</f>
        <v>71364.378882523684</v>
      </c>
      <c r="AL131" s="367">
        <f>ROUND(AL129*1000000/480/1000,-1)</f>
        <v>72080</v>
      </c>
      <c r="AM131" s="367">
        <f t="shared" ref="AM131:AP131" si="290">ROUND(AM129*1000000/480/1000,-1)</f>
        <v>72790</v>
      </c>
      <c r="AN131" s="367">
        <f t="shared" si="290"/>
        <v>73170</v>
      </c>
      <c r="AO131" s="367">
        <f t="shared" si="290"/>
        <v>73540</v>
      </c>
      <c r="AP131" s="367">
        <f t="shared" si="290"/>
        <v>73920</v>
      </c>
      <c r="AQ131" s="367"/>
      <c r="AR131" s="367"/>
      <c r="AS131" s="367"/>
      <c r="AT131" s="367"/>
      <c r="AU131" s="367"/>
    </row>
    <row r="132" spans="2:47">
      <c r="B132" s="1338" t="s">
        <v>1147</v>
      </c>
      <c r="C132" s="1" t="s">
        <v>575</v>
      </c>
      <c r="S132" s="1441"/>
      <c r="U132" s="367"/>
      <c r="V132" s="367"/>
      <c r="W132" s="367"/>
      <c r="X132" s="367"/>
      <c r="Y132" s="367"/>
      <c r="Z132" s="367"/>
      <c r="AA132" s="367"/>
      <c r="AB132" s="367"/>
      <c r="AC132" s="367"/>
      <c r="AD132" s="367"/>
      <c r="AE132" s="367"/>
      <c r="AF132" s="367"/>
      <c r="AG132" s="367"/>
      <c r="AH132" s="1961"/>
      <c r="AI132" s="367"/>
      <c r="AJ132" s="1961"/>
      <c r="AK132" s="1442">
        <f>+AK126*1000/AK131</f>
        <v>592.73268628361575</v>
      </c>
      <c r="AL132" s="367">
        <f>+AK132/AK133*AL133</f>
        <v>622.36932059779656</v>
      </c>
      <c r="AM132" s="367">
        <f t="shared" ref="AM132:AP132" si="291">+AL132/AL133*AM133</f>
        <v>622.36932059779656</v>
      </c>
      <c r="AN132" s="367">
        <f t="shared" si="291"/>
        <v>622.36932059779656</v>
      </c>
      <c r="AO132" s="367">
        <f t="shared" si="291"/>
        <v>622.36932059779656</v>
      </c>
      <c r="AP132" s="367">
        <f t="shared" si="291"/>
        <v>622.36932059779656</v>
      </c>
      <c r="AQ132" s="367"/>
      <c r="AR132" s="367"/>
      <c r="AS132" s="367"/>
      <c r="AT132" s="367"/>
      <c r="AU132" s="367"/>
    </row>
    <row r="133" spans="2:47">
      <c r="B133" s="1338" t="s">
        <v>1147</v>
      </c>
      <c r="C133" s="1" t="s">
        <v>575</v>
      </c>
      <c r="S133" s="1441"/>
      <c r="U133" s="367"/>
      <c r="V133" s="367"/>
      <c r="W133" s="370">
        <f>W126/W131*1000</f>
        <v>712.58951258951265</v>
      </c>
      <c r="X133" s="370">
        <f>X126/X131*1000</f>
        <v>700.31863899587154</v>
      </c>
      <c r="Y133" s="367">
        <f t="shared" ref="Y133:AP133" si="292">X133</f>
        <v>700.31863899587154</v>
      </c>
      <c r="Z133" s="367">
        <f t="shared" si="292"/>
        <v>700.31863899587154</v>
      </c>
      <c r="AA133" s="367">
        <f t="shared" si="292"/>
        <v>700.31863899587154</v>
      </c>
      <c r="AB133" s="367">
        <f t="shared" si="292"/>
        <v>700.31863899587154</v>
      </c>
      <c r="AC133" s="367">
        <f>AB133</f>
        <v>700.31863899587154</v>
      </c>
      <c r="AD133" s="367">
        <f t="shared" si="292"/>
        <v>700.31863899587154</v>
      </c>
      <c r="AE133" s="367">
        <f t="shared" si="292"/>
        <v>700.31863899587154</v>
      </c>
      <c r="AF133" s="367">
        <f>AE133*1.05</f>
        <v>735.33457094566518</v>
      </c>
      <c r="AG133" s="367">
        <f t="shared" si="292"/>
        <v>735.33457094566518</v>
      </c>
      <c r="AH133" s="1961">
        <f>AG133</f>
        <v>735.33457094566518</v>
      </c>
      <c r="AI133" s="367">
        <f>AG133*1.05</f>
        <v>772.10129949294844</v>
      </c>
      <c r="AJ133" s="1961">
        <f>AI133*1.05</f>
        <v>810.7063644675959</v>
      </c>
      <c r="AK133" s="1442">
        <f>AI133*1.05</f>
        <v>810.7063644675959</v>
      </c>
      <c r="AL133" s="2006">
        <f>AK133*1.05</f>
        <v>851.24168269097572</v>
      </c>
      <c r="AM133" s="2006">
        <f t="shared" si="292"/>
        <v>851.24168269097572</v>
      </c>
      <c r="AN133" s="2006">
        <f t="shared" si="292"/>
        <v>851.24168269097572</v>
      </c>
      <c r="AO133" s="2006">
        <f t="shared" si="292"/>
        <v>851.24168269097572</v>
      </c>
      <c r="AP133" s="2006">
        <f t="shared" si="292"/>
        <v>851.24168269097572</v>
      </c>
      <c r="AQ133" s="367"/>
      <c r="AR133" s="367"/>
      <c r="AS133" s="367"/>
      <c r="AT133" s="367"/>
      <c r="AU133" s="367"/>
    </row>
    <row r="134" spans="2:47">
      <c r="B134" s="2012" t="s">
        <v>1022</v>
      </c>
      <c r="C134" s="2013" t="s">
        <v>574</v>
      </c>
      <c r="D134" s="2013"/>
      <c r="E134" s="2013"/>
      <c r="F134" s="2013"/>
      <c r="G134" s="2013"/>
      <c r="H134" s="2013"/>
      <c r="I134" s="2013"/>
      <c r="J134" s="2013"/>
      <c r="K134" s="2013"/>
      <c r="L134" s="2013"/>
      <c r="M134" s="2013"/>
      <c r="N134" s="2013"/>
      <c r="O134" s="2013"/>
      <c r="P134" s="2013"/>
      <c r="Q134" s="2013"/>
      <c r="R134" s="2013"/>
      <c r="S134" s="2016"/>
      <c r="T134" s="2013"/>
      <c r="U134" s="2015"/>
      <c r="V134" s="2038" t="s">
        <v>518</v>
      </c>
      <c r="W134" s="2038" t="s">
        <v>518</v>
      </c>
      <c r="X134" s="2015">
        <v>9913</v>
      </c>
      <c r="Y134" s="2015">
        <v>9500</v>
      </c>
      <c r="Z134" s="2015">
        <f>Y134+300</f>
        <v>9800</v>
      </c>
      <c r="AA134" s="2015">
        <f t="shared" ref="AA134" si="293">Z134+200</f>
        <v>10000</v>
      </c>
      <c r="AB134" s="2015">
        <v>11500</v>
      </c>
      <c r="AC134" s="2015">
        <v>10500</v>
      </c>
      <c r="AD134" s="2015">
        <f t="shared" ref="AD134:AP134" si="294">ROUND(AC134*1.02,-2)</f>
        <v>10700</v>
      </c>
      <c r="AE134" s="2015">
        <f t="shared" si="294"/>
        <v>10900</v>
      </c>
      <c r="AF134" s="2015">
        <v>10900</v>
      </c>
      <c r="AG134" s="2015">
        <f t="shared" si="294"/>
        <v>11100</v>
      </c>
      <c r="AH134" s="2016">
        <v>10500</v>
      </c>
      <c r="AI134" s="2015">
        <f>ROUND(AG134*1.02,-2)</f>
        <v>11300</v>
      </c>
      <c r="AJ134" s="2016">
        <f>ROUND(AI134*1.02,-2)</f>
        <v>11500</v>
      </c>
      <c r="AK134" s="2017">
        <f>+ROUND(AK$124*0.12,-2)</f>
        <v>6300</v>
      </c>
      <c r="AL134" s="2040">
        <f>ROUND(AK134*1.12,-2)</f>
        <v>7100</v>
      </c>
      <c r="AM134" s="2040">
        <f t="shared" si="294"/>
        <v>7200</v>
      </c>
      <c r="AN134" s="2040">
        <f t="shared" si="294"/>
        <v>7300</v>
      </c>
      <c r="AO134" s="2040">
        <f t="shared" si="294"/>
        <v>7400</v>
      </c>
      <c r="AP134" s="2040">
        <f t="shared" si="294"/>
        <v>7500</v>
      </c>
      <c r="AQ134" s="367"/>
      <c r="AR134" s="367"/>
      <c r="AS134" s="367"/>
      <c r="AT134" s="367"/>
      <c r="AU134" s="367"/>
    </row>
    <row r="135" spans="2:47">
      <c r="B135" s="2012" t="s">
        <v>1023</v>
      </c>
      <c r="C135" s="2013" t="s">
        <v>573</v>
      </c>
      <c r="D135" s="2013"/>
      <c r="E135" s="2013"/>
      <c r="F135" s="2013"/>
      <c r="G135" s="2013"/>
      <c r="H135" s="2013"/>
      <c r="I135" s="2013"/>
      <c r="J135" s="2013"/>
      <c r="K135" s="2013"/>
      <c r="L135" s="2013"/>
      <c r="M135" s="2013"/>
      <c r="N135" s="2013"/>
      <c r="O135" s="2013"/>
      <c r="P135" s="2013"/>
      <c r="Q135" s="2013"/>
      <c r="R135" s="2013"/>
      <c r="S135" s="2016"/>
      <c r="T135" s="2013"/>
      <c r="U135" s="2015"/>
      <c r="V135" s="2038" t="s">
        <v>518</v>
      </c>
      <c r="W135" s="2038" t="s">
        <v>518</v>
      </c>
      <c r="X135" s="2015">
        <v>6067</v>
      </c>
      <c r="Y135" s="2015">
        <v>6000</v>
      </c>
      <c r="Z135" s="2015">
        <v>6000</v>
      </c>
      <c r="AA135" s="2015">
        <v>6500</v>
      </c>
      <c r="AB135" s="2015">
        <f t="shared" ref="AB135:AE135" si="295">AA135</f>
        <v>6500</v>
      </c>
      <c r="AC135" s="2015">
        <f>+AB135</f>
        <v>6500</v>
      </c>
      <c r="AD135" s="2015">
        <f t="shared" si="295"/>
        <v>6500</v>
      </c>
      <c r="AE135" s="2015">
        <f t="shared" si="295"/>
        <v>6500</v>
      </c>
      <c r="AF135" s="2015">
        <v>6500</v>
      </c>
      <c r="AG135" s="2015">
        <f t="shared" ref="AG135" si="296">ROUND(AF135*1.015,-2)</f>
        <v>6600</v>
      </c>
      <c r="AH135" s="2016">
        <v>6000</v>
      </c>
      <c r="AI135" s="2015">
        <f>ROUND(AG135*1.015,-2)</f>
        <v>6700</v>
      </c>
      <c r="AJ135" s="2016">
        <f>ROUND(AI135*1.015,-2)</f>
        <v>6800</v>
      </c>
      <c r="AK135" s="2017">
        <f>+AK124-AK126-AK134</f>
        <v>4237</v>
      </c>
      <c r="AL135" s="2040">
        <f>ROUND(AK135*1.02,-2)</f>
        <v>4300</v>
      </c>
      <c r="AM135" s="2040">
        <f t="shared" ref="AM135:AP135" si="297">ROUND(AL135*1,-2)</f>
        <v>4300</v>
      </c>
      <c r="AN135" s="2040">
        <f t="shared" si="297"/>
        <v>4300</v>
      </c>
      <c r="AO135" s="2040">
        <f t="shared" si="297"/>
        <v>4300</v>
      </c>
      <c r="AP135" s="2040">
        <f t="shared" si="297"/>
        <v>4300</v>
      </c>
      <c r="AQ135" s="367"/>
      <c r="AR135" s="367"/>
      <c r="AS135" s="367"/>
      <c r="AT135" s="367"/>
      <c r="AU135" s="367"/>
    </row>
    <row r="136" spans="2:47">
      <c r="B136" s="1338" t="s">
        <v>1548</v>
      </c>
      <c r="C136" s="1" t="s">
        <v>1360</v>
      </c>
      <c r="S136" s="1441"/>
      <c r="U136" s="367"/>
      <c r="V136" s="1452"/>
      <c r="W136" s="1452"/>
      <c r="X136" s="367"/>
      <c r="Y136" s="367"/>
      <c r="Z136" s="367"/>
      <c r="AA136" s="367"/>
      <c r="AB136" s="367"/>
      <c r="AC136" s="367"/>
      <c r="AD136" s="367"/>
      <c r="AE136" s="367"/>
      <c r="AF136" s="367"/>
      <c r="AG136" s="367"/>
      <c r="AH136" s="1961">
        <v>-23000</v>
      </c>
      <c r="AI136" s="367">
        <f>AG136</f>
        <v>0</v>
      </c>
      <c r="AJ136" s="1961">
        <f>AH136</f>
        <v>-23000</v>
      </c>
      <c r="AK136" s="1442">
        <f>AI136</f>
        <v>0</v>
      </c>
      <c r="AL136" s="367"/>
      <c r="AM136" s="367"/>
      <c r="AN136" s="367"/>
      <c r="AO136" s="367"/>
      <c r="AP136" s="367"/>
      <c r="AQ136" s="367"/>
      <c r="AR136" s="367"/>
      <c r="AS136" s="367"/>
      <c r="AT136" s="367"/>
      <c r="AU136" s="367"/>
    </row>
    <row r="137" spans="2:47" s="1449" customFormat="1" ht="5.25" customHeight="1">
      <c r="B137" s="1904"/>
      <c r="U137" s="1441"/>
      <c r="V137" s="1441"/>
      <c r="W137" s="1453"/>
      <c r="X137" s="1453"/>
      <c r="Y137" s="1453"/>
      <c r="Z137" s="1453"/>
      <c r="AA137" s="1453"/>
      <c r="AB137" s="1453"/>
      <c r="AC137" s="1453"/>
      <c r="AD137" s="1453"/>
      <c r="AE137" s="1453"/>
      <c r="AF137" s="1453"/>
      <c r="AG137" s="1453"/>
      <c r="AH137" s="1962"/>
      <c r="AI137" s="1453"/>
      <c r="AJ137" s="1962"/>
      <c r="AK137" s="1905"/>
      <c r="AL137" s="1453"/>
      <c r="AM137" s="1453"/>
      <c r="AN137" s="1453"/>
      <c r="AO137" s="1453"/>
      <c r="AP137" s="1453"/>
      <c r="AQ137" s="1441"/>
      <c r="AR137" s="1664"/>
      <c r="AS137" s="1441"/>
      <c r="AT137" s="1664"/>
      <c r="AU137" s="1664"/>
    </row>
    <row r="138" spans="2:47">
      <c r="B138" s="1906" t="s">
        <v>634</v>
      </c>
      <c r="C138" s="1487" t="s">
        <v>536</v>
      </c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  <c r="R138" s="1487"/>
      <c r="S138" s="1913">
        <v>20000</v>
      </c>
      <c r="T138" s="1487"/>
      <c r="U138" s="1489"/>
      <c r="V138" s="1489">
        <v>19261</v>
      </c>
      <c r="W138" s="1489">
        <v>18333</v>
      </c>
      <c r="X138" s="1489">
        <v>17235</v>
      </c>
      <c r="Y138" s="1489">
        <v>17746</v>
      </c>
      <c r="Z138" s="1489">
        <v>18500</v>
      </c>
      <c r="AA138" s="1489">
        <v>18300</v>
      </c>
      <c r="AB138" s="1489">
        <f t="shared" ref="AB138" si="298">AB140+AB141+AB142+AB143</f>
        <v>19800</v>
      </c>
      <c r="AC138" s="1489">
        <f t="shared" ref="AC138:AG138" si="299">ROUND(AC140+AC141+AC142+AC143,-2)</f>
        <v>21400</v>
      </c>
      <c r="AD138" s="1489">
        <v>21329</v>
      </c>
      <c r="AE138" s="1489">
        <f t="shared" si="299"/>
        <v>22700</v>
      </c>
      <c r="AF138" s="1489">
        <f t="shared" si="299"/>
        <v>24200</v>
      </c>
      <c r="AG138" s="1489">
        <f t="shared" si="299"/>
        <v>26300</v>
      </c>
      <c r="AH138" s="1961">
        <f t="shared" ref="AH138" si="300">ROUND(AH140+AH141+AH142+AH143+AH144,-2)</f>
        <v>19500</v>
      </c>
      <c r="AI138" s="1489">
        <f>+Quarterly!IR50</f>
        <v>19500</v>
      </c>
      <c r="AJ138" s="1961">
        <f t="shared" ref="AJ138" si="301">ROUND(AJ140+AJ141+AJ142+AJ143+AJ144,-2)</f>
        <v>22400</v>
      </c>
      <c r="AK138" s="1490">
        <f>+Quarterly!JD50</f>
        <v>20328</v>
      </c>
      <c r="AL138" s="1489">
        <f>ROUND(AL140+AL141+AL142+AL143,-2)</f>
        <v>20100</v>
      </c>
      <c r="AM138" s="1489">
        <f>ROUND(AM140+AM141+AM142+AM143,-2)</f>
        <v>20800</v>
      </c>
      <c r="AN138" s="1489">
        <f>ROUND(AN140+AN141+AN142+AN143,-2)</f>
        <v>21200</v>
      </c>
      <c r="AO138" s="1489">
        <f t="shared" ref="AO138:AP138" si="302">ROUND(AO140+AO141+AO142+AO143,-2)</f>
        <v>21500</v>
      </c>
      <c r="AP138" s="1489">
        <f t="shared" si="302"/>
        <v>21800</v>
      </c>
      <c r="AQ138" s="367"/>
      <c r="AR138" s="367">
        <f>+Quarterly!KH50</f>
        <v>21900</v>
      </c>
      <c r="AS138" s="367"/>
      <c r="AT138" s="367">
        <f>+Quarterly!KM50</f>
        <v>20000</v>
      </c>
      <c r="AU138" s="367">
        <f>+Quarterly!KW50</f>
        <v>20000</v>
      </c>
    </row>
    <row r="139" spans="2:47" s="1449" customFormat="1">
      <c r="B139" s="1908" t="s">
        <v>669</v>
      </c>
      <c r="C139" s="1909" t="s">
        <v>567</v>
      </c>
      <c r="D139" s="1909"/>
      <c r="E139" s="1909"/>
      <c r="F139" s="1909"/>
      <c r="G139" s="1909"/>
      <c r="H139" s="1909"/>
      <c r="I139" s="1909"/>
      <c r="J139" s="1909"/>
      <c r="K139" s="1909"/>
      <c r="L139" s="1909"/>
      <c r="M139" s="1909"/>
      <c r="N139" s="1909"/>
      <c r="O139" s="1909"/>
      <c r="P139" s="1909"/>
      <c r="Q139" s="1909"/>
      <c r="R139" s="1909"/>
      <c r="S139" s="1909"/>
      <c r="T139" s="1909"/>
      <c r="U139" s="1907"/>
      <c r="V139" s="1907"/>
      <c r="W139" s="1910">
        <f t="shared" ref="W139:AP139" si="303">(W138-V138)/V138</f>
        <v>-4.8180260630289184E-2</v>
      </c>
      <c r="X139" s="1910">
        <f t="shared" si="303"/>
        <v>-5.9891998036327936E-2</v>
      </c>
      <c r="Y139" s="1910">
        <f t="shared" si="303"/>
        <v>2.9648970118944008E-2</v>
      </c>
      <c r="Z139" s="1910">
        <f t="shared" si="303"/>
        <v>4.24884481009805E-2</v>
      </c>
      <c r="AA139" s="1910">
        <f t="shared" si="303"/>
        <v>-1.0810810810810811E-2</v>
      </c>
      <c r="AB139" s="1910">
        <f t="shared" si="303"/>
        <v>8.1967213114754092E-2</v>
      </c>
      <c r="AC139" s="1910">
        <f>(AC138-AB138)/AB138</f>
        <v>8.0808080808080815E-2</v>
      </c>
      <c r="AD139" s="1910">
        <f t="shared" si="303"/>
        <v>-3.3177570093457943E-3</v>
      </c>
      <c r="AE139" s="1910">
        <f t="shared" si="303"/>
        <v>6.427868160720146E-2</v>
      </c>
      <c r="AF139" s="1910">
        <f t="shared" si="303"/>
        <v>6.6079295154185022E-2</v>
      </c>
      <c r="AG139" s="1910">
        <f t="shared" si="303"/>
        <v>8.6776859504132234E-2</v>
      </c>
      <c r="AH139" s="1962">
        <f>(AH138-AG138)/AG138</f>
        <v>-0.2585551330798479</v>
      </c>
      <c r="AI139" s="1910">
        <f>(AI138-AG138)/AG138</f>
        <v>-0.2585551330798479</v>
      </c>
      <c r="AJ139" s="1962">
        <f>(AJ138-AI138)/AI138</f>
        <v>0.14871794871794872</v>
      </c>
      <c r="AK139" s="1911">
        <f>(AK138-AI138)/AI138</f>
        <v>4.246153846153846E-2</v>
      </c>
      <c r="AL139" s="1910">
        <f t="shared" si="303"/>
        <v>-1.1216056670602124E-2</v>
      </c>
      <c r="AM139" s="1910">
        <f t="shared" si="303"/>
        <v>3.482587064676617E-2</v>
      </c>
      <c r="AN139" s="1910">
        <f t="shared" si="303"/>
        <v>1.9230769230769232E-2</v>
      </c>
      <c r="AO139" s="1910">
        <f t="shared" si="303"/>
        <v>1.4150943396226415E-2</v>
      </c>
      <c r="AP139" s="1910">
        <f t="shared" si="303"/>
        <v>1.3953488372093023E-2</v>
      </c>
      <c r="AQ139" s="1441"/>
      <c r="AR139" s="1664">
        <f>+AR138/AK138-1</f>
        <v>7.7331759149940948E-2</v>
      </c>
      <c r="AS139" s="1441"/>
      <c r="AT139" s="1664">
        <f>+AT138/AI138-1</f>
        <v>2.564102564102555E-2</v>
      </c>
      <c r="AU139" s="1664">
        <f>+AU138/AG138-1</f>
        <v>-0.23954372623574149</v>
      </c>
    </row>
    <row r="140" spans="2:47">
      <c r="B140" s="1338" t="s">
        <v>1024</v>
      </c>
      <c r="C140" s="1" t="s">
        <v>572</v>
      </c>
      <c r="S140" s="1441"/>
      <c r="U140" s="367"/>
      <c r="V140" s="367">
        <v>3296</v>
      </c>
      <c r="W140" s="367">
        <v>3060</v>
      </c>
      <c r="X140" s="367">
        <v>2957</v>
      </c>
      <c r="Y140" s="367">
        <v>3100</v>
      </c>
      <c r="Z140" s="367">
        <f t="shared" ref="Z140:AB142" si="304">Y140+200</f>
        <v>3300</v>
      </c>
      <c r="AA140" s="367">
        <v>2500</v>
      </c>
      <c r="AB140" s="367">
        <v>2400</v>
      </c>
      <c r="AC140" s="367">
        <f t="shared" ref="AC140:AG140" si="305">AB140</f>
        <v>2400</v>
      </c>
      <c r="AD140" s="367">
        <f t="shared" si="305"/>
        <v>2400</v>
      </c>
      <c r="AE140" s="367">
        <f t="shared" si="305"/>
        <v>2400</v>
      </c>
      <c r="AF140" s="367">
        <f t="shared" si="305"/>
        <v>2400</v>
      </c>
      <c r="AG140" s="367">
        <f t="shared" si="305"/>
        <v>2400</v>
      </c>
      <c r="AH140" s="1961">
        <v>2500</v>
      </c>
      <c r="AI140" s="367">
        <f>AG140</f>
        <v>2400</v>
      </c>
      <c r="AJ140" s="1961">
        <f>AI140</f>
        <v>2400</v>
      </c>
      <c r="AK140" s="1442">
        <f>+AK138-AK141-AK143</f>
        <v>2028</v>
      </c>
      <c r="AL140" s="2006">
        <f>ROUND(AK140,-1)</f>
        <v>2030</v>
      </c>
      <c r="AM140" s="2006">
        <f t="shared" ref="AM140:AP140" si="306">ROUND(AL140,-1)</f>
        <v>2030</v>
      </c>
      <c r="AN140" s="2006">
        <f t="shared" si="306"/>
        <v>2030</v>
      </c>
      <c r="AO140" s="2006">
        <f t="shared" si="306"/>
        <v>2030</v>
      </c>
      <c r="AP140" s="2006">
        <f t="shared" si="306"/>
        <v>2030</v>
      </c>
      <c r="AQ140" s="367"/>
      <c r="AR140" s="367"/>
      <c r="AS140" s="367"/>
      <c r="AT140" s="367"/>
      <c r="AU140" s="367"/>
    </row>
    <row r="141" spans="2:47">
      <c r="B141" s="1338" t="s">
        <v>1025</v>
      </c>
      <c r="C141" s="1" t="s">
        <v>571</v>
      </c>
      <c r="S141" s="1441"/>
      <c r="U141" s="367"/>
      <c r="V141" s="367">
        <v>4093</v>
      </c>
      <c r="W141" s="367">
        <v>3504</v>
      </c>
      <c r="X141" s="367">
        <v>3743</v>
      </c>
      <c r="Y141" s="367">
        <v>4000</v>
      </c>
      <c r="Z141" s="367">
        <f t="shared" si="304"/>
        <v>4200</v>
      </c>
      <c r="AA141" s="367">
        <f>AB141/1.1</f>
        <v>4090.9090909090905</v>
      </c>
      <c r="AB141" s="367">
        <v>4500</v>
      </c>
      <c r="AC141" s="367">
        <f>AB141*1.15</f>
        <v>5175</v>
      </c>
      <c r="AD141" s="367">
        <f>AC141*1.04</f>
        <v>5382</v>
      </c>
      <c r="AE141" s="367">
        <f>AD141*1.1</f>
        <v>5920.2000000000007</v>
      </c>
      <c r="AF141" s="367">
        <v>6800</v>
      </c>
      <c r="AG141" s="367">
        <f>AF141*1.15</f>
        <v>7819.9999999999991</v>
      </c>
      <c r="AH141" s="1961">
        <v>8000</v>
      </c>
      <c r="AI141" s="367">
        <f>AG141*1.1</f>
        <v>8602</v>
      </c>
      <c r="AJ141" s="1961">
        <f>AI141*1.1</f>
        <v>9462.2000000000007</v>
      </c>
      <c r="AK141" s="1442">
        <f>+ROUND(AK$138*0.35,-2)</f>
        <v>7100</v>
      </c>
      <c r="AL141" s="2006">
        <f>ROUND(AK141*0.95,-1)</f>
        <v>6750</v>
      </c>
      <c r="AM141" s="2006">
        <f>ROUND(AL141*1.05,-1)</f>
        <v>7090</v>
      </c>
      <c r="AN141" s="2006">
        <f>ROUND(AM141*1.03,-1)</f>
        <v>7300</v>
      </c>
      <c r="AO141" s="2006">
        <f>ROUND(AN141*1.02,-1)</f>
        <v>7450</v>
      </c>
      <c r="AP141" s="2006">
        <f>ROUND(AO141*1.02,-1)</f>
        <v>7600</v>
      </c>
      <c r="AQ141" s="367"/>
      <c r="AR141" s="367"/>
      <c r="AS141" s="367"/>
      <c r="AT141" s="367"/>
      <c r="AU141" s="367"/>
    </row>
    <row r="142" spans="2:47">
      <c r="B142" s="1338" t="s">
        <v>1026</v>
      </c>
      <c r="C142" s="1" t="s">
        <v>570</v>
      </c>
      <c r="S142" s="1441"/>
      <c r="U142" s="367"/>
      <c r="V142" s="367">
        <v>2773</v>
      </c>
      <c r="W142" s="367">
        <v>469</v>
      </c>
      <c r="X142" s="367">
        <v>2451</v>
      </c>
      <c r="Y142" s="367">
        <v>2600</v>
      </c>
      <c r="Z142" s="367">
        <f t="shared" si="304"/>
        <v>2800</v>
      </c>
      <c r="AA142" s="367">
        <v>2200</v>
      </c>
      <c r="AB142" s="367">
        <f t="shared" si="304"/>
        <v>2400</v>
      </c>
      <c r="AC142" s="367">
        <f>AB142-100</f>
        <v>2300</v>
      </c>
      <c r="AD142" s="367">
        <f>AC142-100</f>
        <v>2200</v>
      </c>
      <c r="AE142" s="367">
        <v>1900</v>
      </c>
      <c r="AF142" s="367">
        <v>2100</v>
      </c>
      <c r="AG142" s="367">
        <f>AF142*1.2</f>
        <v>2520</v>
      </c>
      <c r="AH142" s="1961">
        <f>AG142*0.98</f>
        <v>2469.6</v>
      </c>
      <c r="AI142" s="367">
        <f>AG142</f>
        <v>2520</v>
      </c>
      <c r="AJ142" s="1961">
        <f>AI142</f>
        <v>2520</v>
      </c>
      <c r="AK142" s="1442"/>
      <c r="AL142" s="367">
        <f t="shared" ref="AL142:AP142" si="307">AK142</f>
        <v>0</v>
      </c>
      <c r="AM142" s="367">
        <f t="shared" si="307"/>
        <v>0</v>
      </c>
      <c r="AN142" s="367">
        <f t="shared" si="307"/>
        <v>0</v>
      </c>
      <c r="AO142" s="367">
        <f t="shared" si="307"/>
        <v>0</v>
      </c>
      <c r="AP142" s="367">
        <f t="shared" si="307"/>
        <v>0</v>
      </c>
      <c r="AQ142" s="367"/>
      <c r="AR142" s="367"/>
      <c r="AS142" s="367"/>
      <c r="AT142" s="367"/>
      <c r="AU142" s="367"/>
    </row>
    <row r="143" spans="2:47">
      <c r="B143" s="1338" t="s">
        <v>1027</v>
      </c>
      <c r="C143" s="1" t="s">
        <v>569</v>
      </c>
      <c r="S143" s="1441"/>
      <c r="U143" s="367"/>
      <c r="V143" s="367">
        <v>9264</v>
      </c>
      <c r="W143" s="367">
        <v>8992</v>
      </c>
      <c r="X143" s="367">
        <v>8053</v>
      </c>
      <c r="Y143" s="367">
        <v>8000</v>
      </c>
      <c r="Z143" s="367">
        <v>8300</v>
      </c>
      <c r="AA143" s="367">
        <f>AB143/1.1</f>
        <v>9545.4545454545441</v>
      </c>
      <c r="AB143" s="367">
        <v>10500</v>
      </c>
      <c r="AC143" s="367">
        <f>AB143*1.1</f>
        <v>11550.000000000002</v>
      </c>
      <c r="AD143" s="367">
        <f>AC143*0.98</f>
        <v>11319.000000000002</v>
      </c>
      <c r="AE143" s="367">
        <f>AD143*1.1</f>
        <v>12450.900000000003</v>
      </c>
      <c r="AF143" s="367">
        <f>AE143*1.04</f>
        <v>12948.936000000003</v>
      </c>
      <c r="AG143" s="367">
        <f>AF143*1.05</f>
        <v>13596.382800000005</v>
      </c>
      <c r="AH143" s="1961">
        <v>13500</v>
      </c>
      <c r="AI143" s="367">
        <f>AG143*1.05</f>
        <v>14276.201940000006</v>
      </c>
      <c r="AJ143" s="1961">
        <f>AI143*1.05</f>
        <v>14990.012037000008</v>
      </c>
      <c r="AK143" s="1442">
        <f>+ROUND(AK$138*0.55,-2)</f>
        <v>11200</v>
      </c>
      <c r="AL143" s="2006">
        <f>ROUND(AK143*1.01,-1)</f>
        <v>11310</v>
      </c>
      <c r="AM143" s="2006">
        <f>ROUND(AL143*1.03,-1)</f>
        <v>11650</v>
      </c>
      <c r="AN143" s="2006">
        <f>ROUND(AM143*1.02,-1)</f>
        <v>11880</v>
      </c>
      <c r="AO143" s="2006">
        <f>ROUND(AN143*1.01,-1)</f>
        <v>12000</v>
      </c>
      <c r="AP143" s="2006">
        <f>ROUND(AO143*1.01,-1)</f>
        <v>12120</v>
      </c>
      <c r="AQ143" s="367"/>
      <c r="AR143" s="367"/>
      <c r="AS143" s="367"/>
      <c r="AT143" s="367"/>
      <c r="AU143" s="367"/>
    </row>
    <row r="144" spans="2:47">
      <c r="B144" s="1338" t="s">
        <v>1548</v>
      </c>
      <c r="C144" s="1" t="s">
        <v>1360</v>
      </c>
      <c r="S144" s="1441"/>
      <c r="U144" s="367"/>
      <c r="V144" s="1452"/>
      <c r="W144" s="1452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1961">
        <v>-7000</v>
      </c>
      <c r="AI144" s="367">
        <f>AG144</f>
        <v>0</v>
      </c>
      <c r="AJ144" s="1961">
        <f>AH144</f>
        <v>-7000</v>
      </c>
      <c r="AK144" s="1442">
        <f>AI144</f>
        <v>0</v>
      </c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</row>
    <row r="145" spans="1:65" s="1449" customFormat="1" ht="5.25" customHeight="1">
      <c r="B145" s="1904"/>
      <c r="U145" s="1441"/>
      <c r="V145" s="1441"/>
      <c r="W145" s="1453"/>
      <c r="X145" s="1453"/>
      <c r="Y145" s="1453"/>
      <c r="Z145" s="1453"/>
      <c r="AA145" s="1453"/>
      <c r="AB145" s="1453"/>
      <c r="AC145" s="1453"/>
      <c r="AD145" s="1453"/>
      <c r="AE145" s="1453"/>
      <c r="AF145" s="1453"/>
      <c r="AG145" s="1453"/>
      <c r="AH145" s="1962"/>
      <c r="AI145" s="1453"/>
      <c r="AJ145" s="1962"/>
      <c r="AK145" s="1905"/>
      <c r="AL145" s="1453"/>
      <c r="AM145" s="1453"/>
      <c r="AN145" s="1453"/>
      <c r="AO145" s="1453"/>
      <c r="AP145" s="1453"/>
      <c r="AQ145" s="1441"/>
      <c r="AR145" s="1664"/>
      <c r="AS145" s="1441"/>
      <c r="AT145" s="1664"/>
      <c r="AU145" s="1664"/>
    </row>
    <row r="146" spans="1:65">
      <c r="B146" s="1906" t="s">
        <v>632</v>
      </c>
      <c r="C146" s="1487" t="s">
        <v>535</v>
      </c>
      <c r="D146" s="1487"/>
      <c r="E146" s="1487"/>
      <c r="F146" s="1487"/>
      <c r="G146" s="1487"/>
      <c r="H146" s="1487"/>
      <c r="I146" s="1487"/>
      <c r="J146" s="1487"/>
      <c r="K146" s="1487"/>
      <c r="L146" s="1487"/>
      <c r="M146" s="1487"/>
      <c r="N146" s="1487"/>
      <c r="O146" s="1487"/>
      <c r="P146" s="1487"/>
      <c r="Q146" s="1487"/>
      <c r="R146" s="1487"/>
      <c r="S146" s="1913">
        <v>14832</v>
      </c>
      <c r="T146" s="1487"/>
      <c r="U146" s="1489"/>
      <c r="V146" s="1489">
        <v>12950</v>
      </c>
      <c r="W146" s="1489">
        <v>12842</v>
      </c>
      <c r="X146" s="1489">
        <v>14820</v>
      </c>
      <c r="Y146" s="1489">
        <v>14918</v>
      </c>
      <c r="Z146" s="1489">
        <v>15300</v>
      </c>
      <c r="AA146" s="1489">
        <f>Z146+300</f>
        <v>15600</v>
      </c>
      <c r="AB146" s="1489">
        <v>16206</v>
      </c>
      <c r="AC146" s="1489">
        <v>16874</v>
      </c>
      <c r="AD146" s="1489">
        <v>17656</v>
      </c>
      <c r="AE146" s="1489">
        <f t="shared" ref="AE146" si="308">ROUND(AD146+800,-2)</f>
        <v>18500</v>
      </c>
      <c r="AF146" s="1489">
        <v>21000</v>
      </c>
      <c r="AG146" s="1489">
        <v>21500</v>
      </c>
      <c r="AH146" s="1961">
        <f>ROUND(AG146+800,-2)</f>
        <v>22300</v>
      </c>
      <c r="AI146" s="1489">
        <f>+Quarterly!IR57</f>
        <v>22100</v>
      </c>
      <c r="AJ146" s="1961">
        <f>ROUND(AI146+800,-2)</f>
        <v>22900</v>
      </c>
      <c r="AK146" s="1490">
        <f>+Quarterly!JD57</f>
        <v>22888</v>
      </c>
      <c r="AL146" s="2041">
        <f>ROUND(AK146+1000,-2)</f>
        <v>23900</v>
      </c>
      <c r="AM146" s="2041">
        <f>ROUND(AL146+800,-2)</f>
        <v>24700</v>
      </c>
      <c r="AN146" s="2041">
        <f>ROUND(AM146+500,-2)</f>
        <v>25200</v>
      </c>
      <c r="AO146" s="2041">
        <f>ROUND(AN146+500,-2)</f>
        <v>25700</v>
      </c>
      <c r="AP146" s="2041">
        <f>ROUND(AO146+500,-2)</f>
        <v>26200</v>
      </c>
      <c r="AQ146" s="367"/>
      <c r="AR146" s="367">
        <f>+Quarterly!KH57</f>
        <v>23800</v>
      </c>
      <c r="AS146" s="367"/>
      <c r="AT146" s="367">
        <f>+Quarterly!KM57</f>
        <v>22800</v>
      </c>
      <c r="AU146" s="367">
        <f>+Quarterly!KW57</f>
        <v>21300</v>
      </c>
    </row>
    <row r="147" spans="1:65" s="1449" customFormat="1">
      <c r="B147" s="1908" t="s">
        <v>669</v>
      </c>
      <c r="C147" s="1909" t="s">
        <v>567</v>
      </c>
      <c r="D147" s="1909"/>
      <c r="E147" s="1909"/>
      <c r="F147" s="1909"/>
      <c r="G147" s="1909"/>
      <c r="H147" s="1909"/>
      <c r="I147" s="1909"/>
      <c r="J147" s="1909"/>
      <c r="K147" s="1909"/>
      <c r="L147" s="1909"/>
      <c r="M147" s="1909"/>
      <c r="N147" s="1909"/>
      <c r="O147" s="1909"/>
      <c r="P147" s="1909"/>
      <c r="Q147" s="1909"/>
      <c r="R147" s="1909"/>
      <c r="S147" s="1909"/>
      <c r="T147" s="1909"/>
      <c r="U147" s="1907"/>
      <c r="V147" s="1907"/>
      <c r="W147" s="1910">
        <f t="shared" ref="W147:AP147" si="309">(W146-V146)/V146</f>
        <v>-8.3397683397683393E-3</v>
      </c>
      <c r="X147" s="1910">
        <f t="shared" si="309"/>
        <v>0.15402585267092353</v>
      </c>
      <c r="Y147" s="1910">
        <f t="shared" si="309"/>
        <v>6.6126855600539807E-3</v>
      </c>
      <c r="Z147" s="1910">
        <f t="shared" si="309"/>
        <v>2.5606649684944364E-2</v>
      </c>
      <c r="AA147" s="1910">
        <f t="shared" si="309"/>
        <v>1.9607843137254902E-2</v>
      </c>
      <c r="AB147" s="1910">
        <f t="shared" si="309"/>
        <v>3.8846153846153843E-2</v>
      </c>
      <c r="AC147" s="1910">
        <f t="shared" si="309"/>
        <v>4.1219301493274095E-2</v>
      </c>
      <c r="AD147" s="1910">
        <f t="shared" si="309"/>
        <v>4.634348702145312E-2</v>
      </c>
      <c r="AE147" s="1910">
        <f t="shared" si="309"/>
        <v>4.7802446760308114E-2</v>
      </c>
      <c r="AF147" s="1910">
        <f t="shared" si="309"/>
        <v>0.13513513513513514</v>
      </c>
      <c r="AG147" s="1910">
        <f t="shared" si="309"/>
        <v>2.3809523809523808E-2</v>
      </c>
      <c r="AH147" s="1962">
        <f>(AH146-AG146)/AG146</f>
        <v>3.7209302325581395E-2</v>
      </c>
      <c r="AI147" s="1910">
        <f>(AI146-AG146)/AG146</f>
        <v>2.7906976744186046E-2</v>
      </c>
      <c r="AJ147" s="1962">
        <f>(AJ146-AI146)/AI146</f>
        <v>3.6199095022624438E-2</v>
      </c>
      <c r="AK147" s="1911">
        <f>(AK146-AI146)/AI146</f>
        <v>3.5656108597285067E-2</v>
      </c>
      <c r="AL147" s="1910">
        <f t="shared" si="309"/>
        <v>4.4215309332401261E-2</v>
      </c>
      <c r="AM147" s="1910">
        <f t="shared" si="309"/>
        <v>3.3472803347280332E-2</v>
      </c>
      <c r="AN147" s="1910">
        <f t="shared" si="309"/>
        <v>2.0242914979757085E-2</v>
      </c>
      <c r="AO147" s="1910">
        <f t="shared" si="309"/>
        <v>1.984126984126984E-2</v>
      </c>
      <c r="AP147" s="1910">
        <f t="shared" si="309"/>
        <v>1.9455252918287938E-2</v>
      </c>
      <c r="AQ147" s="1441"/>
      <c r="AR147" s="1664">
        <f>+AR146/AK146-1</f>
        <v>3.984620761971347E-2</v>
      </c>
      <c r="AS147" s="1441"/>
      <c r="AT147" s="1664">
        <f>+AT146/AI146-1</f>
        <v>3.167420814479649E-2</v>
      </c>
      <c r="AU147" s="1664">
        <f>+AU146/AG146-1</f>
        <v>-9.302325581395321E-3</v>
      </c>
    </row>
    <row r="148" spans="1:65" s="1449" customFormat="1" ht="5.25" customHeight="1">
      <c r="B148" s="1904"/>
      <c r="U148" s="1441"/>
      <c r="V148" s="1441"/>
      <c r="W148" s="1453"/>
      <c r="X148" s="1453"/>
      <c r="Y148" s="1453"/>
      <c r="Z148" s="1453"/>
      <c r="AA148" s="1453"/>
      <c r="AB148" s="1453"/>
      <c r="AC148" s="1453"/>
      <c r="AD148" s="1453"/>
      <c r="AE148" s="1453"/>
      <c r="AF148" s="1453"/>
      <c r="AG148" s="1453"/>
      <c r="AH148" s="1962"/>
      <c r="AI148" s="1453"/>
      <c r="AJ148" s="1962"/>
      <c r="AK148" s="1905"/>
      <c r="AL148" s="1453"/>
      <c r="AM148" s="1453"/>
      <c r="AN148" s="1453"/>
      <c r="AO148" s="1453"/>
      <c r="AP148" s="1453"/>
      <c r="AQ148" s="1441"/>
      <c r="AR148" s="1664"/>
      <c r="AS148" s="1441"/>
      <c r="AT148" s="1664"/>
      <c r="AU148" s="1664"/>
    </row>
    <row r="149" spans="1:65">
      <c r="B149" s="1906" t="s">
        <v>196</v>
      </c>
      <c r="C149" s="1487" t="s">
        <v>568</v>
      </c>
      <c r="D149" s="1487"/>
      <c r="E149" s="1487"/>
      <c r="F149" s="1487"/>
      <c r="G149" s="1487"/>
      <c r="H149" s="1487"/>
      <c r="I149" s="1487"/>
      <c r="J149" s="1487"/>
      <c r="K149" s="1487"/>
      <c r="L149" s="1487"/>
      <c r="M149" s="1487"/>
      <c r="N149" s="1487"/>
      <c r="O149" s="1487"/>
      <c r="P149" s="1487"/>
      <c r="Q149" s="1487"/>
      <c r="R149" s="1487"/>
      <c r="S149" s="1913">
        <v>28000</v>
      </c>
      <c r="T149" s="1487"/>
      <c r="U149" s="1489"/>
      <c r="V149" s="1489">
        <v>28252</v>
      </c>
      <c r="W149" s="1489">
        <v>26037</v>
      </c>
      <c r="X149" s="1489">
        <v>28783</v>
      </c>
      <c r="Y149" s="1489">
        <v>29726</v>
      </c>
      <c r="Z149" s="1489">
        <v>40900</v>
      </c>
      <c r="AA149" s="1489">
        <v>42608</v>
      </c>
      <c r="AB149" s="1489">
        <v>44978</v>
      </c>
      <c r="AC149" s="1489">
        <v>46261</v>
      </c>
      <c r="AD149" s="1489">
        <v>47106</v>
      </c>
      <c r="AE149" s="1489">
        <v>49300</v>
      </c>
      <c r="AF149" s="1489">
        <v>47000</v>
      </c>
      <c r="AG149" s="1489">
        <v>41500</v>
      </c>
      <c r="AH149" s="1961">
        <v>33900</v>
      </c>
      <c r="AI149" s="1489">
        <f>+Quarterly!IR59</f>
        <v>33900</v>
      </c>
      <c r="AJ149" s="1961">
        <f>AI149+1000</f>
        <v>34900</v>
      </c>
      <c r="AK149" s="1490">
        <f>+Quarterly!JD59</f>
        <v>35196</v>
      </c>
      <c r="AL149" s="2041">
        <f>ROUND(AK149+1800,-2)</f>
        <v>37000</v>
      </c>
      <c r="AM149" s="2041">
        <f>ROUND(AL149+1200,-2)</f>
        <v>38200</v>
      </c>
      <c r="AN149" s="2041">
        <f>ROUND(AM149+1000,-2)</f>
        <v>39200</v>
      </c>
      <c r="AO149" s="2041">
        <f>ROUND(AN149+800,-2)</f>
        <v>40000</v>
      </c>
      <c r="AP149" s="2041">
        <f>ROUND(AO149+800,-2)</f>
        <v>40800</v>
      </c>
      <c r="AQ149" s="367"/>
      <c r="AR149" s="367">
        <f>+Quarterly!KH59</f>
        <v>36300</v>
      </c>
      <c r="AS149" s="367"/>
      <c r="AT149" s="367">
        <f>+Quarterly!KM59</f>
        <v>35000</v>
      </c>
      <c r="AU149" s="367">
        <f>+Quarterly!KW59</f>
        <v>34700</v>
      </c>
    </row>
    <row r="150" spans="1:65" s="1449" customFormat="1">
      <c r="B150" s="1908" t="s">
        <v>669</v>
      </c>
      <c r="C150" s="1909" t="s">
        <v>567</v>
      </c>
      <c r="D150" s="1909"/>
      <c r="E150" s="1909"/>
      <c r="F150" s="1909"/>
      <c r="G150" s="1909"/>
      <c r="H150" s="1909"/>
      <c r="I150" s="1909"/>
      <c r="J150" s="1909"/>
      <c r="K150" s="1909"/>
      <c r="L150" s="1909"/>
      <c r="M150" s="1909"/>
      <c r="N150" s="1909"/>
      <c r="O150" s="1909"/>
      <c r="P150" s="1909"/>
      <c r="Q150" s="1909"/>
      <c r="R150" s="1909"/>
      <c r="S150" s="1909"/>
      <c r="T150" s="1909"/>
      <c r="U150" s="1907"/>
      <c r="V150" s="1907"/>
      <c r="W150" s="1910">
        <f t="shared" ref="W150:AP150" si="310">(W149-V149)/V149</f>
        <v>-7.8401529095285291E-2</v>
      </c>
      <c r="X150" s="1910">
        <f t="shared" si="310"/>
        <v>0.1054652993816492</v>
      </c>
      <c r="Y150" s="1910">
        <f t="shared" si="310"/>
        <v>3.2762394468957373E-2</v>
      </c>
      <c r="Z150" s="1910">
        <f t="shared" si="310"/>
        <v>0.37589988562201437</v>
      </c>
      <c r="AA150" s="1910">
        <f t="shared" si="310"/>
        <v>4.1760391198044013E-2</v>
      </c>
      <c r="AB150" s="1910">
        <f t="shared" si="310"/>
        <v>5.5623357116034548E-2</v>
      </c>
      <c r="AC150" s="1910">
        <f t="shared" si="310"/>
        <v>2.8525056694383922E-2</v>
      </c>
      <c r="AD150" s="1910">
        <f t="shared" si="310"/>
        <v>1.8265925941938134E-2</v>
      </c>
      <c r="AE150" s="1910">
        <f t="shared" si="310"/>
        <v>4.6575807752727891E-2</v>
      </c>
      <c r="AF150" s="1910">
        <f t="shared" si="310"/>
        <v>-4.665314401622718E-2</v>
      </c>
      <c r="AG150" s="1910">
        <f t="shared" si="310"/>
        <v>-0.11702127659574468</v>
      </c>
      <c r="AH150" s="1962">
        <f>(AH149-AG149)/AG149</f>
        <v>-0.18313253012048192</v>
      </c>
      <c r="AI150" s="1910">
        <f>(AI149-AG149)/AG149</f>
        <v>-0.18313253012048192</v>
      </c>
      <c r="AJ150" s="1962">
        <f>(AJ149-AI149)/AI149</f>
        <v>2.9498525073746312E-2</v>
      </c>
      <c r="AK150" s="1911">
        <f>(AK149-AI149)/AI149</f>
        <v>3.8230088495575222E-2</v>
      </c>
      <c r="AL150" s="1910">
        <f t="shared" si="310"/>
        <v>5.1255824525514262E-2</v>
      </c>
      <c r="AM150" s="1910">
        <f t="shared" si="310"/>
        <v>3.2432432432432434E-2</v>
      </c>
      <c r="AN150" s="1910">
        <f t="shared" si="310"/>
        <v>2.6178010471204188E-2</v>
      </c>
      <c r="AO150" s="1910">
        <f t="shared" si="310"/>
        <v>2.0408163265306121E-2</v>
      </c>
      <c r="AP150" s="1910">
        <f t="shared" si="310"/>
        <v>0.02</v>
      </c>
      <c r="AQ150" s="1441"/>
      <c r="AR150" s="1664">
        <f>+AR149/AK149-1</f>
        <v>3.1367200818274821E-2</v>
      </c>
      <c r="AS150" s="1441"/>
      <c r="AT150" s="1664">
        <f>+AT149/AI149-1</f>
        <v>3.2448377581120846E-2</v>
      </c>
      <c r="AU150" s="1664">
        <f>+AU149/AG149-1</f>
        <v>-0.16385542168674694</v>
      </c>
    </row>
    <row r="151" spans="1:65">
      <c r="B151" s="1338" t="s">
        <v>1028</v>
      </c>
      <c r="C151" s="1" t="s">
        <v>566</v>
      </c>
      <c r="S151" s="1441"/>
      <c r="U151" s="367"/>
      <c r="V151" s="367"/>
      <c r="W151" s="367"/>
      <c r="X151" s="367">
        <v>22</v>
      </c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1961"/>
      <c r="AI151" s="367"/>
      <c r="AJ151" s="1961"/>
      <c r="AK151" s="1442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</row>
    <row r="152" spans="1:65" s="1378" customFormat="1">
      <c r="A152" s="367"/>
      <c r="B152" s="2089" t="s">
        <v>268</v>
      </c>
      <c r="C152" s="2089" t="s">
        <v>531</v>
      </c>
      <c r="D152" s="2089"/>
      <c r="E152" s="2089"/>
      <c r="F152" s="2089"/>
      <c r="G152" s="2089"/>
      <c r="H152" s="2089"/>
      <c r="I152" s="2089"/>
      <c r="J152" s="2089"/>
      <c r="K152" s="2089"/>
      <c r="L152" s="2089"/>
      <c r="M152" s="2089"/>
      <c r="N152" s="2089"/>
      <c r="O152" s="2089"/>
      <c r="P152" s="2089"/>
      <c r="Q152" s="2089"/>
      <c r="R152" s="2089"/>
      <c r="S152" s="2090">
        <v>321356</v>
      </c>
      <c r="T152" s="2089"/>
      <c r="U152" s="2089"/>
      <c r="V152" s="2089">
        <v>315337</v>
      </c>
      <c r="W152" s="2089">
        <v>305911</v>
      </c>
      <c r="X152" s="2089">
        <f>X71+X74+X77+X124+X138+X146+X149+X151</f>
        <v>320984</v>
      </c>
      <c r="Y152" s="2089">
        <v>344527</v>
      </c>
      <c r="Z152" s="2089">
        <v>372231</v>
      </c>
      <c r="AA152" s="2089">
        <f>AA71+AA74+AA77+AA124+AA138+AA146+AA149</f>
        <v>381322</v>
      </c>
      <c r="AB152" s="2089">
        <f>AB71+AB74+AB77+AB124+AB138+AB146+AB149</f>
        <v>383559</v>
      </c>
      <c r="AC152" s="2089">
        <f>AC71+AC74+AC77+AC124+AC138+AC146+AC149</f>
        <v>382248</v>
      </c>
      <c r="AD152" s="2089">
        <v>388797</v>
      </c>
      <c r="AE152" s="2089">
        <f t="shared" ref="AE152:AJ152" si="311">AE71+AE74+AE77+AE124+AE138+AE146+AE149</f>
        <v>401200</v>
      </c>
      <c r="AF152" s="2089">
        <f t="shared" si="311"/>
        <v>416700</v>
      </c>
      <c r="AG152" s="2089">
        <f t="shared" si="311"/>
        <v>421800</v>
      </c>
      <c r="AH152" s="1976">
        <f t="shared" si="311"/>
        <v>341300</v>
      </c>
      <c r="AI152" s="2089">
        <f t="shared" si="311"/>
        <v>361500</v>
      </c>
      <c r="AJ152" s="1976">
        <f t="shared" si="311"/>
        <v>367300</v>
      </c>
      <c r="AK152" s="2091">
        <f>AK71+AK74+AK77+AK124+AK138+AK146+AK149+2</f>
        <v>435786</v>
      </c>
      <c r="AL152" s="2089">
        <f>AL71+AL74+AL77+AL124+AL138+AL146+AL149</f>
        <v>480500</v>
      </c>
      <c r="AM152" s="2089">
        <f>AM71+AM74+AM77+AM124+AM138+AM146+AM149</f>
        <v>496100</v>
      </c>
      <c r="AN152" s="2089">
        <f>AN71+AN74+AN77+AN124+AN138+AN146+AN149</f>
        <v>511000</v>
      </c>
      <c r="AO152" s="2089">
        <f>AO71+AO74+AO77+AO124+AO138+AO146+AO149</f>
        <v>527300</v>
      </c>
      <c r="AP152" s="2089">
        <f>AP71+AP74+AP77+AP124+AP138+AP146+AP149</f>
        <v>542400</v>
      </c>
      <c r="AQ152" s="367"/>
      <c r="AR152" s="1546">
        <f>AR71+AR74+AR77+AR124+AR138+AR146+AR149</f>
        <v>466000</v>
      </c>
      <c r="AS152" s="367"/>
      <c r="AT152" s="1546">
        <f>AT71+AT74+AT77+AT124+AT138+AT146+AT149</f>
        <v>443000</v>
      </c>
      <c r="AU152" s="1546">
        <f>AU71+AU74+AU77+AU124+AU138+AU146+AU149</f>
        <v>353500</v>
      </c>
      <c r="AV152" s="367"/>
      <c r="AW152" s="367"/>
      <c r="AX152" s="367"/>
      <c r="AY152" s="367"/>
      <c r="AZ152" s="367"/>
      <c r="BA152" s="367"/>
      <c r="BB152" s="367"/>
      <c r="BC152" s="367"/>
      <c r="BD152" s="367"/>
      <c r="BE152" s="367"/>
      <c r="BF152" s="367"/>
      <c r="BG152" s="367"/>
      <c r="BH152" s="367"/>
      <c r="BI152" s="367"/>
      <c r="BJ152" s="367"/>
      <c r="BK152" s="367"/>
      <c r="BL152" s="367"/>
      <c r="BM152" s="367"/>
    </row>
    <row r="153" spans="1:65" s="666" customFormat="1" ht="12.5" thickBot="1">
      <c r="A153" s="1664"/>
      <c r="B153" s="2092" t="s">
        <v>669</v>
      </c>
      <c r="C153" s="2092" t="s">
        <v>1475</v>
      </c>
      <c r="D153" s="2092"/>
      <c r="E153" s="2092"/>
      <c r="F153" s="2092"/>
      <c r="G153" s="2092"/>
      <c r="H153" s="2092"/>
      <c r="I153" s="2092"/>
      <c r="J153" s="2092"/>
      <c r="K153" s="2092"/>
      <c r="L153" s="2092"/>
      <c r="M153" s="2092"/>
      <c r="N153" s="2092"/>
      <c r="O153" s="2092"/>
      <c r="P153" s="2092"/>
      <c r="Q153" s="2092"/>
      <c r="R153" s="2092"/>
      <c r="S153" s="2092"/>
      <c r="T153" s="2092"/>
      <c r="U153" s="2092"/>
      <c r="V153" s="2092"/>
      <c r="W153" s="2092">
        <f t="shared" ref="W153:AP153" si="312">(W152-V152)/V152</f>
        <v>-2.9891830010433284E-2</v>
      </c>
      <c r="X153" s="2092">
        <f t="shared" si="312"/>
        <v>4.9272500825403465E-2</v>
      </c>
      <c r="Y153" s="2092">
        <f t="shared" si="312"/>
        <v>7.3346335019814066E-2</v>
      </c>
      <c r="Z153" s="2092">
        <f t="shared" si="312"/>
        <v>8.0411694874422041E-2</v>
      </c>
      <c r="AA153" s="2092">
        <f t="shared" si="312"/>
        <v>2.4423006144034216E-2</v>
      </c>
      <c r="AB153" s="2092">
        <f t="shared" si="312"/>
        <v>5.866433093291234E-3</v>
      </c>
      <c r="AC153" s="2092">
        <f t="shared" si="312"/>
        <v>-3.41798784541622E-3</v>
      </c>
      <c r="AD153" s="2092">
        <f t="shared" si="312"/>
        <v>1.7132856156212722E-2</v>
      </c>
      <c r="AE153" s="2092">
        <f t="shared" si="312"/>
        <v>3.1900966314040491E-2</v>
      </c>
      <c r="AF153" s="2092">
        <f t="shared" si="312"/>
        <v>3.863409770687936E-2</v>
      </c>
      <c r="AG153" s="2092">
        <f t="shared" si="312"/>
        <v>1.2239020878329733E-2</v>
      </c>
      <c r="AH153" s="2093">
        <f>(AH152-AG152)/AG152</f>
        <v>-0.19084874348032244</v>
      </c>
      <c r="AI153" s="2092">
        <f>(AI152-AG152)/AG152</f>
        <v>-0.14295874822190613</v>
      </c>
      <c r="AJ153" s="2093">
        <f>(AJ152-AI152)/AI152</f>
        <v>1.6044260027662516E-2</v>
      </c>
      <c r="AK153" s="2094">
        <f>(AK152-AI152)/AI152</f>
        <v>0.20549377593360996</v>
      </c>
      <c r="AL153" s="2092">
        <f t="shared" si="312"/>
        <v>0.10260540724116883</v>
      </c>
      <c r="AM153" s="2092">
        <f t="shared" si="312"/>
        <v>3.2466181061394379E-2</v>
      </c>
      <c r="AN153" s="2092">
        <f t="shared" si="312"/>
        <v>3.0034267284821607E-2</v>
      </c>
      <c r="AO153" s="2092">
        <f t="shared" si="312"/>
        <v>3.1898238747553813E-2</v>
      </c>
      <c r="AP153" s="2092">
        <f t="shared" si="312"/>
        <v>2.8636449838801443E-2</v>
      </c>
      <c r="AQ153" s="1664"/>
      <c r="AR153" s="2095">
        <f>+AR152/AK152-1</f>
        <v>6.9332195160009658E-2</v>
      </c>
      <c r="AS153" s="1664"/>
      <c r="AT153" s="2095"/>
      <c r="AU153" s="2095"/>
      <c r="AV153" s="1664"/>
      <c r="AW153" s="1664"/>
      <c r="AX153" s="1664"/>
      <c r="AY153" s="1664"/>
      <c r="AZ153" s="1664"/>
      <c r="BA153" s="1664"/>
      <c r="BB153" s="1664"/>
      <c r="BC153" s="1664"/>
      <c r="BD153" s="1664"/>
      <c r="BE153" s="1664"/>
      <c r="BF153" s="1664"/>
      <c r="BG153" s="1664"/>
      <c r="BH153" s="1664"/>
      <c r="BI153" s="1664"/>
      <c r="BJ153" s="1664"/>
      <c r="BK153" s="1664"/>
      <c r="BL153" s="1664"/>
      <c r="BM153" s="1664"/>
    </row>
    <row r="154" spans="1:65" s="1378" customFormat="1" ht="12.5" thickTop="1">
      <c r="A154" s="367"/>
      <c r="B154" s="367"/>
      <c r="C154" s="367"/>
      <c r="D154" s="367"/>
      <c r="E154" s="367"/>
      <c r="F154" s="367"/>
      <c r="G154" s="367"/>
      <c r="H154" s="367"/>
      <c r="I154" s="367"/>
      <c r="J154" s="367"/>
      <c r="K154" s="367"/>
      <c r="L154" s="367"/>
      <c r="M154" s="367"/>
      <c r="N154" s="367"/>
      <c r="O154" s="367"/>
      <c r="P154" s="367"/>
      <c r="Q154" s="367"/>
      <c r="R154" s="367"/>
      <c r="S154" s="367"/>
      <c r="T154" s="367"/>
      <c r="U154" s="367"/>
      <c r="V154" s="367"/>
      <c r="W154" s="1455"/>
      <c r="X154" s="1455"/>
      <c r="Y154" s="1455"/>
      <c r="Z154" s="1455"/>
      <c r="AA154" s="1455"/>
      <c r="AB154" s="1455"/>
      <c r="AC154" s="1455"/>
      <c r="AD154" s="1455"/>
      <c r="AE154" s="1455"/>
      <c r="AF154" s="1455"/>
      <c r="AG154" s="1455"/>
      <c r="AH154" s="1962"/>
      <c r="AI154" s="1455"/>
      <c r="AJ154" s="1962"/>
      <c r="AK154" s="1456"/>
      <c r="AL154" s="1455"/>
      <c r="AM154" s="1455"/>
      <c r="AN154" s="1455"/>
      <c r="AO154" s="1455"/>
      <c r="AP154" s="1455"/>
      <c r="AQ154" s="367"/>
      <c r="AR154" s="367"/>
      <c r="AS154" s="367"/>
      <c r="AT154" s="367"/>
      <c r="AU154" s="367"/>
      <c r="AV154" s="367"/>
      <c r="AW154" s="367"/>
      <c r="AX154" s="367"/>
      <c r="AY154" s="367"/>
      <c r="AZ154" s="367"/>
      <c r="BA154" s="367"/>
      <c r="BB154" s="367"/>
      <c r="BC154" s="367"/>
      <c r="BD154" s="367"/>
      <c r="BE154" s="367"/>
      <c r="BF154" s="367"/>
      <c r="BG154" s="367"/>
      <c r="BH154" s="367"/>
      <c r="BI154" s="367"/>
      <c r="BJ154" s="367"/>
      <c r="BK154" s="367"/>
      <c r="BL154" s="367"/>
      <c r="BM154" s="367"/>
    </row>
    <row r="155" spans="1:65" s="1378" customFormat="1">
      <c r="A155" s="367"/>
      <c r="B155" s="367" t="s">
        <v>1029</v>
      </c>
      <c r="C155" s="367" t="s">
        <v>565</v>
      </c>
      <c r="D155" s="367"/>
      <c r="E155" s="367"/>
      <c r="F155" s="367"/>
      <c r="G155" s="367"/>
      <c r="H155" s="367"/>
      <c r="I155" s="367"/>
      <c r="J155" s="367"/>
      <c r="K155" s="367"/>
      <c r="L155" s="367"/>
      <c r="M155" s="367"/>
      <c r="N155" s="367"/>
      <c r="O155" s="367"/>
      <c r="P155" s="367"/>
      <c r="Q155" s="367"/>
      <c r="R155" s="367"/>
      <c r="S155" s="367"/>
      <c r="T155" s="367"/>
      <c r="U155" s="367"/>
      <c r="V155" s="367"/>
      <c r="W155" s="1455"/>
      <c r="X155" s="1455"/>
      <c r="Y155" s="1455"/>
      <c r="Z155" s="1455"/>
      <c r="AA155" s="1455"/>
      <c r="AB155" s="1455"/>
      <c r="AC155" s="1455"/>
      <c r="AD155" s="1455"/>
      <c r="AE155" s="1455"/>
      <c r="AF155" s="1455"/>
      <c r="AG155" s="1455"/>
      <c r="AH155" s="1962"/>
      <c r="AI155" s="1455"/>
      <c r="AJ155" s="1962"/>
      <c r="AK155" s="1456"/>
      <c r="AL155" s="1455"/>
      <c r="AM155" s="1455"/>
      <c r="AN155" s="1455"/>
      <c r="AO155" s="1455"/>
      <c r="AP155" s="1455"/>
      <c r="AQ155" s="367"/>
      <c r="AR155" s="367"/>
      <c r="AS155" s="367"/>
      <c r="AT155" s="367"/>
      <c r="AU155" s="367"/>
      <c r="AV155" s="367"/>
      <c r="AW155" s="367"/>
      <c r="AX155" s="367"/>
      <c r="AY155" s="367"/>
      <c r="AZ155" s="367"/>
      <c r="BA155" s="367"/>
      <c r="BB155" s="367"/>
      <c r="BC155" s="367"/>
      <c r="BD155" s="367"/>
      <c r="BE155" s="367"/>
      <c r="BF155" s="367"/>
      <c r="BG155" s="367"/>
      <c r="BH155" s="367"/>
      <c r="BI155" s="367"/>
      <c r="BJ155" s="367"/>
      <c r="BK155" s="367"/>
      <c r="BL155" s="367"/>
      <c r="BM155" s="367"/>
    </row>
    <row r="156" spans="1:65" s="1378" customFormat="1">
      <c r="A156" s="367"/>
      <c r="B156" s="1925" t="s">
        <v>1030</v>
      </c>
      <c r="C156" s="1925" t="s">
        <v>564</v>
      </c>
      <c r="D156" s="1925"/>
      <c r="E156" s="1925"/>
      <c r="F156" s="1925"/>
      <c r="G156" s="1925"/>
      <c r="H156" s="1925"/>
      <c r="I156" s="1925"/>
      <c r="J156" s="1925"/>
      <c r="K156" s="1925"/>
      <c r="L156" s="1925"/>
      <c r="M156" s="1925"/>
      <c r="N156" s="1925"/>
      <c r="O156" s="1925"/>
      <c r="P156" s="1925"/>
      <c r="Q156" s="1925"/>
      <c r="R156" s="1925"/>
      <c r="S156" s="1925"/>
      <c r="T156" s="1925"/>
      <c r="U156" s="1925"/>
      <c r="V156" s="1926">
        <f t="shared" ref="V156:AC156" si="313">1-V163</f>
        <v>0.81218505915893158</v>
      </c>
      <c r="W156" s="1926">
        <f t="shared" si="313"/>
        <v>0.8359294043038662</v>
      </c>
      <c r="X156" s="1926">
        <f t="shared" si="313"/>
        <v>0.82067953542855721</v>
      </c>
      <c r="Y156" s="1926">
        <f t="shared" si="313"/>
        <v>0.79493624592557333</v>
      </c>
      <c r="Z156" s="1926">
        <f t="shared" si="313"/>
        <v>0.79743761266525359</v>
      </c>
      <c r="AA156" s="1926">
        <f t="shared" si="313"/>
        <v>0.77473106718206664</v>
      </c>
      <c r="AB156" s="1926">
        <f t="shared" si="313"/>
        <v>0.79820575191821863</v>
      </c>
      <c r="AC156" s="1927">
        <f t="shared" si="313"/>
        <v>0.80902450764948408</v>
      </c>
      <c r="AD156" s="1927">
        <f t="shared" ref="AD156:AE156" si="314">1-AD163</f>
        <v>0.81211789185616146</v>
      </c>
      <c r="AE156" s="1927">
        <f t="shared" si="314"/>
        <v>0.79087736789631102</v>
      </c>
      <c r="AF156" s="1927">
        <f t="shared" ref="AF156:AH156" si="315">1-AF163</f>
        <v>0.78641708663306931</v>
      </c>
      <c r="AG156" s="1927">
        <f t="shared" si="315"/>
        <v>0.77738264580369842</v>
      </c>
      <c r="AH156" s="1963">
        <f t="shared" si="315"/>
        <v>0.7248754761207149</v>
      </c>
      <c r="AI156" s="1927">
        <f t="shared" ref="AI156:AK156" si="316">1-AI163</f>
        <v>0.68409405255878286</v>
      </c>
      <c r="AJ156" s="1963">
        <f t="shared" ref="AJ156" si="317">1-AJ163</f>
        <v>0.68908249387421727</v>
      </c>
      <c r="AK156" s="1928">
        <f t="shared" si="316"/>
        <v>0.59068441849898812</v>
      </c>
      <c r="AL156" s="1927">
        <f t="shared" ref="AL156" si="318">1-AL163</f>
        <v>0.55712799167533822</v>
      </c>
      <c r="AM156" s="1927">
        <f t="shared" ref="AM156:AN156" si="319">1-AM163</f>
        <v>0.55049385204595846</v>
      </c>
      <c r="AN156" s="1927">
        <f t="shared" si="319"/>
        <v>0.54031311154598827</v>
      </c>
      <c r="AO156" s="1927">
        <f t="shared" ref="AO156" si="320">1-AO163</f>
        <v>0.53081737151526642</v>
      </c>
      <c r="AP156" s="1927">
        <f t="shared" ref="AP156" si="321">1-AP163</f>
        <v>0.52193952802359878</v>
      </c>
      <c r="AQ156" s="342"/>
      <c r="AR156" s="1447"/>
      <c r="AS156" s="342"/>
      <c r="AT156" s="1446"/>
      <c r="AU156" s="1446"/>
      <c r="AV156" s="367"/>
      <c r="AW156" s="367"/>
      <c r="AX156" s="367"/>
      <c r="AY156" s="367"/>
      <c r="AZ156" s="367"/>
      <c r="BA156" s="367"/>
      <c r="BB156" s="367"/>
      <c r="BC156" s="367"/>
      <c r="BD156" s="367"/>
      <c r="BE156" s="367"/>
      <c r="BF156" s="367"/>
      <c r="BG156" s="367"/>
      <c r="BH156" s="367"/>
      <c r="BI156" s="367"/>
      <c r="BJ156" s="367"/>
      <c r="BK156" s="367"/>
      <c r="BL156" s="367"/>
      <c r="BM156" s="367"/>
    </row>
    <row r="157" spans="1:65" s="1378" customFormat="1">
      <c r="A157" s="367"/>
      <c r="B157" s="1458" t="s">
        <v>1031</v>
      </c>
      <c r="C157" s="367" t="s">
        <v>563</v>
      </c>
      <c r="D157" s="367"/>
      <c r="E157" s="367"/>
      <c r="F157" s="367"/>
      <c r="G157" s="367"/>
      <c r="H157" s="367"/>
      <c r="I157" s="367"/>
      <c r="J157" s="367"/>
      <c r="K157" s="367"/>
      <c r="L157" s="367"/>
      <c r="M157" s="367"/>
      <c r="N157" s="367"/>
      <c r="O157" s="367"/>
      <c r="P157" s="367"/>
      <c r="Q157" s="367"/>
      <c r="R157" s="367"/>
      <c r="S157" s="367"/>
      <c r="T157" s="367"/>
      <c r="U157" s="367"/>
      <c r="V157" s="342">
        <f t="shared" ref="V157:AP157" si="322">V77/V152</f>
        <v>0.30770572435204241</v>
      </c>
      <c r="W157" s="342">
        <f t="shared" si="322"/>
        <v>0.33262942489809127</v>
      </c>
      <c r="X157" s="342">
        <f t="shared" si="322"/>
        <v>0.33222216683697631</v>
      </c>
      <c r="Y157" s="342">
        <f t="shared" si="322"/>
        <v>0.33952056007221493</v>
      </c>
      <c r="Z157" s="342">
        <f t="shared" si="322"/>
        <v>0.33527567558854582</v>
      </c>
      <c r="AA157" s="342">
        <f t="shared" si="322"/>
        <v>0.30787628303638392</v>
      </c>
      <c r="AB157" s="342">
        <f t="shared" si="322"/>
        <v>0.32302722658052607</v>
      </c>
      <c r="AC157" s="342">
        <f t="shared" si="322"/>
        <v>0.32989054226575415</v>
      </c>
      <c r="AD157" s="342">
        <f t="shared" si="322"/>
        <v>0.33204988721620793</v>
      </c>
      <c r="AE157" s="342">
        <f t="shared" si="322"/>
        <v>0.31804586241276173</v>
      </c>
      <c r="AF157" s="342">
        <f t="shared" si="322"/>
        <v>0.3198944084473242</v>
      </c>
      <c r="AG157" s="342">
        <f t="shared" si="322"/>
        <v>0.31958274063537223</v>
      </c>
      <c r="AH157" s="1962">
        <f t="shared" si="322"/>
        <v>0.2789334895985936</v>
      </c>
      <c r="AI157" s="342">
        <f t="shared" si="322"/>
        <v>0.26417704011065007</v>
      </c>
      <c r="AJ157" s="1962">
        <f t="shared" si="322"/>
        <v>0.23768037026953445</v>
      </c>
      <c r="AK157" s="365">
        <f t="shared" si="322"/>
        <v>0.22404345252027372</v>
      </c>
      <c r="AL157" s="342">
        <f t="shared" si="322"/>
        <v>0.20894901144640998</v>
      </c>
      <c r="AM157" s="342">
        <f t="shared" si="322"/>
        <v>0.20439427534771215</v>
      </c>
      <c r="AN157" s="342">
        <f t="shared" si="322"/>
        <v>0.19765166340508805</v>
      </c>
      <c r="AO157" s="342">
        <f t="shared" si="322"/>
        <v>0.19249004361843353</v>
      </c>
      <c r="AP157" s="342">
        <f t="shared" si="322"/>
        <v>0.18731563421828909</v>
      </c>
      <c r="AQ157" s="342"/>
      <c r="AR157" s="342"/>
      <c r="AS157" s="342"/>
      <c r="AT157" s="342"/>
      <c r="AU157" s="342"/>
      <c r="AV157" s="367"/>
      <c r="AW157" s="367"/>
      <c r="AX157" s="367"/>
      <c r="AY157" s="367"/>
      <c r="AZ157" s="367"/>
      <c r="BA157" s="367"/>
      <c r="BB157" s="367"/>
      <c r="BC157" s="367"/>
      <c r="BD157" s="367"/>
      <c r="BE157" s="367"/>
      <c r="BF157" s="367"/>
      <c r="BG157" s="367"/>
      <c r="BH157" s="367"/>
      <c r="BI157" s="367"/>
      <c r="BJ157" s="367"/>
      <c r="BK157" s="367"/>
      <c r="BL157" s="367"/>
      <c r="BM157" s="367"/>
    </row>
    <row r="158" spans="1:65" s="1378" customFormat="1">
      <c r="A158" s="367"/>
      <c r="B158" s="1459" t="s">
        <v>1032</v>
      </c>
      <c r="C158" s="367" t="s">
        <v>562</v>
      </c>
      <c r="D158" s="367"/>
      <c r="E158" s="367"/>
      <c r="F158" s="367"/>
      <c r="G158" s="367"/>
      <c r="H158" s="367"/>
      <c r="I158" s="367"/>
      <c r="J158" s="367"/>
      <c r="K158" s="367"/>
      <c r="L158" s="367"/>
      <c r="M158" s="367"/>
      <c r="N158" s="367"/>
      <c r="O158" s="367"/>
      <c r="P158" s="367"/>
      <c r="Q158" s="367"/>
      <c r="R158" s="367"/>
      <c r="S158" s="367"/>
      <c r="T158" s="367"/>
      <c r="U158" s="367"/>
      <c r="V158" s="342">
        <f t="shared" ref="V158:AC158" si="323">V124/V152</f>
        <v>0.20689611431579549</v>
      </c>
      <c r="W158" s="342">
        <f t="shared" si="323"/>
        <v>0.20717790468469588</v>
      </c>
      <c r="X158" s="342">
        <f t="shared" si="323"/>
        <v>0.19743040151534033</v>
      </c>
      <c r="Y158" s="342">
        <f t="shared" si="323"/>
        <v>0.18015714298153701</v>
      </c>
      <c r="Z158" s="342">
        <f t="shared" si="323"/>
        <v>0.17166759351048139</v>
      </c>
      <c r="AA158" s="342">
        <f t="shared" si="323"/>
        <v>0.17570452268686307</v>
      </c>
      <c r="AB158" s="342">
        <f t="shared" si="323"/>
        <v>0.17780836846482548</v>
      </c>
      <c r="AC158" s="342">
        <f t="shared" si="323"/>
        <v>0.17580209706787217</v>
      </c>
      <c r="AD158" s="342">
        <f t="shared" ref="AD158:AE158" si="324">AD124/AD152</f>
        <v>0.17618448702021877</v>
      </c>
      <c r="AE158" s="342">
        <f t="shared" si="324"/>
        <v>0.17248255234297108</v>
      </c>
      <c r="AF158" s="342">
        <f t="shared" ref="AF158:AH158" si="325">AF124/AF152</f>
        <v>0.17350611951043918</v>
      </c>
      <c r="AG158" s="342">
        <f t="shared" si="325"/>
        <v>0.18515884305357991</v>
      </c>
      <c r="AH158" s="1962">
        <f t="shared" si="325"/>
        <v>0.15089364195722238</v>
      </c>
      <c r="AI158" s="342">
        <f t="shared" ref="AI158:AK158" si="326">AI124/AI152</f>
        <v>0.14190871369294605</v>
      </c>
      <c r="AJ158" s="1962">
        <f t="shared" ref="AJ158" si="327">AJ124/AJ152</f>
        <v>0.15954260822216171</v>
      </c>
      <c r="AK158" s="365">
        <f t="shared" si="326"/>
        <v>0.12124529011946231</v>
      </c>
      <c r="AL158" s="342">
        <f t="shared" ref="AL158" si="328">AL124/AL152</f>
        <v>0.11716961498439125</v>
      </c>
      <c r="AM158" s="342">
        <f t="shared" ref="AM158:AN158" si="329">AM124/AM152</f>
        <v>0.11449304575690385</v>
      </c>
      <c r="AN158" s="342">
        <f t="shared" si="329"/>
        <v>0.11174168297455969</v>
      </c>
      <c r="AO158" s="342">
        <f t="shared" ref="AO158" si="330">AO124/AO152</f>
        <v>0.10904608382325053</v>
      </c>
      <c r="AP158" s="342">
        <f t="shared" ref="AP158" si="331">AP124/AP152</f>
        <v>0.10656342182890856</v>
      </c>
      <c r="AQ158" s="342"/>
      <c r="AR158" s="342"/>
      <c r="AS158" s="342"/>
      <c r="AT158" s="342"/>
      <c r="AU158" s="342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  <c r="BI158" s="367"/>
      <c r="BJ158" s="367"/>
      <c r="BK158" s="367"/>
      <c r="BL158" s="367"/>
      <c r="BM158" s="367"/>
    </row>
    <row r="159" spans="1:65" s="1378" customFormat="1">
      <c r="A159" s="367"/>
      <c r="B159" s="1459" t="s">
        <v>1033</v>
      </c>
      <c r="C159" s="367" t="s">
        <v>561</v>
      </c>
      <c r="D159" s="367"/>
      <c r="E159" s="367"/>
      <c r="F159" s="367"/>
      <c r="G159" s="367"/>
      <c r="H159" s="367"/>
      <c r="I159" s="367"/>
      <c r="J159" s="367"/>
      <c r="K159" s="367"/>
      <c r="L159" s="367"/>
      <c r="M159" s="367"/>
      <c r="N159" s="367"/>
      <c r="O159" s="367"/>
      <c r="P159" s="367"/>
      <c r="Q159" s="367"/>
      <c r="R159" s="367"/>
      <c r="S159" s="367"/>
      <c r="T159" s="367"/>
      <c r="U159" s="367"/>
      <c r="V159" s="342">
        <f t="shared" ref="V159:AP159" si="332">V71/V152</f>
        <v>0.10584232107237654</v>
      </c>
      <c r="W159" s="342">
        <f t="shared" si="332"/>
        <v>0.10903498076237859</v>
      </c>
      <c r="X159" s="342">
        <f t="shared" si="332"/>
        <v>0.10142250081000923</v>
      </c>
      <c r="Y159" s="342">
        <f t="shared" si="332"/>
        <v>9.3928777715534637E-2</v>
      </c>
      <c r="Z159" s="342">
        <f t="shared" si="332"/>
        <v>8.9729227280908902E-2</v>
      </c>
      <c r="AA159" s="342">
        <f t="shared" si="332"/>
        <v>9.0511431283796892E-2</v>
      </c>
      <c r="AB159" s="342">
        <f t="shared" si="332"/>
        <v>8.6231844383784506E-2</v>
      </c>
      <c r="AC159" s="342">
        <f t="shared" si="332"/>
        <v>8.217963207132542E-2</v>
      </c>
      <c r="AD159" s="342">
        <f t="shared" si="332"/>
        <v>8.2359174582108396E-2</v>
      </c>
      <c r="AE159" s="342">
        <f t="shared" si="332"/>
        <v>7.4775672981056834E-2</v>
      </c>
      <c r="AF159" s="342">
        <f t="shared" si="332"/>
        <v>7.1754259659227257E-2</v>
      </c>
      <c r="AG159" s="342">
        <f t="shared" si="332"/>
        <v>6.0929350403034613E-2</v>
      </c>
      <c r="AH159" s="1962">
        <f t="shared" si="332"/>
        <v>7.3249340755933201E-2</v>
      </c>
      <c r="AI159" s="342">
        <f t="shared" si="332"/>
        <v>6.9156293222683268E-2</v>
      </c>
      <c r="AJ159" s="1962">
        <f t="shared" si="332"/>
        <v>7.3509392866866322E-2</v>
      </c>
      <c r="AK159" s="365">
        <f t="shared" si="332"/>
        <v>6.5458734332906512E-2</v>
      </c>
      <c r="AL159" s="342">
        <f t="shared" si="332"/>
        <v>6.2434963579604576E-2</v>
      </c>
      <c r="AM159" s="342">
        <f t="shared" si="332"/>
        <v>6.2890546260834512E-2</v>
      </c>
      <c r="AN159" s="342">
        <f t="shared" si="332"/>
        <v>6.3405088062622308E-2</v>
      </c>
      <c r="AO159" s="342">
        <f t="shared" si="332"/>
        <v>6.3910487388583348E-2</v>
      </c>
      <c r="AP159" s="342">
        <f t="shared" si="332"/>
        <v>6.4343657817109143E-2</v>
      </c>
      <c r="AQ159" s="342"/>
      <c r="AR159" s="342"/>
      <c r="AS159" s="342"/>
      <c r="AT159" s="342"/>
      <c r="AU159" s="342"/>
      <c r="AV159" s="367"/>
      <c r="AW159" s="367"/>
      <c r="AX159" s="367"/>
      <c r="AY159" s="367"/>
      <c r="AZ159" s="367"/>
      <c r="BA159" s="367"/>
      <c r="BB159" s="367"/>
      <c r="BC159" s="367"/>
      <c r="BD159" s="367"/>
      <c r="BE159" s="367"/>
      <c r="BF159" s="367"/>
      <c r="BG159" s="367"/>
      <c r="BH159" s="367"/>
      <c r="BI159" s="367"/>
      <c r="BJ159" s="367"/>
      <c r="BK159" s="367"/>
      <c r="BL159" s="367"/>
      <c r="BM159" s="367"/>
    </row>
    <row r="160" spans="1:65" s="1378" customFormat="1">
      <c r="A160" s="367"/>
      <c r="B160" s="1458" t="s">
        <v>1034</v>
      </c>
      <c r="C160" s="367" t="s">
        <v>560</v>
      </c>
      <c r="D160" s="367"/>
      <c r="E160" s="367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67"/>
      <c r="T160" s="367"/>
      <c r="U160" s="367"/>
      <c r="V160" s="342">
        <f t="shared" ref="V160:AC160" si="333">V138/V152</f>
        <v>6.1080685108312695E-2</v>
      </c>
      <c r="W160" s="342">
        <f t="shared" si="333"/>
        <v>5.992919509269036E-2</v>
      </c>
      <c r="X160" s="342">
        <f t="shared" si="333"/>
        <v>5.3694265134710761E-2</v>
      </c>
      <c r="Y160" s="342">
        <f t="shared" si="333"/>
        <v>5.1508299784922516E-2</v>
      </c>
      <c r="Z160" s="342">
        <f t="shared" si="333"/>
        <v>4.9700320499904631E-2</v>
      </c>
      <c r="AA160" s="342">
        <f t="shared" si="333"/>
        <v>4.7990936793576036E-2</v>
      </c>
      <c r="AB160" s="342">
        <f t="shared" si="333"/>
        <v>5.1621784393013855E-2</v>
      </c>
      <c r="AC160" s="342">
        <f t="shared" si="333"/>
        <v>5.5984596387685479E-2</v>
      </c>
      <c r="AD160" s="342">
        <f t="shared" ref="AD160:AE160" si="334">AD138/AD152</f>
        <v>5.4858962389113086E-2</v>
      </c>
      <c r="AE160" s="342">
        <f t="shared" si="334"/>
        <v>5.6580259222333E-2</v>
      </c>
      <c r="AF160" s="342">
        <f t="shared" ref="AF160:AH160" si="335">AF138/AF152</f>
        <v>5.8075353971682266E-2</v>
      </c>
      <c r="AG160" s="342">
        <f t="shared" si="335"/>
        <v>6.2351825509720245E-2</v>
      </c>
      <c r="AH160" s="1962">
        <f t="shared" si="335"/>
        <v>5.7134485789627897E-2</v>
      </c>
      <c r="AI160" s="342">
        <f t="shared" ref="AI160:AK160" si="336">AI138/AI152</f>
        <v>5.3941908713692949E-2</v>
      </c>
      <c r="AJ160" s="1962">
        <f t="shared" ref="AJ160" si="337">AJ138/AJ152</f>
        <v>6.0985570378437243E-2</v>
      </c>
      <c r="AK160" s="365">
        <f t="shared" si="336"/>
        <v>4.6646748633503599E-2</v>
      </c>
      <c r="AL160" s="342">
        <f t="shared" ref="AL160" si="338">AL138/AL152</f>
        <v>4.1831425598335067E-2</v>
      </c>
      <c r="AM160" s="342">
        <f t="shared" ref="AM160:AN160" si="339">AM138/AM152</f>
        <v>4.1927030840556337E-2</v>
      </c>
      <c r="AN160" s="342">
        <f t="shared" si="339"/>
        <v>4.1487279843444226E-2</v>
      </c>
      <c r="AO160" s="342">
        <f t="shared" ref="AO160" si="340">AO138/AO152</f>
        <v>4.0773753081737155E-2</v>
      </c>
      <c r="AP160" s="342">
        <f t="shared" ref="AP160" si="341">AP138/AP152</f>
        <v>4.0191740412979349E-2</v>
      </c>
      <c r="AQ160" s="342"/>
      <c r="AR160" s="342"/>
      <c r="AS160" s="342"/>
      <c r="AT160" s="342"/>
      <c r="AU160" s="342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  <c r="BI160" s="367"/>
      <c r="BJ160" s="367"/>
      <c r="BK160" s="367"/>
      <c r="BL160" s="367"/>
      <c r="BM160" s="367"/>
    </row>
    <row r="161" spans="1:65" s="1378" customFormat="1">
      <c r="A161" s="367"/>
      <c r="B161" s="1458" t="s">
        <v>1035</v>
      </c>
      <c r="C161" s="367" t="s">
        <v>559</v>
      </c>
      <c r="D161" s="367"/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7"/>
      <c r="P161" s="367"/>
      <c r="Q161" s="367"/>
      <c r="R161" s="367"/>
      <c r="S161" s="367"/>
      <c r="T161" s="367"/>
      <c r="U161" s="367"/>
      <c r="V161" s="342">
        <f t="shared" ref="V161:AC161" si="342">V146/V152</f>
        <v>4.1067175751656165E-2</v>
      </c>
      <c r="W161" s="342">
        <f t="shared" si="342"/>
        <v>4.197952999401787E-2</v>
      </c>
      <c r="X161" s="342">
        <f t="shared" si="342"/>
        <v>4.6170525633676442E-2</v>
      </c>
      <c r="Y161" s="342">
        <f t="shared" si="342"/>
        <v>4.3299944561674408E-2</v>
      </c>
      <c r="Z161" s="342">
        <f t="shared" si="342"/>
        <v>4.1103508305326532E-2</v>
      </c>
      <c r="AA161" s="342">
        <f t="shared" si="342"/>
        <v>4.0910306774851697E-2</v>
      </c>
      <c r="AB161" s="342">
        <f t="shared" si="342"/>
        <v>4.2251648377433455E-2</v>
      </c>
      <c r="AC161" s="342">
        <f t="shared" si="342"/>
        <v>4.4144115861953499E-2</v>
      </c>
      <c r="AD161" s="342">
        <f t="shared" ref="AD161:AE161" si="343">AD146/AD152</f>
        <v>4.5411873033999746E-2</v>
      </c>
      <c r="AE161" s="342">
        <f t="shared" si="343"/>
        <v>4.6111665004985043E-2</v>
      </c>
      <c r="AF161" s="342">
        <f t="shared" ref="AF161:AH161" si="344">AF146/AF152</f>
        <v>5.03959683225342E-2</v>
      </c>
      <c r="AG161" s="342">
        <f t="shared" si="344"/>
        <v>5.0972024656235182E-2</v>
      </c>
      <c r="AH161" s="1962">
        <f t="shared" si="344"/>
        <v>6.5338411954292408E-2</v>
      </c>
      <c r="AI161" s="342">
        <f t="shared" ref="AI161:AK161" si="345">AI146/AI152</f>
        <v>6.1134163208852003E-2</v>
      </c>
      <c r="AJ161" s="1962">
        <f t="shared" ref="AJ161" si="346">AJ146/AJ152</f>
        <v>6.2346855431527362E-2</v>
      </c>
      <c r="AK161" s="365">
        <f t="shared" si="345"/>
        <v>5.2521191594039278E-2</v>
      </c>
      <c r="AL161" s="342">
        <f t="shared" ref="AL161" si="347">AL146/AL152</f>
        <v>4.9739854318418313E-2</v>
      </c>
      <c r="AM161" s="342">
        <f t="shared" ref="AM161:AN161" si="348">AM146/AM152</f>
        <v>4.9788349123160651E-2</v>
      </c>
      <c r="AN161" s="342">
        <f t="shared" si="348"/>
        <v>4.9315068493150684E-2</v>
      </c>
      <c r="AO161" s="342">
        <f t="shared" ref="AO161" si="349">AO146/AO152</f>
        <v>4.8738858334913711E-2</v>
      </c>
      <c r="AP161" s="342">
        <f t="shared" ref="AP161" si="350">AP146/AP152</f>
        <v>4.8303834808259588E-2</v>
      </c>
      <c r="AQ161" s="342"/>
      <c r="AR161" s="342"/>
      <c r="AS161" s="342"/>
      <c r="AT161" s="342"/>
      <c r="AU161" s="342"/>
      <c r="AV161" s="367"/>
      <c r="AW161" s="367"/>
      <c r="AX161" s="367"/>
      <c r="AY161" s="367"/>
      <c r="AZ161" s="367"/>
      <c r="BA161" s="367"/>
      <c r="BB161" s="367"/>
      <c r="BC161" s="367"/>
      <c r="BD161" s="367"/>
      <c r="BE161" s="367"/>
      <c r="BF161" s="367"/>
      <c r="BG161" s="367"/>
      <c r="BH161" s="367"/>
      <c r="BI161" s="367"/>
      <c r="BJ161" s="367"/>
      <c r="BK161" s="367"/>
      <c r="BL161" s="367"/>
      <c r="BM161" s="367"/>
    </row>
    <row r="162" spans="1:65" s="1378" customFormat="1">
      <c r="A162" s="367"/>
      <c r="B162" s="1458" t="s">
        <v>196</v>
      </c>
      <c r="C162" s="367" t="s">
        <v>533</v>
      </c>
      <c r="D162" s="367"/>
      <c r="E162" s="367"/>
      <c r="F162" s="367"/>
      <c r="G162" s="367"/>
      <c r="H162" s="367"/>
      <c r="I162" s="367"/>
      <c r="J162" s="367"/>
      <c r="K162" s="367"/>
      <c r="L162" s="367"/>
      <c r="M162" s="367"/>
      <c r="N162" s="367"/>
      <c r="O162" s="367"/>
      <c r="P162" s="367"/>
      <c r="Q162" s="367"/>
      <c r="R162" s="367"/>
      <c r="S162" s="367"/>
      <c r="T162" s="367"/>
      <c r="U162" s="367"/>
      <c r="V162" s="342">
        <f t="shared" ref="V162:AC162" si="351">V149/V152</f>
        <v>8.9593038558748256E-2</v>
      </c>
      <c r="W162" s="342">
        <f t="shared" si="351"/>
        <v>8.5112990379554831E-2</v>
      </c>
      <c r="X162" s="342">
        <f t="shared" si="351"/>
        <v>8.9671136256012765E-2</v>
      </c>
      <c r="Y162" s="342">
        <f t="shared" si="351"/>
        <v>8.6280610808441724E-2</v>
      </c>
      <c r="Z162" s="342">
        <f t="shared" si="351"/>
        <v>0.10987800586195132</v>
      </c>
      <c r="AA162" s="342">
        <f t="shared" si="351"/>
        <v>0.11173758660659495</v>
      </c>
      <c r="AB162" s="342">
        <f t="shared" si="351"/>
        <v>0.11726487971863521</v>
      </c>
      <c r="AC162" s="342">
        <f t="shared" si="351"/>
        <v>0.12102352399489337</v>
      </c>
      <c r="AD162" s="342">
        <f t="shared" ref="AD162:AE162" si="352">AD149/AD152</f>
        <v>0.1211583422711595</v>
      </c>
      <c r="AE162" s="342">
        <f t="shared" si="352"/>
        <v>0.1228813559322034</v>
      </c>
      <c r="AF162" s="342">
        <f t="shared" ref="AF162:AH162" si="353">AF149/AF152</f>
        <v>0.11279097672186225</v>
      </c>
      <c r="AG162" s="342">
        <f t="shared" si="353"/>
        <v>9.8387861545756281E-2</v>
      </c>
      <c r="AH162" s="1962">
        <f t="shared" si="353"/>
        <v>9.9326106065045411E-2</v>
      </c>
      <c r="AI162" s="342">
        <f t="shared" ref="AI162:AK162" si="354">AI149/AI152</f>
        <v>9.3775933609958506E-2</v>
      </c>
      <c r="AJ162" s="1962">
        <f t="shared" ref="AJ162" si="355">AJ149/AJ152</f>
        <v>9.5017696705690172E-2</v>
      </c>
      <c r="AK162" s="365">
        <f t="shared" si="354"/>
        <v>8.076441189023971E-2</v>
      </c>
      <c r="AL162" s="342">
        <f t="shared" ref="AL162" si="356">AL149/AL152</f>
        <v>7.7003121748178985E-2</v>
      </c>
      <c r="AM162" s="342">
        <f t="shared" ref="AM162:AN162" si="357">AM149/AM152</f>
        <v>7.7000604716790974E-2</v>
      </c>
      <c r="AN162" s="342">
        <f t="shared" si="357"/>
        <v>7.6712328767123292E-2</v>
      </c>
      <c r="AO162" s="342">
        <f t="shared" ref="AO162" si="358">AO149/AO152</f>
        <v>7.5858145268348193E-2</v>
      </c>
      <c r="AP162" s="342">
        <f t="shared" ref="AP162" si="359">AP149/AP152</f>
        <v>7.5221238938053103E-2</v>
      </c>
      <c r="AQ162" s="342"/>
      <c r="AR162" s="342"/>
      <c r="AS162" s="342"/>
      <c r="AT162" s="342"/>
      <c r="AU162" s="342"/>
      <c r="AV162" s="367"/>
      <c r="AW162" s="367"/>
      <c r="AX162" s="367"/>
      <c r="AY162" s="367"/>
      <c r="AZ162" s="367"/>
      <c r="BA162" s="367"/>
      <c r="BB162" s="367"/>
      <c r="BC162" s="367"/>
      <c r="BD162" s="367"/>
      <c r="BE162" s="367"/>
      <c r="BF162" s="367"/>
      <c r="BG162" s="367"/>
      <c r="BH162" s="367"/>
      <c r="BI162" s="367"/>
      <c r="BJ162" s="367"/>
      <c r="BK162" s="367"/>
      <c r="BL162" s="367"/>
      <c r="BM162" s="367"/>
    </row>
    <row r="163" spans="1:65" s="1378" customFormat="1">
      <c r="A163" s="367"/>
      <c r="B163" s="1929" t="s">
        <v>1036</v>
      </c>
      <c r="C163" s="1929" t="s">
        <v>558</v>
      </c>
      <c r="D163" s="1929"/>
      <c r="E163" s="1929"/>
      <c r="F163" s="1929"/>
      <c r="G163" s="1929"/>
      <c r="H163" s="1929"/>
      <c r="I163" s="1929"/>
      <c r="J163" s="1929"/>
      <c r="K163" s="1929"/>
      <c r="L163" s="1929"/>
      <c r="M163" s="1929"/>
      <c r="N163" s="1929"/>
      <c r="O163" s="1929"/>
      <c r="P163" s="1929"/>
      <c r="Q163" s="1929"/>
      <c r="R163" s="1929"/>
      <c r="S163" s="1929"/>
      <c r="T163" s="1929"/>
      <c r="U163" s="1929"/>
      <c r="V163" s="1930">
        <f t="shared" ref="V163:AP163" si="360">V74/V152</f>
        <v>0.18781494084106845</v>
      </c>
      <c r="W163" s="1930">
        <f t="shared" si="360"/>
        <v>0.16407059569613383</v>
      </c>
      <c r="X163" s="1930">
        <f t="shared" si="360"/>
        <v>0.17932046457144282</v>
      </c>
      <c r="Y163" s="1930">
        <f t="shared" si="360"/>
        <v>0.20506375407442667</v>
      </c>
      <c r="Z163" s="1930">
        <f t="shared" si="360"/>
        <v>0.20256238733474644</v>
      </c>
      <c r="AA163" s="1930">
        <f t="shared" si="360"/>
        <v>0.22526893281793339</v>
      </c>
      <c r="AB163" s="1930">
        <f t="shared" si="360"/>
        <v>0.20179424808178142</v>
      </c>
      <c r="AC163" s="1930">
        <f t="shared" si="360"/>
        <v>0.19097549235051589</v>
      </c>
      <c r="AD163" s="1930">
        <f t="shared" si="360"/>
        <v>0.18788210814383857</v>
      </c>
      <c r="AE163" s="1930">
        <f t="shared" si="360"/>
        <v>0.20912263210368892</v>
      </c>
      <c r="AF163" s="1930">
        <f t="shared" si="360"/>
        <v>0.21358291336693064</v>
      </c>
      <c r="AG163" s="1930">
        <f t="shared" si="360"/>
        <v>0.22261735419630158</v>
      </c>
      <c r="AH163" s="1962">
        <f t="shared" si="360"/>
        <v>0.2751245238792851</v>
      </c>
      <c r="AI163" s="1930">
        <f t="shared" si="360"/>
        <v>0.31590594744121714</v>
      </c>
      <c r="AJ163" s="1962">
        <f t="shared" si="360"/>
        <v>0.31091750612578273</v>
      </c>
      <c r="AK163" s="1931">
        <f t="shared" si="360"/>
        <v>0.40931558150101194</v>
      </c>
      <c r="AL163" s="1930">
        <f t="shared" si="360"/>
        <v>0.44287200832466184</v>
      </c>
      <c r="AM163" s="1930">
        <f t="shared" si="360"/>
        <v>0.44950614795404154</v>
      </c>
      <c r="AN163" s="1930">
        <f t="shared" si="360"/>
        <v>0.45968688845401173</v>
      </c>
      <c r="AO163" s="1930">
        <f t="shared" si="360"/>
        <v>0.46918262848473352</v>
      </c>
      <c r="AP163" s="1930">
        <f t="shared" si="360"/>
        <v>0.47806047197640117</v>
      </c>
      <c r="AQ163" s="342"/>
      <c r="AR163" s="342"/>
      <c r="AS163" s="342"/>
      <c r="AT163" s="342"/>
      <c r="AU163" s="342"/>
      <c r="AV163" s="367"/>
      <c r="AW163" s="367"/>
      <c r="AX163" s="367"/>
      <c r="AY163" s="367"/>
      <c r="AZ163" s="367"/>
      <c r="BA163" s="367"/>
      <c r="BB163" s="367"/>
      <c r="BC163" s="367"/>
      <c r="BD163" s="367"/>
      <c r="BE163" s="367"/>
      <c r="BF163" s="367"/>
      <c r="BG163" s="367"/>
      <c r="BH163" s="367"/>
      <c r="BI163" s="367"/>
      <c r="BJ163" s="367"/>
      <c r="BK163" s="367"/>
      <c r="BL163" s="367"/>
      <c r="BM163" s="367"/>
    </row>
    <row r="164" spans="1:65" s="1378" customFormat="1">
      <c r="A164" s="367"/>
      <c r="B164" s="1458" t="s">
        <v>1037</v>
      </c>
      <c r="C164" s="367" t="s">
        <v>557</v>
      </c>
      <c r="D164" s="367"/>
      <c r="E164" s="367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67"/>
      <c r="T164" s="367"/>
      <c r="U164" s="367"/>
      <c r="V164" s="342">
        <f t="shared" ref="V164:AC164" si="361">V163*0.7</f>
        <v>0.1314704585887479</v>
      </c>
      <c r="W164" s="342">
        <f t="shared" si="361"/>
        <v>0.11484941698729367</v>
      </c>
      <c r="X164" s="342">
        <f t="shared" si="361"/>
        <v>0.12552432520000997</v>
      </c>
      <c r="Y164" s="342">
        <f t="shared" si="361"/>
        <v>0.14354462785209865</v>
      </c>
      <c r="Z164" s="342">
        <f t="shared" si="361"/>
        <v>0.14179367113432251</v>
      </c>
      <c r="AA164" s="342">
        <f t="shared" si="361"/>
        <v>0.15768825297255337</v>
      </c>
      <c r="AB164" s="342">
        <f t="shared" si="361"/>
        <v>0.14125597365724699</v>
      </c>
      <c r="AC164" s="342">
        <f t="shared" si="361"/>
        <v>0.13368284464536112</v>
      </c>
      <c r="AD164" s="342">
        <f t="shared" ref="AD164:AE164" si="362">AD163*0.7</f>
        <v>0.131517475700687</v>
      </c>
      <c r="AE164" s="342">
        <f t="shared" si="362"/>
        <v>0.14638584247258224</v>
      </c>
      <c r="AF164" s="342">
        <f t="shared" ref="AF164:AH164" si="363">AF163*0.7</f>
        <v>0.14950803935685145</v>
      </c>
      <c r="AG164" s="342">
        <f t="shared" si="363"/>
        <v>0.1558321479374111</v>
      </c>
      <c r="AH164" s="1962">
        <f t="shared" si="363"/>
        <v>0.19258716671549955</v>
      </c>
      <c r="AI164" s="342">
        <f t="shared" ref="AI164:AK164" si="364">AI163*0.7</f>
        <v>0.22113416320885199</v>
      </c>
      <c r="AJ164" s="1962">
        <f t="shared" ref="AJ164" si="365">AJ163*0.7</f>
        <v>0.2176422542880479</v>
      </c>
      <c r="AK164" s="365">
        <f t="shared" si="364"/>
        <v>0.28652090705070832</v>
      </c>
      <c r="AL164" s="342">
        <f t="shared" ref="AL164" si="366">AL163*0.7</f>
        <v>0.31001040582726325</v>
      </c>
      <c r="AM164" s="342">
        <f t="shared" ref="AM164:AN164" si="367">AM163*0.7</f>
        <v>0.31465430356782903</v>
      </c>
      <c r="AN164" s="342">
        <f t="shared" si="367"/>
        <v>0.32178082191780821</v>
      </c>
      <c r="AO164" s="342">
        <f t="shared" ref="AO164" si="368">AO163*0.7</f>
        <v>0.32842783993931346</v>
      </c>
      <c r="AP164" s="342">
        <f t="shared" ref="AP164" si="369">AP163*0.7</f>
        <v>0.33464233038348079</v>
      </c>
      <c r="AQ164" s="342"/>
      <c r="AR164" s="342"/>
      <c r="AS164" s="342"/>
      <c r="AT164" s="342"/>
      <c r="AU164" s="342"/>
      <c r="AV164" s="367"/>
      <c r="AW164" s="367"/>
      <c r="AX164" s="367"/>
      <c r="AY164" s="367"/>
      <c r="AZ164" s="367"/>
      <c r="BA164" s="367"/>
      <c r="BB164" s="367"/>
      <c r="BC164" s="367"/>
      <c r="BD164" s="367"/>
      <c r="BE164" s="367"/>
      <c r="BF164" s="367"/>
      <c r="BG164" s="367"/>
      <c r="BH164" s="367"/>
      <c r="BI164" s="367"/>
      <c r="BJ164" s="367"/>
      <c r="BK164" s="367"/>
      <c r="BL164" s="367"/>
      <c r="BM164" s="367"/>
    </row>
    <row r="165" spans="1:65" s="1378" customFormat="1">
      <c r="A165" s="367"/>
      <c r="B165" s="1460" t="s">
        <v>1038</v>
      </c>
      <c r="C165" s="1384" t="s">
        <v>556</v>
      </c>
      <c r="D165" s="1384"/>
      <c r="E165" s="1384"/>
      <c r="F165" s="1384"/>
      <c r="G165" s="1384"/>
      <c r="H165" s="1384"/>
      <c r="I165" s="1384"/>
      <c r="J165" s="1384"/>
      <c r="K165" s="1384"/>
      <c r="L165" s="1384"/>
      <c r="M165" s="1384"/>
      <c r="N165" s="1384"/>
      <c r="O165" s="1384"/>
      <c r="P165" s="1384"/>
      <c r="Q165" s="1384"/>
      <c r="R165" s="1384"/>
      <c r="S165" s="1384"/>
      <c r="T165" s="1384"/>
      <c r="U165" s="1384"/>
      <c r="V165" s="1461">
        <f t="shared" ref="V165:AC165" si="370">V163-V164</f>
        <v>5.6344482252320555E-2</v>
      </c>
      <c r="W165" s="1461">
        <f t="shared" si="370"/>
        <v>4.9221178708840158E-2</v>
      </c>
      <c r="X165" s="1461">
        <f t="shared" si="370"/>
        <v>5.379613937143285E-2</v>
      </c>
      <c r="Y165" s="1461">
        <f t="shared" si="370"/>
        <v>6.1519126222328024E-2</v>
      </c>
      <c r="Z165" s="1461">
        <f t="shared" si="370"/>
        <v>6.0768716200423928E-2</v>
      </c>
      <c r="AA165" s="1461">
        <f t="shared" si="370"/>
        <v>6.7580679845380021E-2</v>
      </c>
      <c r="AB165" s="1461">
        <f t="shared" si="370"/>
        <v>6.0538274424534438E-2</v>
      </c>
      <c r="AC165" s="1461">
        <f t="shared" si="370"/>
        <v>5.729264770515477E-2</v>
      </c>
      <c r="AD165" s="1461">
        <f t="shared" ref="AD165:AE165" si="371">AD163-AD164</f>
        <v>5.6364632443151569E-2</v>
      </c>
      <c r="AE165" s="1461">
        <f t="shared" si="371"/>
        <v>6.2736789631106682E-2</v>
      </c>
      <c r="AF165" s="1461">
        <f t="shared" ref="AF165:AH165" si="372">AF163-AF164</f>
        <v>6.4074874010079191E-2</v>
      </c>
      <c r="AG165" s="1461">
        <f t="shared" si="372"/>
        <v>6.6785206258890478E-2</v>
      </c>
      <c r="AH165" s="1964">
        <f t="shared" si="372"/>
        <v>8.2537357163785546E-2</v>
      </c>
      <c r="AI165" s="1461">
        <f t="shared" ref="AI165:AK165" si="373">AI163-AI164</f>
        <v>9.4771784232365153E-2</v>
      </c>
      <c r="AJ165" s="1964">
        <f t="shared" ref="AJ165" si="374">AJ163-AJ164</f>
        <v>9.3275251837734829E-2</v>
      </c>
      <c r="AK165" s="1462">
        <f t="shared" si="373"/>
        <v>0.12279467445030362</v>
      </c>
      <c r="AL165" s="1461">
        <f t="shared" ref="AL165" si="375">AL163-AL164</f>
        <v>0.13286160249739859</v>
      </c>
      <c r="AM165" s="1461">
        <f t="shared" ref="AM165:AN165" si="376">AM163-AM164</f>
        <v>0.1348518443862125</v>
      </c>
      <c r="AN165" s="1461">
        <f t="shared" si="376"/>
        <v>0.13790606653620352</v>
      </c>
      <c r="AO165" s="1461">
        <f t="shared" ref="AO165" si="377">AO163-AO164</f>
        <v>0.14075478854542006</v>
      </c>
      <c r="AP165" s="1461">
        <f t="shared" ref="AP165" si="378">AP163-AP164</f>
        <v>0.14341814159292038</v>
      </c>
      <c r="AQ165" s="342"/>
      <c r="AR165" s="1461"/>
      <c r="AS165" s="342"/>
      <c r="AT165" s="1461"/>
      <c r="AU165" s="1461"/>
      <c r="AV165" s="367"/>
      <c r="AW165" s="367"/>
      <c r="AX165" s="367"/>
      <c r="AY165" s="367"/>
      <c r="AZ165" s="367"/>
      <c r="BA165" s="367"/>
      <c r="BB165" s="367"/>
      <c r="BC165" s="367"/>
      <c r="BD165" s="367"/>
      <c r="BE165" s="367"/>
      <c r="BF165" s="367"/>
      <c r="BG165" s="367"/>
      <c r="BH165" s="367"/>
      <c r="BI165" s="367"/>
      <c r="BJ165" s="367"/>
      <c r="BK165" s="367"/>
      <c r="BL165" s="367"/>
      <c r="BM165" s="367"/>
    </row>
    <row r="166" spans="1:65" s="1378" customFormat="1">
      <c r="A166" s="367"/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7"/>
      <c r="O166" s="367"/>
      <c r="P166" s="367"/>
      <c r="Q166" s="367"/>
      <c r="R166" s="367"/>
      <c r="S166" s="367"/>
      <c r="T166" s="367"/>
      <c r="U166" s="367"/>
      <c r="V166" s="367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1962"/>
      <c r="AI166" s="342"/>
      <c r="AJ166" s="1962"/>
      <c r="AK166" s="365"/>
      <c r="AL166" s="342"/>
      <c r="AM166" s="342"/>
      <c r="AN166" s="342"/>
      <c r="AO166" s="342"/>
      <c r="AP166" s="342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  <c r="BI166" s="367"/>
      <c r="BJ166" s="367"/>
      <c r="BK166" s="367"/>
      <c r="BL166" s="367"/>
      <c r="BM166" s="367"/>
    </row>
    <row r="167" spans="1:65" hidden="1" outlineLevel="1">
      <c r="B167" s="1324" t="s">
        <v>1039</v>
      </c>
      <c r="C167" s="1325" t="s">
        <v>555</v>
      </c>
      <c r="D167" s="1463" t="str">
        <f t="shared" ref="D167:L167" si="379">D11</f>
        <v>92/3</v>
      </c>
      <c r="E167" s="1463" t="str">
        <f t="shared" si="379"/>
        <v>93/3</v>
      </c>
      <c r="F167" s="1463" t="str">
        <f t="shared" si="379"/>
        <v>94/3</v>
      </c>
      <c r="G167" s="1463" t="str">
        <f t="shared" si="379"/>
        <v>95/3</v>
      </c>
      <c r="H167" s="1336" t="str">
        <f t="shared" si="379"/>
        <v>96/3</v>
      </c>
      <c r="I167" s="1336" t="str">
        <f t="shared" si="379"/>
        <v>97/3</v>
      </c>
      <c r="J167" s="1336" t="str">
        <f t="shared" si="379"/>
        <v>98/3</v>
      </c>
      <c r="K167" s="1336" t="str">
        <f t="shared" si="379"/>
        <v>99/3</v>
      </c>
      <c r="L167" s="1331">
        <f t="shared" si="379"/>
        <v>36586</v>
      </c>
      <c r="M167" s="1331"/>
      <c r="N167" s="1331"/>
      <c r="O167" s="1331"/>
      <c r="P167" s="1331"/>
      <c r="Q167" s="1331"/>
      <c r="R167" s="1331"/>
      <c r="S167" s="1331"/>
      <c r="T167" s="1331"/>
      <c r="U167" s="1331"/>
      <c r="V167" s="1331"/>
      <c r="W167" s="1464" t="s">
        <v>554</v>
      </c>
      <c r="X167" s="1331"/>
      <c r="Y167" s="1331"/>
      <c r="Z167" s="1331"/>
      <c r="AA167" s="1331"/>
      <c r="AB167" s="1331"/>
      <c r="AC167" s="1331"/>
      <c r="AD167" s="1331"/>
      <c r="AE167" s="1331"/>
      <c r="AF167" s="1331"/>
      <c r="AG167" s="1331"/>
      <c r="AH167" s="1938"/>
      <c r="AI167" s="1331"/>
      <c r="AJ167" s="1938"/>
      <c r="AK167" s="1332"/>
      <c r="AL167" s="1331"/>
      <c r="AM167" s="1331"/>
      <c r="AN167" s="1331"/>
      <c r="AO167" s="1331"/>
      <c r="AP167" s="1331"/>
      <c r="AQ167" s="1465"/>
      <c r="AR167" s="1465"/>
      <c r="AS167" s="1465"/>
      <c r="AT167" s="1465"/>
      <c r="AU167" s="1465"/>
      <c r="AV167" s="1465"/>
      <c r="AW167" s="1465"/>
      <c r="AX167" s="1465"/>
      <c r="AY167" s="1465"/>
      <c r="AZ167" s="1465"/>
      <c r="BA167" s="1465"/>
      <c r="BB167" s="1465"/>
      <c r="BC167" s="1465"/>
      <c r="BD167" s="1465"/>
      <c r="BE167" s="1465"/>
      <c r="BF167" s="1465"/>
      <c r="BG167" s="1465"/>
      <c r="BH167" s="1465"/>
      <c r="BI167" s="1465"/>
      <c r="BJ167" s="1465"/>
      <c r="BK167" s="1465"/>
      <c r="BL167" s="1465"/>
      <c r="BM167" s="1465"/>
    </row>
    <row r="168" spans="1:65" hidden="1" outlineLevel="1">
      <c r="A168" s="1341"/>
      <c r="B168" s="1370" t="s">
        <v>1148</v>
      </c>
      <c r="C168" s="1371" t="s">
        <v>447</v>
      </c>
      <c r="D168" s="1372">
        <v>56582</v>
      </c>
      <c r="E168" s="1372">
        <v>53503</v>
      </c>
      <c r="F168" s="1372">
        <v>56284</v>
      </c>
      <c r="G168" s="1372">
        <v>73653</v>
      </c>
      <c r="H168" s="1346">
        <v>80741</v>
      </c>
      <c r="I168" s="1346">
        <v>100321</v>
      </c>
      <c r="J168" s="1346">
        <v>97107</v>
      </c>
      <c r="K168" s="1346">
        <v>81137</v>
      </c>
      <c r="L168" s="1346">
        <f>74340</f>
        <v>74340</v>
      </c>
      <c r="M168" s="1346">
        <f>69178</f>
        <v>69178</v>
      </c>
      <c r="N168" s="1346">
        <v>64059</v>
      </c>
      <c r="O168" s="1346">
        <v>63983</v>
      </c>
      <c r="P168" s="1346">
        <v>57460</v>
      </c>
      <c r="Q168" s="1346">
        <v>51407</v>
      </c>
      <c r="R168" s="1346">
        <v>46988</v>
      </c>
      <c r="S168" s="1346">
        <v>46385</v>
      </c>
      <c r="T168" s="1346">
        <v>41721</v>
      </c>
      <c r="U168" s="1346">
        <v>37256</v>
      </c>
      <c r="V168" s="1346">
        <v>33535</v>
      </c>
      <c r="W168" s="1466">
        <v>29357</v>
      </c>
      <c r="X168" s="1466">
        <f t="shared" ref="X168:AP168" si="380">W168+1000</f>
        <v>30357</v>
      </c>
      <c r="Y168" s="1346">
        <f t="shared" si="380"/>
        <v>31357</v>
      </c>
      <c r="Z168" s="1346">
        <f t="shared" si="380"/>
        <v>32357</v>
      </c>
      <c r="AA168" s="1346">
        <f t="shared" si="380"/>
        <v>33357</v>
      </c>
      <c r="AB168" s="1346">
        <f t="shared" si="380"/>
        <v>34357</v>
      </c>
      <c r="AC168" s="1347">
        <f t="shared" si="380"/>
        <v>35357</v>
      </c>
      <c r="AD168" s="1347">
        <f t="shared" si="380"/>
        <v>36357</v>
      </c>
      <c r="AE168" s="1347">
        <f t="shared" si="380"/>
        <v>37357</v>
      </c>
      <c r="AF168" s="1347">
        <f t="shared" si="380"/>
        <v>38357</v>
      </c>
      <c r="AG168" s="1347">
        <f t="shared" si="380"/>
        <v>39357</v>
      </c>
      <c r="AH168" s="1941">
        <f>AG168+1000</f>
        <v>40357</v>
      </c>
      <c r="AI168" s="1347">
        <f>AG168+1000</f>
        <v>40357</v>
      </c>
      <c r="AJ168" s="1941">
        <f>AI168+1000</f>
        <v>41357</v>
      </c>
      <c r="AK168" s="1348">
        <f>AI168+1000</f>
        <v>41357</v>
      </c>
      <c r="AL168" s="1347">
        <f t="shared" si="380"/>
        <v>42357</v>
      </c>
      <c r="AM168" s="1347">
        <f t="shared" si="380"/>
        <v>43357</v>
      </c>
      <c r="AN168" s="1347">
        <f t="shared" si="380"/>
        <v>44357</v>
      </c>
      <c r="AO168" s="1347">
        <f t="shared" si="380"/>
        <v>45357</v>
      </c>
      <c r="AP168" s="1347">
        <f t="shared" si="380"/>
        <v>46357</v>
      </c>
      <c r="AQ168" s="1349"/>
      <c r="AR168" s="1349"/>
      <c r="AS168" s="1349"/>
      <c r="AT168" s="1349"/>
      <c r="AU168" s="1349"/>
      <c r="AV168" s="1349"/>
      <c r="AW168" s="1349"/>
      <c r="AX168" s="1349"/>
      <c r="AY168" s="1349"/>
      <c r="AZ168" s="1349"/>
      <c r="BA168" s="1349"/>
      <c r="BB168" s="1349"/>
      <c r="BC168" s="1349"/>
      <c r="BD168" s="1349"/>
      <c r="BE168" s="1349"/>
      <c r="BF168" s="1349"/>
      <c r="BG168" s="1349"/>
      <c r="BH168" s="1349"/>
      <c r="BI168" s="1349"/>
      <c r="BJ168" s="1349"/>
      <c r="BK168" s="1349"/>
      <c r="BL168" s="1349"/>
      <c r="BM168" s="1349"/>
    </row>
    <row r="169" spans="1:65" hidden="1" outlineLevel="1">
      <c r="A169" s="1341"/>
      <c r="B169" s="1356"/>
      <c r="C169" s="1357" t="s">
        <v>552</v>
      </c>
      <c r="D169" s="1344">
        <f t="shared" ref="D169:U169" si="381">D367</f>
        <v>49480</v>
      </c>
      <c r="E169" s="1344">
        <f t="shared" si="381"/>
        <v>47781</v>
      </c>
      <c r="F169" s="1344">
        <f t="shared" si="381"/>
        <v>46292</v>
      </c>
      <c r="G169" s="1344">
        <f t="shared" si="381"/>
        <v>54994</v>
      </c>
      <c r="H169" s="1358">
        <f t="shared" si="381"/>
        <v>57587</v>
      </c>
      <c r="I169" s="1358">
        <f t="shared" si="381"/>
        <v>67859</v>
      </c>
      <c r="J169" s="1358">
        <f t="shared" si="381"/>
        <v>60371</v>
      </c>
      <c r="K169" s="1358">
        <f t="shared" si="381"/>
        <v>48807</v>
      </c>
      <c r="L169" s="1358">
        <f t="shared" si="381"/>
        <v>41197</v>
      </c>
      <c r="M169" s="1358">
        <f t="shared" si="381"/>
        <v>39969</v>
      </c>
      <c r="N169" s="1358">
        <f t="shared" si="381"/>
        <v>36445</v>
      </c>
      <c r="O169" s="1358">
        <f t="shared" si="381"/>
        <v>38747</v>
      </c>
      <c r="P169" s="1358">
        <f t="shared" si="381"/>
        <v>32404</v>
      </c>
      <c r="Q169" s="1358">
        <f t="shared" si="381"/>
        <v>30743</v>
      </c>
      <c r="R169" s="1358">
        <f t="shared" si="381"/>
        <v>25840</v>
      </c>
      <c r="S169" s="1358">
        <f t="shared" si="381"/>
        <v>22263</v>
      </c>
      <c r="T169" s="1358">
        <f t="shared" si="381"/>
        <v>20278</v>
      </c>
      <c r="U169" s="1358">
        <f t="shared" si="381"/>
        <v>17493</v>
      </c>
      <c r="V169" s="1349">
        <v>17020</v>
      </c>
      <c r="W169" s="1467">
        <v>12842</v>
      </c>
      <c r="X169" s="1467"/>
      <c r="Y169" s="1358"/>
      <c r="Z169" s="1358"/>
      <c r="AA169" s="1358"/>
      <c r="AB169" s="1358"/>
      <c r="AC169" s="1358"/>
      <c r="AD169" s="1358"/>
      <c r="AE169" s="1358"/>
      <c r="AF169" s="1358"/>
      <c r="AG169" s="1358"/>
      <c r="AH169" s="1944"/>
      <c r="AI169" s="1358"/>
      <c r="AJ169" s="1944"/>
      <c r="AK169" s="1359"/>
      <c r="AL169" s="1358"/>
      <c r="AM169" s="1358"/>
      <c r="AN169" s="1358"/>
      <c r="AO169" s="1358"/>
      <c r="AP169" s="1358"/>
      <c r="AQ169" s="1349"/>
      <c r="AR169" s="1349"/>
      <c r="AS169" s="1349"/>
      <c r="AT169" s="1349"/>
      <c r="AU169" s="1349"/>
      <c r="AV169" s="1349"/>
      <c r="AW169" s="1349"/>
      <c r="AX169" s="1349"/>
      <c r="AY169" s="1349"/>
      <c r="AZ169" s="1349"/>
      <c r="BA169" s="1349"/>
      <c r="BB169" s="1349"/>
      <c r="BC169" s="1349"/>
      <c r="BD169" s="1349"/>
      <c r="BE169" s="1349"/>
      <c r="BF169" s="1349"/>
      <c r="BG169" s="1349"/>
      <c r="BH169" s="1349"/>
      <c r="BI169" s="1349"/>
      <c r="BJ169" s="1349"/>
      <c r="BK169" s="1349"/>
      <c r="BL169" s="1349"/>
      <c r="BM169" s="1349"/>
    </row>
    <row r="170" spans="1:65" hidden="1" outlineLevel="1">
      <c r="A170" s="1341"/>
      <c r="B170" s="1356"/>
      <c r="C170" s="1357" t="s">
        <v>551</v>
      </c>
      <c r="D170" s="1344">
        <f t="shared" ref="D170:V170" si="382">D168-D169</f>
        <v>7102</v>
      </c>
      <c r="E170" s="1344">
        <f t="shared" si="382"/>
        <v>5722</v>
      </c>
      <c r="F170" s="1344">
        <f t="shared" si="382"/>
        <v>9992</v>
      </c>
      <c r="G170" s="1344">
        <f t="shared" si="382"/>
        <v>18659</v>
      </c>
      <c r="H170" s="1358">
        <f t="shared" si="382"/>
        <v>23154</v>
      </c>
      <c r="I170" s="1358">
        <f t="shared" si="382"/>
        <v>32462</v>
      </c>
      <c r="J170" s="1358">
        <f t="shared" si="382"/>
        <v>36736</v>
      </c>
      <c r="K170" s="1358">
        <f t="shared" si="382"/>
        <v>32330</v>
      </c>
      <c r="L170" s="1358">
        <f t="shared" si="382"/>
        <v>33143</v>
      </c>
      <c r="M170" s="1358">
        <f t="shared" si="382"/>
        <v>29209</v>
      </c>
      <c r="N170" s="1358">
        <f t="shared" si="382"/>
        <v>27614</v>
      </c>
      <c r="O170" s="1358">
        <f t="shared" si="382"/>
        <v>25236</v>
      </c>
      <c r="P170" s="1358">
        <f t="shared" si="382"/>
        <v>25056</v>
      </c>
      <c r="Q170" s="1358">
        <f t="shared" si="382"/>
        <v>20664</v>
      </c>
      <c r="R170" s="1358">
        <f t="shared" si="382"/>
        <v>21148</v>
      </c>
      <c r="S170" s="1358">
        <f t="shared" si="382"/>
        <v>24122</v>
      </c>
      <c r="T170" s="1358">
        <f t="shared" si="382"/>
        <v>21443</v>
      </c>
      <c r="U170" s="1358">
        <f t="shared" si="382"/>
        <v>19763</v>
      </c>
      <c r="V170" s="1349">
        <f t="shared" si="382"/>
        <v>16515</v>
      </c>
      <c r="W170" s="1467">
        <v>16515</v>
      </c>
      <c r="X170" s="1467"/>
      <c r="Y170" s="1358"/>
      <c r="Z170" s="1358"/>
      <c r="AA170" s="1358"/>
      <c r="AB170" s="1358"/>
      <c r="AC170" s="1358"/>
      <c r="AD170" s="1358"/>
      <c r="AE170" s="1358"/>
      <c r="AF170" s="1358"/>
      <c r="AG170" s="1358"/>
      <c r="AH170" s="1944"/>
      <c r="AI170" s="1358"/>
      <c r="AJ170" s="1944"/>
      <c r="AK170" s="1359"/>
      <c r="AL170" s="1358"/>
      <c r="AM170" s="1358"/>
      <c r="AN170" s="1358"/>
      <c r="AO170" s="1358"/>
      <c r="AP170" s="1358"/>
      <c r="AQ170" s="1349"/>
      <c r="AR170" s="1349"/>
      <c r="AS170" s="1349"/>
      <c r="AT170" s="1349"/>
      <c r="AU170" s="1349"/>
      <c r="AV170" s="1349"/>
      <c r="AW170" s="1349"/>
      <c r="AX170" s="1349"/>
      <c r="AY170" s="1349"/>
      <c r="AZ170" s="1349"/>
      <c r="BA170" s="1349"/>
      <c r="BB170" s="1349"/>
      <c r="BC170" s="1349"/>
      <c r="BD170" s="1349"/>
      <c r="BE170" s="1349"/>
      <c r="BF170" s="1349"/>
      <c r="BG170" s="1349"/>
      <c r="BH170" s="1349"/>
      <c r="BI170" s="1349"/>
      <c r="BJ170" s="1349"/>
      <c r="BK170" s="1349"/>
      <c r="BL170" s="1349"/>
      <c r="BM170" s="1349"/>
    </row>
    <row r="171" spans="1:65" hidden="1" outlineLevel="1">
      <c r="A171" s="1341"/>
      <c r="B171" s="1342" t="s">
        <v>1149</v>
      </c>
      <c r="C171" s="1343" t="s">
        <v>527</v>
      </c>
      <c r="D171" s="1344">
        <v>142469</v>
      </c>
      <c r="E171" s="1344">
        <v>147886</v>
      </c>
      <c r="F171" s="1344">
        <v>154234</v>
      </c>
      <c r="G171" s="1344">
        <v>157249</v>
      </c>
      <c r="H171" s="1345">
        <v>161588</v>
      </c>
      <c r="I171" s="1345">
        <v>181833</v>
      </c>
      <c r="J171" s="1345">
        <v>191182</v>
      </c>
      <c r="K171" s="1345">
        <v>194821</v>
      </c>
      <c r="L171" s="1345">
        <v>209413</v>
      </c>
      <c r="M171" s="1345">
        <v>224779</v>
      </c>
      <c r="N171" s="1345">
        <v>237323</v>
      </c>
      <c r="O171" s="1345">
        <v>231143</v>
      </c>
      <c r="P171" s="1345">
        <v>228639</v>
      </c>
      <c r="Q171" s="1345">
        <v>233950</v>
      </c>
      <c r="R171" s="1345">
        <v>256002</v>
      </c>
      <c r="S171" s="1345">
        <v>255781</v>
      </c>
      <c r="T171" s="1345">
        <v>255298</v>
      </c>
      <c r="U171" s="1345">
        <v>268761</v>
      </c>
      <c r="V171" s="1345">
        <v>265224</v>
      </c>
      <c r="W171" s="1467">
        <v>255113</v>
      </c>
      <c r="X171" s="1467">
        <f t="shared" ref="X171:AC171" si="383">X172+X173+X174</f>
        <v>266901.17362000002</v>
      </c>
      <c r="Y171" s="1345">
        <f t="shared" si="383"/>
        <v>264150.51769166405</v>
      </c>
      <c r="Z171" s="1345">
        <f t="shared" si="383"/>
        <v>267910.2143887573</v>
      </c>
      <c r="AA171" s="1345">
        <f t="shared" si="383"/>
        <v>271734.4440832251</v>
      </c>
      <c r="AB171" s="1345">
        <f t="shared" si="383"/>
        <v>275624.39082564914</v>
      </c>
      <c r="AC171" s="1345">
        <f t="shared" si="383"/>
        <v>279581.26128152921</v>
      </c>
      <c r="AD171" s="1345">
        <f t="shared" ref="AD171:AE171" si="384">AD172+AD173+AD174</f>
        <v>283606.28517292062</v>
      </c>
      <c r="AE171" s="1345">
        <f t="shared" si="384"/>
        <v>287700.71572879743</v>
      </c>
      <c r="AF171" s="1345">
        <f t="shared" ref="AF171:AH171" si="385">AF172+AF173+AF174</f>
        <v>291865.83014431596</v>
      </c>
      <c r="AG171" s="1345">
        <f t="shared" si="385"/>
        <v>296102.93004915433</v>
      </c>
      <c r="AH171" s="1944">
        <f t="shared" si="385"/>
        <v>300413.34198510885</v>
      </c>
      <c r="AI171" s="1345">
        <f t="shared" ref="AI171:AK171" si="386">AI172+AI173+AI174</f>
        <v>300413.34198510885</v>
      </c>
      <c r="AJ171" s="1944">
        <f t="shared" ref="AJ171" si="387">AJ172+AJ173+AJ174</f>
        <v>304798.41789313231</v>
      </c>
      <c r="AK171" s="1468">
        <f t="shared" si="386"/>
        <v>304798.41789313231</v>
      </c>
      <c r="AL171" s="1345">
        <f t="shared" ref="AL171" si="388">AL172+AL173+AL174</f>
        <v>309259.53560999944</v>
      </c>
      <c r="AM171" s="1345">
        <f t="shared" ref="AM171:AN171" si="389">AM172+AM173+AM174</f>
        <v>313798.09937479394</v>
      </c>
      <c r="AN171" s="1345">
        <f t="shared" si="389"/>
        <v>318415.54034541023</v>
      </c>
      <c r="AO171" s="1345">
        <f t="shared" ref="AO171" si="390">AO172+AO173+AO174</f>
        <v>323113.31712527014</v>
      </c>
      <c r="AP171" s="1345">
        <f t="shared" ref="AP171" si="391">AP172+AP173+AP174</f>
        <v>327892.91630045668</v>
      </c>
      <c r="AQ171" s="1349"/>
      <c r="AR171" s="1349"/>
      <c r="AS171" s="1349"/>
      <c r="AT171" s="1349"/>
      <c r="AU171" s="1349"/>
      <c r="AV171" s="1349"/>
      <c r="AW171" s="1349"/>
      <c r="AX171" s="1349"/>
      <c r="AY171" s="1349"/>
      <c r="AZ171" s="1349"/>
      <c r="BA171" s="1349"/>
      <c r="BB171" s="1349"/>
      <c r="BC171" s="1349"/>
      <c r="BD171" s="1349"/>
      <c r="BE171" s="1349"/>
      <c r="BF171" s="1349"/>
      <c r="BG171" s="1349"/>
      <c r="BH171" s="1349"/>
      <c r="BI171" s="1349"/>
      <c r="BJ171" s="1349"/>
      <c r="BK171" s="1349"/>
      <c r="BL171" s="1349"/>
      <c r="BM171" s="1349"/>
    </row>
    <row r="172" spans="1:65" hidden="1" outlineLevel="1">
      <c r="A172" s="1341"/>
      <c r="B172" s="1356" t="s">
        <v>1040</v>
      </c>
      <c r="C172" s="1357" t="s">
        <v>552</v>
      </c>
      <c r="D172" s="1344">
        <f t="shared" ref="D172:U172" si="392">D369</f>
        <v>120843</v>
      </c>
      <c r="E172" s="1344">
        <f t="shared" si="392"/>
        <v>127164</v>
      </c>
      <c r="F172" s="1344">
        <f t="shared" si="392"/>
        <v>132327</v>
      </c>
      <c r="G172" s="1344">
        <f t="shared" si="392"/>
        <v>132642</v>
      </c>
      <c r="H172" s="1358">
        <f t="shared" si="392"/>
        <v>136065</v>
      </c>
      <c r="I172" s="1358">
        <f t="shared" si="392"/>
        <v>145553</v>
      </c>
      <c r="J172" s="1358">
        <f t="shared" si="392"/>
        <v>144898</v>
      </c>
      <c r="K172" s="1358">
        <f t="shared" si="392"/>
        <v>145285</v>
      </c>
      <c r="L172" s="1358">
        <f t="shared" si="392"/>
        <v>150717</v>
      </c>
      <c r="M172" s="1358">
        <f t="shared" si="392"/>
        <v>154091</v>
      </c>
      <c r="N172" s="1358">
        <f t="shared" si="392"/>
        <v>160892</v>
      </c>
      <c r="O172" s="1358">
        <f t="shared" si="392"/>
        <v>164788</v>
      </c>
      <c r="P172" s="1358">
        <f t="shared" si="392"/>
        <v>166890</v>
      </c>
      <c r="Q172" s="1358">
        <f t="shared" si="392"/>
        <v>169777</v>
      </c>
      <c r="R172" s="1358">
        <f t="shared" si="392"/>
        <v>178643</v>
      </c>
      <c r="S172" s="1358">
        <f t="shared" si="392"/>
        <v>177219</v>
      </c>
      <c r="T172" s="1358">
        <f t="shared" si="392"/>
        <v>180669</v>
      </c>
      <c r="U172" s="1358">
        <f t="shared" si="392"/>
        <v>185461</v>
      </c>
      <c r="V172" s="1349">
        <v>182799</v>
      </c>
      <c r="W172" s="1469">
        <v>182053</v>
      </c>
      <c r="X172" s="1469">
        <f t="shared" ref="X172:AC172" si="393">X369</f>
        <v>188082.47660000002</v>
      </c>
      <c r="Y172" s="1335">
        <f t="shared" si="393"/>
        <v>190788.56785800005</v>
      </c>
      <c r="Z172" s="1335">
        <f t="shared" si="393"/>
        <v>193538.22555842003</v>
      </c>
      <c r="AA172" s="1335">
        <f t="shared" si="393"/>
        <v>196332.21547628104</v>
      </c>
      <c r="AB172" s="1335">
        <f t="shared" si="393"/>
        <v>199171.3176465662</v>
      </c>
      <c r="AC172" s="1335">
        <f t="shared" si="393"/>
        <v>202056.32663886464</v>
      </c>
      <c r="AD172" s="1335">
        <f t="shared" ref="AD172:AE172" si="394">AD369</f>
        <v>204988.05183740275</v>
      </c>
      <c r="AE172" s="1335">
        <f t="shared" si="394"/>
        <v>207967.31772656919</v>
      </c>
      <c r="AF172" s="1335">
        <f t="shared" ref="AF172:AH172" si="395">AF369</f>
        <v>210994.96418204316</v>
      </c>
      <c r="AG172" s="1335">
        <f t="shared" si="395"/>
        <v>214071.84676763605</v>
      </c>
      <c r="AH172" s="1961">
        <f t="shared" si="395"/>
        <v>217198.83703796027</v>
      </c>
      <c r="AI172" s="1335">
        <f t="shared" ref="AI172:AK172" si="396">AI369</f>
        <v>217198.83703796027</v>
      </c>
      <c r="AJ172" s="1961">
        <f t="shared" ref="AJ172" si="397">AJ369</f>
        <v>220376.82284704075</v>
      </c>
      <c r="AK172" s="1470">
        <f t="shared" si="396"/>
        <v>220376.82284704075</v>
      </c>
      <c r="AL172" s="1335">
        <f t="shared" ref="AL172" si="398">AL369</f>
        <v>223606.70866298603</v>
      </c>
      <c r="AM172" s="1335">
        <f t="shared" ref="AM172:AN172" si="399">AM369</f>
        <v>226889.41588884025</v>
      </c>
      <c r="AN172" s="1335">
        <f t="shared" si="399"/>
        <v>230225.88318973751</v>
      </c>
      <c r="AO172" s="1335">
        <f t="shared" ref="AO172" si="400">AO369</f>
        <v>233617.0668264839</v>
      </c>
      <c r="AP172" s="1335">
        <f t="shared" ref="AP172" si="401">AP369</f>
        <v>237063.94099569475</v>
      </c>
      <c r="AQ172" s="1349"/>
      <c r="AR172" s="1349"/>
      <c r="AS172" s="1349"/>
      <c r="AT172" s="1349"/>
      <c r="AU172" s="1349"/>
      <c r="AV172" s="1349"/>
      <c r="AW172" s="1349"/>
      <c r="AX172" s="1349"/>
      <c r="AY172" s="1349"/>
      <c r="AZ172" s="1349"/>
      <c r="BA172" s="1349"/>
      <c r="BB172" s="1349"/>
      <c r="BC172" s="1349"/>
      <c r="BD172" s="1349"/>
      <c r="BE172" s="1349"/>
      <c r="BF172" s="1349"/>
      <c r="BG172" s="1349"/>
      <c r="BH172" s="1349"/>
      <c r="BI172" s="1349"/>
      <c r="BJ172" s="1349"/>
      <c r="BK172" s="1349"/>
      <c r="BL172" s="1349"/>
      <c r="BM172" s="1349"/>
    </row>
    <row r="173" spans="1:65" hidden="1" outlineLevel="1">
      <c r="A173" s="1341"/>
      <c r="B173" s="1350" t="s">
        <v>1041</v>
      </c>
      <c r="C173" s="1341" t="s">
        <v>553</v>
      </c>
      <c r="D173" s="1349"/>
      <c r="E173" s="1349"/>
      <c r="F173" s="1349"/>
      <c r="G173" s="1349"/>
      <c r="H173" s="1349"/>
      <c r="I173" s="1349"/>
      <c r="J173" s="1349"/>
      <c r="K173" s="1349"/>
      <c r="L173" s="1349"/>
      <c r="M173" s="1349"/>
      <c r="N173" s="1349"/>
      <c r="O173" s="1349"/>
      <c r="P173" s="1349"/>
      <c r="Q173" s="1349"/>
      <c r="R173" s="1471"/>
      <c r="S173" s="1349">
        <f>S269</f>
        <v>53084.9977</v>
      </c>
      <c r="T173" s="1349">
        <f>T269</f>
        <v>50040.69702</v>
      </c>
      <c r="U173" s="1349">
        <f>U269</f>
        <v>58301.69702</v>
      </c>
      <c r="V173" s="1349">
        <f>V269</f>
        <v>57620.69702</v>
      </c>
      <c r="W173" s="1467">
        <v>50200</v>
      </c>
      <c r="X173" s="1467">
        <f t="shared" ref="X173:AC173" si="402">X269</f>
        <v>55958.69702</v>
      </c>
      <c r="Y173" s="1349">
        <f t="shared" si="402"/>
        <v>50501.949833664003</v>
      </c>
      <c r="Z173" s="1349">
        <f t="shared" si="402"/>
        <v>51511.988830337286</v>
      </c>
      <c r="AA173" s="1349">
        <f t="shared" si="402"/>
        <v>52542.228606944031</v>
      </c>
      <c r="AB173" s="1349">
        <f t="shared" si="402"/>
        <v>53593.073179082923</v>
      </c>
      <c r="AC173" s="1349">
        <f t="shared" si="402"/>
        <v>54664.934642664579</v>
      </c>
      <c r="AD173" s="1349">
        <f t="shared" ref="AD173:AE173" si="403">AD269</f>
        <v>55758.233335517871</v>
      </c>
      <c r="AE173" s="1349">
        <f t="shared" si="403"/>
        <v>56873.398002228234</v>
      </c>
      <c r="AF173" s="1349">
        <f t="shared" ref="AF173:AH173" si="404">AF269</f>
        <v>58010.865962272794</v>
      </c>
      <c r="AG173" s="1349">
        <f t="shared" si="404"/>
        <v>59171.083281518251</v>
      </c>
      <c r="AH173" s="1944">
        <f t="shared" si="404"/>
        <v>60354.504947148605</v>
      </c>
      <c r="AI173" s="1349">
        <f t="shared" ref="AI173:AK173" si="405">AI269</f>
        <v>60354.504947148605</v>
      </c>
      <c r="AJ173" s="1944">
        <f t="shared" ref="AJ173" si="406">AJ269</f>
        <v>61561.595046091577</v>
      </c>
      <c r="AK173" s="1355">
        <f t="shared" si="405"/>
        <v>61561.595046091577</v>
      </c>
      <c r="AL173" s="1349">
        <f t="shared" ref="AL173" si="407">AL269</f>
        <v>62792.826947013418</v>
      </c>
      <c r="AM173" s="1349">
        <f t="shared" ref="AM173:AN173" si="408">AM269</f>
        <v>64048.683485953676</v>
      </c>
      <c r="AN173" s="1349">
        <f t="shared" si="408"/>
        <v>65329.657155672758</v>
      </c>
      <c r="AO173" s="1349">
        <f t="shared" ref="AO173" si="409">AO269</f>
        <v>66636.25029878621</v>
      </c>
      <c r="AP173" s="1349">
        <f t="shared" ref="AP173" si="410">AP269</f>
        <v>67968.975304761931</v>
      </c>
      <c r="AQ173" s="1349"/>
      <c r="AR173" s="1349"/>
      <c r="AS173" s="1349"/>
      <c r="AT173" s="1349"/>
      <c r="AU173" s="1349"/>
      <c r="AV173" s="1349"/>
      <c r="AW173" s="1349"/>
      <c r="AX173" s="1349"/>
      <c r="AY173" s="1349"/>
      <c r="AZ173" s="1349"/>
      <c r="BA173" s="1349"/>
      <c r="BB173" s="1349"/>
      <c r="BC173" s="1349"/>
      <c r="BD173" s="1349"/>
      <c r="BE173" s="1349"/>
      <c r="BF173" s="1349"/>
      <c r="BG173" s="1349"/>
      <c r="BH173" s="1349"/>
      <c r="BI173" s="1349"/>
      <c r="BJ173" s="1349"/>
      <c r="BK173" s="1349"/>
      <c r="BL173" s="1349"/>
      <c r="BM173" s="1349"/>
    </row>
    <row r="174" spans="1:65" hidden="1" outlineLevel="1">
      <c r="A174" s="1341"/>
      <c r="B174" s="1356" t="s">
        <v>1042</v>
      </c>
      <c r="C174" s="1357" t="s">
        <v>551</v>
      </c>
      <c r="D174" s="1344">
        <f t="shared" ref="D174:R174" si="411">D171-D172</f>
        <v>21626</v>
      </c>
      <c r="E174" s="1344">
        <f t="shared" si="411"/>
        <v>20722</v>
      </c>
      <c r="F174" s="1344">
        <f t="shared" si="411"/>
        <v>21907</v>
      </c>
      <c r="G174" s="1344">
        <f t="shared" si="411"/>
        <v>24607</v>
      </c>
      <c r="H174" s="1358">
        <f t="shared" si="411"/>
        <v>25523</v>
      </c>
      <c r="I174" s="1358">
        <f t="shared" si="411"/>
        <v>36280</v>
      </c>
      <c r="J174" s="1358">
        <f t="shared" si="411"/>
        <v>46284</v>
      </c>
      <c r="K174" s="1358">
        <f t="shared" si="411"/>
        <v>49536</v>
      </c>
      <c r="L174" s="1358">
        <f t="shared" si="411"/>
        <v>58696</v>
      </c>
      <c r="M174" s="1358">
        <f t="shared" si="411"/>
        <v>70688</v>
      </c>
      <c r="N174" s="1358">
        <f t="shared" si="411"/>
        <v>76431</v>
      </c>
      <c r="O174" s="1358">
        <f t="shared" si="411"/>
        <v>66355</v>
      </c>
      <c r="P174" s="1358">
        <f t="shared" si="411"/>
        <v>61749</v>
      </c>
      <c r="Q174" s="1358">
        <f t="shared" si="411"/>
        <v>64173</v>
      </c>
      <c r="R174" s="1358">
        <f t="shared" si="411"/>
        <v>77359</v>
      </c>
      <c r="S174" s="1358">
        <f>S171-S172-S173</f>
        <v>25477.0023</v>
      </c>
      <c r="T174" s="1358">
        <f>T171-T172-T173</f>
        <v>24588.30298</v>
      </c>
      <c r="U174" s="1358">
        <f>U171-U172-U173</f>
        <v>24998.30298</v>
      </c>
      <c r="V174" s="1349">
        <f>V171-V172-V173</f>
        <v>24804.30298</v>
      </c>
      <c r="W174" s="1467">
        <f>W171-W172-W173</f>
        <v>22860</v>
      </c>
      <c r="X174" s="1467">
        <f t="shared" ref="X174:AP174" si="412">W174</f>
        <v>22860</v>
      </c>
      <c r="Y174" s="1358">
        <f t="shared" si="412"/>
        <v>22860</v>
      </c>
      <c r="Z174" s="1358">
        <f t="shared" si="412"/>
        <v>22860</v>
      </c>
      <c r="AA174" s="1358">
        <f t="shared" si="412"/>
        <v>22860</v>
      </c>
      <c r="AB174" s="1358">
        <f t="shared" si="412"/>
        <v>22860</v>
      </c>
      <c r="AC174" s="1358">
        <f t="shared" si="412"/>
        <v>22860</v>
      </c>
      <c r="AD174" s="1358">
        <f t="shared" si="412"/>
        <v>22860</v>
      </c>
      <c r="AE174" s="1358">
        <f t="shared" si="412"/>
        <v>22860</v>
      </c>
      <c r="AF174" s="1358">
        <f t="shared" si="412"/>
        <v>22860</v>
      </c>
      <c r="AG174" s="1358">
        <f t="shared" si="412"/>
        <v>22860</v>
      </c>
      <c r="AH174" s="1944">
        <f>AG174</f>
        <v>22860</v>
      </c>
      <c r="AI174" s="1358">
        <f>AG174</f>
        <v>22860</v>
      </c>
      <c r="AJ174" s="1944">
        <f>AI174</f>
        <v>22860</v>
      </c>
      <c r="AK174" s="1359">
        <f>AI174</f>
        <v>22860</v>
      </c>
      <c r="AL174" s="1358">
        <f t="shared" si="412"/>
        <v>22860</v>
      </c>
      <c r="AM174" s="1358">
        <f t="shared" si="412"/>
        <v>22860</v>
      </c>
      <c r="AN174" s="1358">
        <f t="shared" si="412"/>
        <v>22860</v>
      </c>
      <c r="AO174" s="1358">
        <f t="shared" si="412"/>
        <v>22860</v>
      </c>
      <c r="AP174" s="1358">
        <f t="shared" si="412"/>
        <v>22860</v>
      </c>
      <c r="AQ174" s="1349"/>
      <c r="AR174" s="1349"/>
      <c r="AS174" s="1349"/>
      <c r="AT174" s="1349"/>
      <c r="AU174" s="1349"/>
      <c r="AV174" s="1349"/>
      <c r="AW174" s="1349"/>
      <c r="AX174" s="1349"/>
      <c r="AY174" s="1349"/>
      <c r="AZ174" s="1349"/>
      <c r="BA174" s="1349"/>
      <c r="BB174" s="1349"/>
      <c r="BC174" s="1349"/>
      <c r="BD174" s="1349"/>
      <c r="BE174" s="1349"/>
      <c r="BF174" s="1349"/>
      <c r="BG174" s="1349"/>
      <c r="BH174" s="1349"/>
      <c r="BI174" s="1349"/>
      <c r="BJ174" s="1349"/>
      <c r="BK174" s="1349"/>
      <c r="BL174" s="1349"/>
      <c r="BM174" s="1349"/>
    </row>
    <row r="175" spans="1:65" hidden="1" outlineLevel="1">
      <c r="A175" s="1341"/>
      <c r="B175" s="1342" t="s">
        <v>1043</v>
      </c>
      <c r="C175" s="1343" t="s">
        <v>445</v>
      </c>
      <c r="D175" s="1344">
        <v>6028</v>
      </c>
      <c r="E175" s="1344">
        <v>6899</v>
      </c>
      <c r="F175" s="1344">
        <v>6713</v>
      </c>
      <c r="G175" s="1344">
        <v>8204</v>
      </c>
      <c r="H175" s="1345">
        <v>9172</v>
      </c>
      <c r="I175" s="1345">
        <v>9360</v>
      </c>
      <c r="J175" s="1345">
        <v>9561</v>
      </c>
      <c r="K175" s="1345">
        <v>10619</v>
      </c>
      <c r="L175" s="1345">
        <v>11971</v>
      </c>
      <c r="M175" s="1345">
        <v>12861</v>
      </c>
      <c r="N175" s="1345">
        <v>13286</v>
      </c>
      <c r="O175" s="1345">
        <v>13456</v>
      </c>
      <c r="P175" s="1345">
        <v>13073</v>
      </c>
      <c r="Q175" s="1345">
        <v>13424</v>
      </c>
      <c r="R175" s="1345">
        <v>14447</v>
      </c>
      <c r="S175" s="1345">
        <v>14832</v>
      </c>
      <c r="T175" s="1345">
        <v>14335</v>
      </c>
      <c r="U175" s="1345">
        <v>13744</v>
      </c>
      <c r="V175" s="1345">
        <v>13042</v>
      </c>
      <c r="W175" s="1467">
        <v>13342</v>
      </c>
      <c r="X175" s="1467">
        <f t="shared" ref="X175:AP175" si="413">W175+500</f>
        <v>13842</v>
      </c>
      <c r="Y175" s="1345">
        <f t="shared" si="413"/>
        <v>14342</v>
      </c>
      <c r="Z175" s="1345">
        <f t="shared" si="413"/>
        <v>14842</v>
      </c>
      <c r="AA175" s="1345">
        <f t="shared" si="413"/>
        <v>15342</v>
      </c>
      <c r="AB175" s="1345">
        <f t="shared" si="413"/>
        <v>15842</v>
      </c>
      <c r="AC175" s="1345">
        <f t="shared" si="413"/>
        <v>16342</v>
      </c>
      <c r="AD175" s="1345">
        <f t="shared" si="413"/>
        <v>16842</v>
      </c>
      <c r="AE175" s="1345">
        <f t="shared" si="413"/>
        <v>17342</v>
      </c>
      <c r="AF175" s="1345">
        <f t="shared" si="413"/>
        <v>17842</v>
      </c>
      <c r="AG175" s="1345">
        <f t="shared" si="413"/>
        <v>18342</v>
      </c>
      <c r="AH175" s="1944">
        <f>AG175+500</f>
        <v>18842</v>
      </c>
      <c r="AI175" s="1345">
        <f>AG175+500</f>
        <v>18842</v>
      </c>
      <c r="AJ175" s="1944">
        <f>AI175+500</f>
        <v>19342</v>
      </c>
      <c r="AK175" s="1468">
        <f>AI175+500</f>
        <v>19342</v>
      </c>
      <c r="AL175" s="1345">
        <f t="shared" si="413"/>
        <v>19842</v>
      </c>
      <c r="AM175" s="1345">
        <f t="shared" si="413"/>
        <v>20342</v>
      </c>
      <c r="AN175" s="1345">
        <f t="shared" si="413"/>
        <v>20842</v>
      </c>
      <c r="AO175" s="1345">
        <f t="shared" si="413"/>
        <v>21342</v>
      </c>
      <c r="AP175" s="1345">
        <f t="shared" si="413"/>
        <v>21842</v>
      </c>
      <c r="AQ175" s="1349"/>
      <c r="AR175" s="1349"/>
      <c r="AS175" s="1349"/>
      <c r="AT175" s="1349"/>
      <c r="AU175" s="1349"/>
      <c r="AV175" s="1349"/>
      <c r="AW175" s="1349"/>
      <c r="AX175" s="1349"/>
      <c r="AY175" s="1349"/>
      <c r="AZ175" s="1349"/>
      <c r="BA175" s="1349"/>
      <c r="BB175" s="1349"/>
      <c r="BC175" s="1349"/>
      <c r="BD175" s="1349"/>
      <c r="BE175" s="1349"/>
      <c r="BF175" s="1349"/>
      <c r="BG175" s="1349"/>
      <c r="BH175" s="1349"/>
      <c r="BI175" s="1349"/>
      <c r="BJ175" s="1349"/>
      <c r="BK175" s="1349"/>
      <c r="BL175" s="1349"/>
      <c r="BM175" s="1349"/>
    </row>
    <row r="176" spans="1:65" hidden="1" outlineLevel="1">
      <c r="A176" s="1341"/>
      <c r="B176" s="1356"/>
      <c r="C176" s="1357" t="s">
        <v>552</v>
      </c>
      <c r="D176" s="1344">
        <f t="shared" ref="D176:S176" si="414">D389</f>
        <v>5422</v>
      </c>
      <c r="E176" s="1344">
        <f t="shared" si="414"/>
        <v>6265</v>
      </c>
      <c r="F176" s="1344">
        <f t="shared" si="414"/>
        <v>6522</v>
      </c>
      <c r="G176" s="1344">
        <f t="shared" si="414"/>
        <v>7061</v>
      </c>
      <c r="H176" s="1358">
        <f t="shared" si="414"/>
        <v>7143</v>
      </c>
      <c r="I176" s="1358">
        <f t="shared" si="414"/>
        <v>7019</v>
      </c>
      <c r="J176" s="1358">
        <f t="shared" si="414"/>
        <v>7835</v>
      </c>
      <c r="K176" s="1358">
        <f t="shared" si="414"/>
        <v>9076</v>
      </c>
      <c r="L176" s="1358">
        <f t="shared" si="414"/>
        <v>10748</v>
      </c>
      <c r="M176" s="1358">
        <f t="shared" si="414"/>
        <v>11243</v>
      </c>
      <c r="N176" s="1358">
        <f t="shared" si="414"/>
        <v>11604</v>
      </c>
      <c r="O176" s="1358">
        <f t="shared" si="414"/>
        <v>11946</v>
      </c>
      <c r="P176" s="1358">
        <f t="shared" si="414"/>
        <v>11598</v>
      </c>
      <c r="Q176" s="1358">
        <f t="shared" si="414"/>
        <v>11835</v>
      </c>
      <c r="R176" s="1358">
        <f t="shared" si="414"/>
        <v>12537</v>
      </c>
      <c r="S176" s="1358">
        <f t="shared" si="414"/>
        <v>12688</v>
      </c>
      <c r="T176" s="1358"/>
      <c r="U176" s="1358"/>
      <c r="V176" s="1358"/>
      <c r="W176" s="1467">
        <v>12842</v>
      </c>
      <c r="X176" s="1467"/>
      <c r="Y176" s="1358"/>
      <c r="Z176" s="1358"/>
      <c r="AA176" s="1358"/>
      <c r="AB176" s="1358"/>
      <c r="AC176" s="1358"/>
      <c r="AD176" s="1358"/>
      <c r="AE176" s="1358"/>
      <c r="AF176" s="1358"/>
      <c r="AG176" s="1358"/>
      <c r="AH176" s="1944"/>
      <c r="AI176" s="1358"/>
      <c r="AJ176" s="1944"/>
      <c r="AK176" s="1359"/>
      <c r="AL176" s="1358"/>
      <c r="AM176" s="1358"/>
      <c r="AN176" s="1358"/>
      <c r="AO176" s="1358"/>
      <c r="AP176" s="1358"/>
      <c r="AQ176" s="1349"/>
      <c r="AR176" s="1349"/>
      <c r="AS176" s="1349"/>
      <c r="AT176" s="1349"/>
      <c r="AU176" s="1349"/>
      <c r="AV176" s="1349"/>
      <c r="AW176" s="1349"/>
      <c r="AX176" s="1349"/>
      <c r="AY176" s="1349"/>
      <c r="AZ176" s="1349"/>
      <c r="BA176" s="1349"/>
      <c r="BB176" s="1349"/>
      <c r="BC176" s="1349"/>
      <c r="BD176" s="1349"/>
      <c r="BE176" s="1349"/>
      <c r="BF176" s="1349"/>
      <c r="BG176" s="1349"/>
      <c r="BH176" s="1349"/>
      <c r="BI176" s="1349"/>
      <c r="BJ176" s="1349"/>
      <c r="BK176" s="1349"/>
      <c r="BL176" s="1349"/>
      <c r="BM176" s="1349"/>
    </row>
    <row r="177" spans="1:65" hidden="1" outlineLevel="1">
      <c r="A177" s="1341"/>
      <c r="B177" s="1356"/>
      <c r="C177" s="1357" t="s">
        <v>551</v>
      </c>
      <c r="D177" s="1344">
        <f t="shared" ref="D177:S177" si="415">D175-D176</f>
        <v>606</v>
      </c>
      <c r="E177" s="1344">
        <f t="shared" si="415"/>
        <v>634</v>
      </c>
      <c r="F177" s="1344">
        <f t="shared" si="415"/>
        <v>191</v>
      </c>
      <c r="G177" s="1344">
        <f t="shared" si="415"/>
        <v>1143</v>
      </c>
      <c r="H177" s="1358">
        <f t="shared" si="415"/>
        <v>2029</v>
      </c>
      <c r="I177" s="1358">
        <f t="shared" si="415"/>
        <v>2341</v>
      </c>
      <c r="J177" s="1358">
        <f t="shared" si="415"/>
        <v>1726</v>
      </c>
      <c r="K177" s="1358">
        <f t="shared" si="415"/>
        <v>1543</v>
      </c>
      <c r="L177" s="1358">
        <f t="shared" si="415"/>
        <v>1223</v>
      </c>
      <c r="M177" s="1358">
        <f t="shared" si="415"/>
        <v>1618</v>
      </c>
      <c r="N177" s="1358">
        <f t="shared" si="415"/>
        <v>1682</v>
      </c>
      <c r="O177" s="1358">
        <f t="shared" si="415"/>
        <v>1510</v>
      </c>
      <c r="P177" s="1358">
        <f t="shared" si="415"/>
        <v>1475</v>
      </c>
      <c r="Q177" s="1358">
        <f t="shared" si="415"/>
        <v>1589</v>
      </c>
      <c r="R177" s="1358">
        <f t="shared" si="415"/>
        <v>1910</v>
      </c>
      <c r="S177" s="1358">
        <f t="shared" si="415"/>
        <v>2144</v>
      </c>
      <c r="T177" s="1358"/>
      <c r="U177" s="1358"/>
      <c r="V177" s="1358"/>
      <c r="W177" s="1467">
        <v>500</v>
      </c>
      <c r="X177" s="1467"/>
      <c r="Y177" s="1358"/>
      <c r="Z177" s="1358"/>
      <c r="AA177" s="1358"/>
      <c r="AB177" s="1358"/>
      <c r="AC177" s="1358"/>
      <c r="AD177" s="1358"/>
      <c r="AE177" s="1358"/>
      <c r="AF177" s="1358"/>
      <c r="AG177" s="1358"/>
      <c r="AH177" s="1944"/>
      <c r="AI177" s="1358"/>
      <c r="AJ177" s="1944"/>
      <c r="AK177" s="1359"/>
      <c r="AL177" s="1358"/>
      <c r="AM177" s="1358"/>
      <c r="AN177" s="1358"/>
      <c r="AO177" s="1358"/>
      <c r="AP177" s="1358"/>
      <c r="AQ177" s="1349"/>
      <c r="AR177" s="1349"/>
      <c r="AS177" s="1349"/>
      <c r="AT177" s="1349"/>
      <c r="AU177" s="1349"/>
      <c r="AV177" s="1349"/>
      <c r="AW177" s="1349"/>
      <c r="AX177" s="1349"/>
      <c r="AY177" s="1349"/>
      <c r="AZ177" s="1349"/>
      <c r="BA177" s="1349"/>
      <c r="BB177" s="1349"/>
      <c r="BC177" s="1349"/>
      <c r="BD177" s="1349"/>
      <c r="BE177" s="1349"/>
      <c r="BF177" s="1349"/>
      <c r="BG177" s="1349"/>
      <c r="BH177" s="1349"/>
      <c r="BI177" s="1349"/>
      <c r="BJ177" s="1349"/>
      <c r="BK177" s="1349"/>
      <c r="BL177" s="1349"/>
      <c r="BM177" s="1349"/>
    </row>
    <row r="178" spans="1:65" hidden="1" outlineLevel="1">
      <c r="A178" s="1341"/>
      <c r="B178" s="1342" t="s">
        <v>1042</v>
      </c>
      <c r="C178" s="1343" t="s">
        <v>167</v>
      </c>
      <c r="D178" s="1472" t="s">
        <v>451</v>
      </c>
      <c r="E178" s="1472" t="s">
        <v>451</v>
      </c>
      <c r="F178" s="1344">
        <v>2667</v>
      </c>
      <c r="G178" s="1344">
        <v>4913</v>
      </c>
      <c r="H178" s="1345">
        <v>11797</v>
      </c>
      <c r="I178" s="1345">
        <v>14059</v>
      </c>
      <c r="J178" s="1345">
        <v>16406</v>
      </c>
      <c r="K178" s="1345">
        <v>16242</v>
      </c>
      <c r="L178" s="1345">
        <v>14096</v>
      </c>
      <c r="M178" s="1345">
        <v>12216</v>
      </c>
      <c r="N178" s="1345">
        <v>11665</v>
      </c>
      <c r="O178" s="1345">
        <v>10790</v>
      </c>
      <c r="P178" s="1345">
        <v>11120</v>
      </c>
      <c r="Q178" s="1345">
        <v>8778</v>
      </c>
      <c r="R178" s="1345">
        <v>8241</v>
      </c>
      <c r="S178" s="1345">
        <v>4356</v>
      </c>
      <c r="T178" s="1345">
        <v>3387</v>
      </c>
      <c r="U178" s="1345">
        <v>2299</v>
      </c>
      <c r="V178" s="1345">
        <v>3535</v>
      </c>
      <c r="W178" s="1467">
        <v>3500</v>
      </c>
      <c r="X178" s="1467">
        <f t="shared" ref="X178:AP178" si="416">W178+500</f>
        <v>4000</v>
      </c>
      <c r="Y178" s="1345">
        <f t="shared" si="416"/>
        <v>4500</v>
      </c>
      <c r="Z178" s="1345">
        <f t="shared" si="416"/>
        <v>5000</v>
      </c>
      <c r="AA178" s="1345">
        <f t="shared" si="416"/>
        <v>5500</v>
      </c>
      <c r="AB178" s="1345">
        <f t="shared" si="416"/>
        <v>6000</v>
      </c>
      <c r="AC178" s="1345">
        <f t="shared" si="416"/>
        <v>6500</v>
      </c>
      <c r="AD178" s="1345">
        <f t="shared" si="416"/>
        <v>7000</v>
      </c>
      <c r="AE178" s="1345">
        <f t="shared" si="416"/>
        <v>7500</v>
      </c>
      <c r="AF178" s="1345">
        <f t="shared" si="416"/>
        <v>8000</v>
      </c>
      <c r="AG178" s="1345">
        <f t="shared" si="416"/>
        <v>8500</v>
      </c>
      <c r="AH178" s="1944">
        <f>AG178+500</f>
        <v>9000</v>
      </c>
      <c r="AI178" s="1345">
        <f>AG178+500</f>
        <v>9000</v>
      </c>
      <c r="AJ178" s="1944">
        <f>AI178+500</f>
        <v>9500</v>
      </c>
      <c r="AK178" s="1468">
        <f>AI178+500</f>
        <v>9500</v>
      </c>
      <c r="AL178" s="1345">
        <f t="shared" si="416"/>
        <v>10000</v>
      </c>
      <c r="AM178" s="1345">
        <f t="shared" si="416"/>
        <v>10500</v>
      </c>
      <c r="AN178" s="1345">
        <f t="shared" si="416"/>
        <v>11000</v>
      </c>
      <c r="AO178" s="1345">
        <f t="shared" si="416"/>
        <v>11500</v>
      </c>
      <c r="AP178" s="1345">
        <f t="shared" si="416"/>
        <v>12000</v>
      </c>
      <c r="AQ178" s="1349"/>
      <c r="AR178" s="1349"/>
      <c r="AS178" s="1349"/>
      <c r="AT178" s="1349"/>
      <c r="AU178" s="1349"/>
      <c r="AV178" s="1349"/>
      <c r="AW178" s="1349"/>
      <c r="AX178" s="1349"/>
      <c r="AY178" s="1349"/>
      <c r="AZ178" s="1349"/>
      <c r="BA178" s="1349"/>
      <c r="BB178" s="1349"/>
      <c r="BC178" s="1349"/>
      <c r="BD178" s="1349"/>
      <c r="BE178" s="1349"/>
      <c r="BF178" s="1349"/>
      <c r="BG178" s="1349"/>
      <c r="BH178" s="1349"/>
      <c r="BI178" s="1349"/>
      <c r="BJ178" s="1349"/>
      <c r="BK178" s="1349"/>
      <c r="BL178" s="1349"/>
      <c r="BM178" s="1349"/>
    </row>
    <row r="179" spans="1:65" hidden="1" outlineLevel="1">
      <c r="A179" s="1341"/>
      <c r="B179" s="1356"/>
      <c r="C179" s="1357" t="s">
        <v>552</v>
      </c>
      <c r="D179" s="1472" t="s">
        <v>451</v>
      </c>
      <c r="E179" s="1472" t="s">
        <v>451</v>
      </c>
      <c r="F179" s="1473" t="str">
        <f t="shared" ref="F179:S179" si="417">F391</f>
        <v>--</v>
      </c>
      <c r="G179" s="1473" t="str">
        <f t="shared" si="417"/>
        <v>--</v>
      </c>
      <c r="H179" s="1474" t="str">
        <f t="shared" si="417"/>
        <v>--</v>
      </c>
      <c r="I179" s="1474" t="str">
        <f t="shared" si="417"/>
        <v>--</v>
      </c>
      <c r="J179" s="1358">
        <f t="shared" si="417"/>
        <v>2542</v>
      </c>
      <c r="K179" s="1358">
        <f t="shared" si="417"/>
        <v>2531</v>
      </c>
      <c r="L179" s="1358">
        <f t="shared" si="417"/>
        <v>2551</v>
      </c>
      <c r="M179" s="1358">
        <f t="shared" si="417"/>
        <v>2512</v>
      </c>
      <c r="N179" s="1358">
        <f t="shared" si="417"/>
        <v>2408</v>
      </c>
      <c r="O179" s="1358">
        <f t="shared" si="417"/>
        <v>2209</v>
      </c>
      <c r="P179" s="1358">
        <f t="shared" si="417"/>
        <v>1946</v>
      </c>
      <c r="Q179" s="1358">
        <f t="shared" si="417"/>
        <v>1770</v>
      </c>
      <c r="R179" s="1358">
        <f t="shared" si="417"/>
        <v>1538</v>
      </c>
      <c r="S179" s="1358">
        <f t="shared" si="417"/>
        <v>1643</v>
      </c>
      <c r="T179" s="1358"/>
      <c r="U179" s="1358"/>
      <c r="V179" s="1358"/>
      <c r="W179" s="1467"/>
      <c r="X179" s="1467"/>
      <c r="Y179" s="1358"/>
      <c r="Z179" s="1358"/>
      <c r="AA179" s="1358"/>
      <c r="AB179" s="1358"/>
      <c r="AC179" s="1358"/>
      <c r="AD179" s="1358"/>
      <c r="AE179" s="1358"/>
      <c r="AF179" s="1358"/>
      <c r="AG179" s="1358"/>
      <c r="AH179" s="1944"/>
      <c r="AI179" s="1358"/>
      <c r="AJ179" s="1944"/>
      <c r="AK179" s="1359"/>
      <c r="AL179" s="1358"/>
      <c r="AM179" s="1358"/>
      <c r="AN179" s="1358"/>
      <c r="AO179" s="1358"/>
      <c r="AP179" s="1358"/>
      <c r="AQ179" s="1349"/>
      <c r="AR179" s="1349"/>
      <c r="AS179" s="1349"/>
      <c r="AT179" s="1349"/>
      <c r="AU179" s="1349"/>
      <c r="AV179" s="1349"/>
      <c r="AW179" s="1349"/>
      <c r="AX179" s="1349"/>
      <c r="AY179" s="1349"/>
      <c r="AZ179" s="1349"/>
      <c r="BA179" s="1349"/>
      <c r="BB179" s="1349"/>
      <c r="BC179" s="1349"/>
      <c r="BD179" s="1349"/>
      <c r="BE179" s="1349"/>
      <c r="BF179" s="1349"/>
      <c r="BG179" s="1349"/>
      <c r="BH179" s="1349"/>
      <c r="BI179" s="1349"/>
      <c r="BJ179" s="1349"/>
      <c r="BK179" s="1349"/>
      <c r="BL179" s="1349"/>
      <c r="BM179" s="1349"/>
    </row>
    <row r="180" spans="1:65" hidden="1" outlineLevel="1">
      <c r="A180" s="1341"/>
      <c r="B180" s="1356"/>
      <c r="C180" s="1357" t="s">
        <v>551</v>
      </c>
      <c r="D180" s="1472" t="s">
        <v>451</v>
      </c>
      <c r="E180" s="1472" t="s">
        <v>451</v>
      </c>
      <c r="F180" s="1472" t="s">
        <v>451</v>
      </c>
      <c r="G180" s="1472" t="s">
        <v>451</v>
      </c>
      <c r="H180" s="1475" t="s">
        <v>451</v>
      </c>
      <c r="I180" s="1475" t="s">
        <v>451</v>
      </c>
      <c r="J180" s="1358">
        <f t="shared" ref="J180:S180" si="418">J178-J179</f>
        <v>13864</v>
      </c>
      <c r="K180" s="1358">
        <f t="shared" si="418"/>
        <v>13711</v>
      </c>
      <c r="L180" s="1358">
        <f t="shared" si="418"/>
        <v>11545</v>
      </c>
      <c r="M180" s="1358">
        <f t="shared" si="418"/>
        <v>9704</v>
      </c>
      <c r="N180" s="1358">
        <f t="shared" si="418"/>
        <v>9257</v>
      </c>
      <c r="O180" s="1358">
        <f t="shared" si="418"/>
        <v>8581</v>
      </c>
      <c r="P180" s="1358">
        <f t="shared" si="418"/>
        <v>9174</v>
      </c>
      <c r="Q180" s="1358">
        <f t="shared" si="418"/>
        <v>7008</v>
      </c>
      <c r="R180" s="1358">
        <f t="shared" si="418"/>
        <v>6703</v>
      </c>
      <c r="S180" s="1358">
        <f t="shared" si="418"/>
        <v>2713</v>
      </c>
      <c r="T180" s="1358"/>
      <c r="U180" s="1358"/>
      <c r="V180" s="1358"/>
      <c r="W180" s="1467"/>
      <c r="X180" s="1467"/>
      <c r="Y180" s="1358"/>
      <c r="Z180" s="1358"/>
      <c r="AA180" s="1358"/>
      <c r="AB180" s="1358"/>
      <c r="AC180" s="1358"/>
      <c r="AD180" s="1358"/>
      <c r="AE180" s="1358"/>
      <c r="AF180" s="1358"/>
      <c r="AG180" s="1358"/>
      <c r="AH180" s="1944"/>
      <c r="AI180" s="1358"/>
      <c r="AJ180" s="1944"/>
      <c r="AK180" s="1359"/>
      <c r="AL180" s="1358"/>
      <c r="AM180" s="1358"/>
      <c r="AN180" s="1358"/>
      <c r="AO180" s="1358"/>
      <c r="AP180" s="1358"/>
      <c r="AQ180" s="1349"/>
      <c r="AR180" s="1349"/>
      <c r="AS180" s="1349"/>
      <c r="AT180" s="1349"/>
      <c r="AU180" s="1349"/>
      <c r="AV180" s="1349"/>
      <c r="AW180" s="1349"/>
      <c r="AX180" s="1349"/>
      <c r="AY180" s="1349"/>
      <c r="AZ180" s="1349"/>
      <c r="BA180" s="1349"/>
      <c r="BB180" s="1349"/>
      <c r="BC180" s="1349"/>
      <c r="BD180" s="1349"/>
      <c r="BE180" s="1349"/>
      <c r="BF180" s="1349"/>
      <c r="BG180" s="1349"/>
      <c r="BH180" s="1349"/>
      <c r="BI180" s="1349"/>
      <c r="BJ180" s="1349"/>
      <c r="BK180" s="1349"/>
      <c r="BL180" s="1349"/>
      <c r="BM180" s="1349"/>
    </row>
    <row r="181" spans="1:65" hidden="1" outlineLevel="1">
      <c r="A181" s="1341"/>
      <c r="B181" s="1476" t="s">
        <v>1044</v>
      </c>
      <c r="C181" s="1477" t="s">
        <v>427</v>
      </c>
      <c r="D181" s="1478">
        <f>D12</f>
        <v>205080</v>
      </c>
      <c r="E181" s="1478">
        <f>E12</f>
        <v>208290</v>
      </c>
      <c r="F181" s="1478">
        <f>F12</f>
        <v>219899</v>
      </c>
      <c r="G181" s="1478">
        <f>G12</f>
        <v>244021</v>
      </c>
      <c r="H181" s="1479">
        <v>263300</v>
      </c>
      <c r="I181" s="1479">
        <v>305574</v>
      </c>
      <c r="J181" s="1479">
        <v>314257</v>
      </c>
      <c r="K181" s="1479">
        <v>302821</v>
      </c>
      <c r="L181" s="1479">
        <v>309822</v>
      </c>
      <c r="M181" s="1479">
        <v>319035</v>
      </c>
      <c r="N181" s="1479">
        <f>N168+N171+N175+N178</f>
        <v>326333</v>
      </c>
      <c r="O181" s="1479">
        <f>O168+O171+O175+O178</f>
        <v>319372</v>
      </c>
      <c r="P181" s="1479">
        <f>P168+P171+P175+P178</f>
        <v>310292</v>
      </c>
      <c r="Q181" s="1479">
        <f>Q168+Q171+Q175+Q178</f>
        <v>307559</v>
      </c>
      <c r="R181" s="1479">
        <f>R168+R171+R175+R178</f>
        <v>325678</v>
      </c>
      <c r="S181" s="1479">
        <f>S168+S171+S175+S178+2</f>
        <v>321356</v>
      </c>
      <c r="T181" s="1479">
        <v>314744</v>
      </c>
      <c r="U181" s="1479">
        <v>322063</v>
      </c>
      <c r="V181" s="1479">
        <v>315337</v>
      </c>
      <c r="W181" s="1480">
        <v>305911</v>
      </c>
      <c r="X181" s="1480">
        <f t="shared" ref="X181:AC181" si="419">X168+X171+X175+X178</f>
        <v>315100.17362000002</v>
      </c>
      <c r="Y181" s="1479">
        <f t="shared" si="419"/>
        <v>314349.51769166405</v>
      </c>
      <c r="Z181" s="1479">
        <f t="shared" si="419"/>
        <v>320109.2143887573</v>
      </c>
      <c r="AA181" s="1479">
        <f t="shared" si="419"/>
        <v>325933.4440832251</v>
      </c>
      <c r="AB181" s="1479">
        <f t="shared" si="419"/>
        <v>331823.39082564914</v>
      </c>
      <c r="AC181" s="1479">
        <f t="shared" si="419"/>
        <v>337780.26128152921</v>
      </c>
      <c r="AD181" s="1479">
        <f t="shared" ref="AD181:AE181" si="420">AD168+AD171+AD175+AD178</f>
        <v>343805.28517292062</v>
      </c>
      <c r="AE181" s="1479">
        <f t="shared" si="420"/>
        <v>349899.71572879743</v>
      </c>
      <c r="AF181" s="1479">
        <f t="shared" ref="AF181:AH181" si="421">AF168+AF171+AF175+AF178</f>
        <v>356064.83014431596</v>
      </c>
      <c r="AG181" s="1479">
        <f t="shared" si="421"/>
        <v>362301.93004915433</v>
      </c>
      <c r="AH181" s="1943">
        <f t="shared" si="421"/>
        <v>368612.34198510885</v>
      </c>
      <c r="AI181" s="1479">
        <f t="shared" ref="AI181:AK181" si="422">AI168+AI171+AI175+AI178</f>
        <v>368612.34198510885</v>
      </c>
      <c r="AJ181" s="1943">
        <f t="shared" ref="AJ181" si="423">AJ168+AJ171+AJ175+AJ178</f>
        <v>374997.41789313231</v>
      </c>
      <c r="AK181" s="1481">
        <f t="shared" si="422"/>
        <v>374997.41789313231</v>
      </c>
      <c r="AL181" s="1479">
        <f t="shared" ref="AL181" si="424">AL168+AL171+AL175+AL178</f>
        <v>381458.53560999944</v>
      </c>
      <c r="AM181" s="1479">
        <f t="shared" ref="AM181:AN181" si="425">AM168+AM171+AM175+AM178</f>
        <v>387997.09937479394</v>
      </c>
      <c r="AN181" s="1479">
        <f t="shared" si="425"/>
        <v>394614.54034541023</v>
      </c>
      <c r="AO181" s="1479">
        <f t="shared" ref="AO181" si="426">AO168+AO171+AO175+AO178</f>
        <v>401312.31712527014</v>
      </c>
      <c r="AP181" s="1479">
        <f t="shared" ref="AP181" si="427">AP168+AP171+AP175+AP178</f>
        <v>408091.91630045668</v>
      </c>
      <c r="AQ181" s="1349"/>
      <c r="AR181" s="1349"/>
      <c r="AS181" s="1349"/>
      <c r="AT181" s="1349"/>
      <c r="AU181" s="1349"/>
      <c r="AV181" s="1349"/>
      <c r="AW181" s="1349"/>
      <c r="AX181" s="1349"/>
      <c r="AY181" s="1349"/>
      <c r="AZ181" s="1349"/>
      <c r="BA181" s="1349"/>
      <c r="BB181" s="1349"/>
      <c r="BC181" s="1349"/>
      <c r="BD181" s="1349"/>
      <c r="BE181" s="1349"/>
      <c r="BF181" s="1349"/>
      <c r="BG181" s="1349"/>
      <c r="BH181" s="1349"/>
      <c r="BI181" s="1349"/>
      <c r="BJ181" s="1349"/>
      <c r="BK181" s="1349"/>
      <c r="BL181" s="1349"/>
      <c r="BM181" s="1349"/>
    </row>
    <row r="182" spans="1:65" collapsed="1">
      <c r="A182" s="1341"/>
      <c r="B182" s="1350"/>
      <c r="C182" s="1341"/>
      <c r="D182" s="1349"/>
      <c r="E182" s="1349"/>
      <c r="F182" s="1349"/>
      <c r="G182" s="1349"/>
      <c r="H182" s="1349"/>
      <c r="I182" s="1349"/>
      <c r="J182" s="1349"/>
      <c r="K182" s="1349"/>
      <c r="L182" s="1349"/>
      <c r="M182" s="1349"/>
      <c r="N182" s="1349"/>
      <c r="O182" s="1349"/>
      <c r="P182" s="1349"/>
      <c r="Q182" s="1349"/>
      <c r="R182" s="1349"/>
      <c r="S182" s="1349"/>
      <c r="T182" s="1349"/>
      <c r="U182" s="1349"/>
      <c r="V182" s="1349"/>
      <c r="W182" s="1349"/>
      <c r="X182" s="1349"/>
      <c r="Y182" s="1349"/>
      <c r="Z182" s="1349"/>
      <c r="AA182" s="1349"/>
      <c r="AB182" s="1349"/>
      <c r="AC182" s="1349"/>
      <c r="AD182" s="1349"/>
      <c r="AE182" s="1349"/>
      <c r="AF182" s="1349"/>
      <c r="AG182" s="1349"/>
      <c r="AH182" s="1944">
        <f t="shared" ref="AH182:AP182" si="428">AH187/AH242</f>
        <v>0.44568245125348188</v>
      </c>
      <c r="AI182" s="1349">
        <f t="shared" si="428"/>
        <v>0.33823232662944774</v>
      </c>
      <c r="AJ182" s="1944">
        <f t="shared" si="428"/>
        <v>0.45370827905305244</v>
      </c>
      <c r="AK182" s="1482">
        <f t="shared" si="428"/>
        <v>0.6474993181085571</v>
      </c>
      <c r="AL182" s="1483">
        <f t="shared" si="428"/>
        <v>0.67394957983193282</v>
      </c>
      <c r="AM182" s="1483">
        <f t="shared" si="428"/>
        <v>0.66093749999999996</v>
      </c>
      <c r="AN182" s="1483">
        <f t="shared" si="428"/>
        <v>0.65960665658093798</v>
      </c>
      <c r="AO182" s="1483">
        <f t="shared" si="428"/>
        <v>0.66617647058823526</v>
      </c>
      <c r="AP182" s="1483">
        <f t="shared" si="428"/>
        <v>0.67236467236467234</v>
      </c>
      <c r="AQ182" s="1349"/>
      <c r="AR182" s="1349"/>
      <c r="AS182" s="1349"/>
      <c r="AT182" s="1349"/>
      <c r="AU182" s="1349"/>
      <c r="AV182" s="1349"/>
      <c r="AW182" s="1349"/>
      <c r="AX182" s="1349"/>
      <c r="AY182" s="1349"/>
      <c r="AZ182" s="1349"/>
      <c r="BA182" s="1349"/>
      <c r="BB182" s="1349"/>
      <c r="BC182" s="1349"/>
      <c r="BD182" s="1349"/>
      <c r="BE182" s="1349"/>
      <c r="BF182" s="1349"/>
      <c r="BG182" s="1349"/>
      <c r="BH182" s="1349"/>
      <c r="BI182" s="1349"/>
      <c r="BJ182" s="1349"/>
      <c r="BK182" s="1349"/>
      <c r="BL182" s="1349"/>
      <c r="BM182" s="1349"/>
    </row>
    <row r="183" spans="1:65" ht="11.5">
      <c r="B183" s="1901" t="s">
        <v>1150</v>
      </c>
      <c r="C183" s="1902" t="s">
        <v>1250</v>
      </c>
      <c r="D183" s="1902"/>
      <c r="E183" s="1902"/>
      <c r="F183" s="1902"/>
      <c r="G183" s="1902"/>
      <c r="H183" s="1902"/>
      <c r="I183" s="1902"/>
      <c r="J183" s="1902"/>
      <c r="K183" s="1902"/>
      <c r="L183" s="1902"/>
      <c r="M183" s="1902"/>
      <c r="N183" s="1902"/>
      <c r="O183" s="1902"/>
      <c r="P183" s="1902"/>
      <c r="Q183" s="1902"/>
      <c r="R183" s="1902"/>
      <c r="S183" s="1902"/>
      <c r="T183" s="1902"/>
      <c r="U183" s="1902"/>
      <c r="V183" s="1902"/>
      <c r="W183" s="1902"/>
      <c r="X183" s="1902"/>
      <c r="Y183" s="1902"/>
      <c r="Z183" s="1902"/>
      <c r="AA183" s="1902"/>
      <c r="AB183" s="1902"/>
      <c r="AC183" s="1902"/>
      <c r="AD183" s="1902"/>
      <c r="AE183" s="1902"/>
      <c r="AF183" s="1902"/>
      <c r="AG183" s="1902"/>
      <c r="AH183" s="1960"/>
      <c r="AI183" s="1902"/>
      <c r="AJ183" s="1960"/>
      <c r="AK183" s="1903"/>
      <c r="AL183" s="1902"/>
      <c r="AM183" s="1902"/>
      <c r="AN183" s="1902"/>
      <c r="AO183" s="1902"/>
      <c r="AP183" s="1902"/>
    </row>
    <row r="184" spans="1:65">
      <c r="A184" s="1341"/>
      <c r="B184" s="1906" t="s">
        <v>1033</v>
      </c>
      <c r="C184" s="1487" t="s">
        <v>550</v>
      </c>
      <c r="D184" s="1488"/>
      <c r="E184" s="1488"/>
      <c r="F184" s="1488"/>
      <c r="G184" s="1488"/>
      <c r="H184" s="1488"/>
      <c r="I184" s="1488"/>
      <c r="J184" s="1488"/>
      <c r="K184" s="1488"/>
      <c r="L184" s="1488"/>
      <c r="M184" s="1488"/>
      <c r="N184" s="1488"/>
      <c r="O184" s="1488"/>
      <c r="P184" s="1488"/>
      <c r="Q184" s="1488"/>
      <c r="R184" s="1488"/>
      <c r="S184" s="1488"/>
      <c r="T184" s="1488"/>
      <c r="U184" s="1488"/>
      <c r="V184" s="1488">
        <v>390</v>
      </c>
      <c r="W184" s="1488">
        <v>707</v>
      </c>
      <c r="X184" s="1488">
        <v>864</v>
      </c>
      <c r="Y184" s="1488">
        <v>49</v>
      </c>
      <c r="Z184" s="1488">
        <v>-160</v>
      </c>
      <c r="AA184" s="1488">
        <v>-400</v>
      </c>
      <c r="AB184" s="1488">
        <v>-200</v>
      </c>
      <c r="AC184" s="1488">
        <v>190</v>
      </c>
      <c r="AD184" s="1488">
        <v>298</v>
      </c>
      <c r="AE184" s="1488">
        <v>200</v>
      </c>
      <c r="AF184" s="1488">
        <v>-700</v>
      </c>
      <c r="AG184" s="1488">
        <v>200</v>
      </c>
      <c r="AH184" s="1912">
        <f>AG184</f>
        <v>200</v>
      </c>
      <c r="AI184" s="1488">
        <f>+Quarterly!IR73</f>
        <v>161</v>
      </c>
      <c r="AJ184" s="1912">
        <f>AI184</f>
        <v>161</v>
      </c>
      <c r="AK184" s="2163">
        <f>+Quarterly!JD73</f>
        <v>46</v>
      </c>
      <c r="AL184" s="1488">
        <f>ROUND(AK184+300,-2)</f>
        <v>300</v>
      </c>
      <c r="AM184" s="1488">
        <f t="shared" ref="AM184:AP184" si="429">AL184</f>
        <v>300</v>
      </c>
      <c r="AN184" s="1488">
        <f t="shared" si="429"/>
        <v>300</v>
      </c>
      <c r="AO184" s="1488">
        <f t="shared" si="429"/>
        <v>300</v>
      </c>
      <c r="AP184" s="1488">
        <f t="shared" si="429"/>
        <v>300</v>
      </c>
      <c r="AQ184" s="1349"/>
      <c r="AR184" s="1349">
        <f>+Quarterly!KH73</f>
        <v>200</v>
      </c>
      <c r="AS184" s="1349"/>
      <c r="AT184" s="1349">
        <f>+Quarterly!KM73</f>
        <v>300</v>
      </c>
      <c r="AU184" s="1349">
        <f>+Quarterly!KW73</f>
        <v>200</v>
      </c>
      <c r="AV184" s="1349"/>
      <c r="AW184" s="1349"/>
      <c r="AX184" s="1349"/>
      <c r="AY184" s="1349"/>
      <c r="AZ184" s="1349"/>
      <c r="BA184" s="1349"/>
      <c r="BB184" s="1349"/>
      <c r="BC184" s="1349"/>
      <c r="BD184" s="1349"/>
      <c r="BE184" s="1349"/>
      <c r="BF184" s="1349"/>
      <c r="BG184" s="1349"/>
      <c r="BH184" s="1349"/>
      <c r="BI184" s="1349"/>
      <c r="BJ184" s="1349"/>
      <c r="BK184" s="1349"/>
      <c r="BL184" s="1349"/>
      <c r="BM184" s="1349"/>
    </row>
    <row r="185" spans="1:65" s="1449" customFormat="1">
      <c r="A185" s="2164"/>
      <c r="B185" s="1909" t="s">
        <v>1478</v>
      </c>
      <c r="C185" s="1909" t="s">
        <v>1478</v>
      </c>
      <c r="D185" s="1912"/>
      <c r="E185" s="1912"/>
      <c r="F185" s="1912"/>
      <c r="G185" s="1912"/>
      <c r="H185" s="1912"/>
      <c r="I185" s="1912"/>
      <c r="J185" s="1912"/>
      <c r="K185" s="1912"/>
      <c r="L185" s="1912"/>
      <c r="M185" s="1912"/>
      <c r="N185" s="1912"/>
      <c r="O185" s="1912"/>
      <c r="P185" s="1912"/>
      <c r="Q185" s="1912"/>
      <c r="R185" s="1912"/>
      <c r="S185" s="1912"/>
      <c r="T185" s="1912"/>
      <c r="U185" s="1912"/>
      <c r="V185" s="1910">
        <f t="shared" ref="V185:AP185" si="430">V184/V71</f>
        <v>1.1685043144774688E-2</v>
      </c>
      <c r="W185" s="1910">
        <f t="shared" si="430"/>
        <v>2.1196222455403986E-2</v>
      </c>
      <c r="X185" s="1910">
        <f t="shared" si="430"/>
        <v>2.6539702042696973E-2</v>
      </c>
      <c r="Y185" s="1910">
        <f t="shared" si="430"/>
        <v>1.5141682889898333E-3</v>
      </c>
      <c r="Z185" s="1910">
        <f t="shared" si="430"/>
        <v>-4.7904191616766467E-3</v>
      </c>
      <c r="AA185" s="1910">
        <f t="shared" si="430"/>
        <v>-1.1589499913078751E-2</v>
      </c>
      <c r="AB185" s="1910">
        <f t="shared" si="430"/>
        <v>-6.0468631897203327E-3</v>
      </c>
      <c r="AC185" s="1910">
        <f t="shared" si="430"/>
        <v>6.0484512781332567E-3</v>
      </c>
      <c r="AD185" s="1910">
        <f t="shared" si="430"/>
        <v>9.3063926798038783E-3</v>
      </c>
      <c r="AE185" s="1910">
        <f t="shared" si="430"/>
        <v>6.6666666666666671E-3</v>
      </c>
      <c r="AF185" s="1910">
        <f t="shared" si="430"/>
        <v>-2.3411371237458192E-2</v>
      </c>
      <c r="AG185" s="1910">
        <f t="shared" si="430"/>
        <v>7.7821011673151752E-3</v>
      </c>
      <c r="AH185" s="1910">
        <f t="shared" si="430"/>
        <v>8.0000000000000002E-3</v>
      </c>
      <c r="AI185" s="1910">
        <f t="shared" si="430"/>
        <v>6.4400000000000004E-3</v>
      </c>
      <c r="AJ185" s="1910">
        <f t="shared" si="430"/>
        <v>5.9629629629629633E-3</v>
      </c>
      <c r="AK185" s="1911">
        <f t="shared" si="430"/>
        <v>1.6125639767229896E-3</v>
      </c>
      <c r="AL185" s="1910">
        <f t="shared" si="430"/>
        <v>0.01</v>
      </c>
      <c r="AM185" s="1910">
        <f t="shared" si="430"/>
        <v>9.6153846153846159E-3</v>
      </c>
      <c r="AN185" s="1910">
        <f t="shared" si="430"/>
        <v>9.2592592592592587E-3</v>
      </c>
      <c r="AO185" s="1910">
        <f t="shared" si="430"/>
        <v>8.9020771513353119E-3</v>
      </c>
      <c r="AP185" s="1910">
        <f t="shared" si="430"/>
        <v>8.5959885386819486E-3</v>
      </c>
      <c r="AQ185" s="1453"/>
      <c r="AR185" s="1453">
        <f>AR184/AR71</f>
        <v>6.7114093959731542E-3</v>
      </c>
      <c r="AS185" s="1453"/>
      <c r="AT185" s="1453">
        <f>AT184/AT71</f>
        <v>1.0714285714285714E-2</v>
      </c>
      <c r="AU185" s="1453">
        <f>AU184/AU71</f>
        <v>7.6045627376425855E-3</v>
      </c>
      <c r="AV185" s="2165"/>
      <c r="AW185" s="2165"/>
      <c r="AX185" s="2165"/>
      <c r="AY185" s="2165"/>
      <c r="AZ185" s="2165"/>
      <c r="BA185" s="2165"/>
      <c r="BB185" s="2165"/>
      <c r="BC185" s="2165"/>
      <c r="BD185" s="2165"/>
      <c r="BE185" s="2165"/>
      <c r="BF185" s="2165"/>
      <c r="BG185" s="2165"/>
      <c r="BH185" s="2165"/>
      <c r="BI185" s="2165"/>
      <c r="BJ185" s="2165"/>
      <c r="BK185" s="2165"/>
      <c r="BL185" s="2165"/>
      <c r="BM185" s="2165"/>
    </row>
    <row r="186" spans="1:65" s="1449" customFormat="1" ht="5.25" customHeight="1">
      <c r="B186" s="1904"/>
      <c r="U186" s="1441"/>
      <c r="V186" s="1441"/>
      <c r="W186" s="1453"/>
      <c r="X186" s="1453"/>
      <c r="Y186" s="1453"/>
      <c r="Z186" s="1453"/>
      <c r="AA186" s="1453"/>
      <c r="AB186" s="1453"/>
      <c r="AC186" s="1453"/>
      <c r="AD186" s="1453"/>
      <c r="AE186" s="1453"/>
      <c r="AF186" s="1453"/>
      <c r="AG186" s="1453"/>
      <c r="AH186" s="1962"/>
      <c r="AI186" s="1453"/>
      <c r="AJ186" s="1962"/>
      <c r="AK186" s="1905"/>
      <c r="AL186" s="1453"/>
      <c r="AM186" s="1453"/>
      <c r="AN186" s="1453"/>
      <c r="AO186" s="1453"/>
      <c r="AP186" s="1453"/>
      <c r="AQ186" s="1441"/>
      <c r="AR186" s="1664"/>
      <c r="AS186" s="1441"/>
      <c r="AT186" s="1664"/>
      <c r="AU186" s="1664"/>
    </row>
    <row r="187" spans="1:65">
      <c r="A187" s="1341"/>
      <c r="B187" s="1486" t="s">
        <v>1045</v>
      </c>
      <c r="C187" s="1487" t="s">
        <v>549</v>
      </c>
      <c r="D187" s="1488"/>
      <c r="E187" s="1488"/>
      <c r="F187" s="1488"/>
      <c r="G187" s="1488"/>
      <c r="H187" s="1488"/>
      <c r="I187" s="1488"/>
      <c r="J187" s="1488"/>
      <c r="K187" s="1488"/>
      <c r="L187" s="1488"/>
      <c r="M187" s="1488"/>
      <c r="N187" s="1488"/>
      <c r="O187" s="1488"/>
      <c r="P187" s="1488"/>
      <c r="Q187" s="1488"/>
      <c r="R187" s="1488"/>
      <c r="S187" s="1488"/>
      <c r="T187" s="1488"/>
      <c r="U187" s="1488"/>
      <c r="V187" s="1488">
        <v>12128</v>
      </c>
      <c r="W187" s="1488">
        <v>7447</v>
      </c>
      <c r="X187" s="1488">
        <v>8286</v>
      </c>
      <c r="Y187" s="1488">
        <v>13162</v>
      </c>
      <c r="Z187" s="1488">
        <v>13127</v>
      </c>
      <c r="AA187" s="1488">
        <f>ROUND('maruchan inc'!V97,-2)</f>
        <v>12100</v>
      </c>
      <c r="AB187" s="1488">
        <f>ROUND('maruchan inc'!W97,-2)</f>
        <v>12000</v>
      </c>
      <c r="AC187" s="1488">
        <f>ROUND('maruchan inc'!X97,-2)</f>
        <v>11800</v>
      </c>
      <c r="AD187" s="1488">
        <v>9976</v>
      </c>
      <c r="AE187" s="1488">
        <f>ROUND('maruchan inc'!Z97,-2)</f>
        <v>9500</v>
      </c>
      <c r="AF187" s="1488">
        <f>ROUND('maruchan inc'!AA97,-2)</f>
        <v>12300</v>
      </c>
      <c r="AG187" s="1488">
        <f>ROUND('maruchan inc'!AB97,-2)</f>
        <v>16000</v>
      </c>
      <c r="AH187" s="1912">
        <f>ROUND('maruchan inc'!AB97,-2)</f>
        <v>16000</v>
      </c>
      <c r="AI187" s="1488">
        <f>ROUND('maruchan inc'!AD97,)</f>
        <v>10057</v>
      </c>
      <c r="AJ187" s="1912">
        <f>ROUND('maruchan inc'!AD97,-2)</f>
        <v>10100</v>
      </c>
      <c r="AK187" s="2163">
        <f>ROUND('maruchan inc'!AF97,)</f>
        <v>26113</v>
      </c>
      <c r="AL187" s="1488">
        <f>ROUND('maruchan inc'!AG97,-2)</f>
        <v>40100</v>
      </c>
      <c r="AM187" s="1488">
        <f>ROUND('maruchan inc'!AH97,-2)</f>
        <v>42300</v>
      </c>
      <c r="AN187" s="1488">
        <f>ROUND('maruchan inc'!AI97,-2)</f>
        <v>43600</v>
      </c>
      <c r="AO187" s="1488">
        <f>ROUND('maruchan inc'!AJ97,-2)</f>
        <v>45300</v>
      </c>
      <c r="AP187" s="1488">
        <f>ROUND('maruchan inc'!AK97,-2)</f>
        <v>47200</v>
      </c>
      <c r="AQ187" s="1349"/>
      <c r="AR187" s="1349">
        <f>+Quarterly!KH74</f>
        <v>33200</v>
      </c>
      <c r="AS187" s="1349"/>
      <c r="AT187" s="1349">
        <f>+Quarterly!KM74</f>
        <v>23900</v>
      </c>
      <c r="AU187" s="1349">
        <f>+Quarterly!KW74</f>
        <v>13500</v>
      </c>
      <c r="AV187" s="1349"/>
      <c r="AW187" s="1349"/>
      <c r="AX187" s="1349"/>
      <c r="AY187" s="1349"/>
      <c r="AZ187" s="1349"/>
      <c r="BA187" s="1349"/>
      <c r="BB187" s="1349"/>
      <c r="BC187" s="1349"/>
      <c r="BD187" s="1349"/>
      <c r="BE187" s="1349"/>
      <c r="BF187" s="1349"/>
      <c r="BG187" s="1349"/>
      <c r="BH187" s="1349"/>
      <c r="BI187" s="1349"/>
      <c r="BJ187" s="1349"/>
      <c r="BK187" s="1349"/>
      <c r="BL187" s="1349"/>
      <c r="BM187" s="1349"/>
    </row>
    <row r="188" spans="1:65" s="1664" customFormat="1">
      <c r="B188" s="2167" t="s">
        <v>1477</v>
      </c>
      <c r="C188" s="2167" t="s">
        <v>1477</v>
      </c>
      <c r="D188" s="2167"/>
      <c r="E188" s="2167"/>
      <c r="F188" s="2167"/>
      <c r="G188" s="2167"/>
      <c r="H188" s="2167"/>
      <c r="I188" s="2167"/>
      <c r="J188" s="2167"/>
      <c r="K188" s="2167"/>
      <c r="L188" s="2167"/>
      <c r="M188" s="2167"/>
      <c r="N188" s="2167"/>
      <c r="O188" s="2167"/>
      <c r="P188" s="2167"/>
      <c r="Q188" s="2167"/>
      <c r="R188" s="2167"/>
      <c r="S188" s="2167"/>
      <c r="T188" s="2167"/>
      <c r="U188" s="2167"/>
      <c r="V188" s="2167"/>
      <c r="W188" s="2167"/>
      <c r="X188" s="2167"/>
      <c r="Y188" s="2167"/>
      <c r="Z188" s="2167"/>
      <c r="AA188" s="2167"/>
      <c r="AB188" s="2167"/>
      <c r="AC188" s="2167"/>
      <c r="AD188" s="2167">
        <f t="shared" ref="AD188:AJ188" si="431">+AD187/AC187-1</f>
        <v>-0.15457627118644068</v>
      </c>
      <c r="AE188" s="2167">
        <f t="shared" si="431"/>
        <v>-4.7714514835605404E-2</v>
      </c>
      <c r="AF188" s="2167">
        <f t="shared" si="431"/>
        <v>0.29473684210526319</v>
      </c>
      <c r="AG188" s="2167">
        <f t="shared" si="431"/>
        <v>0.30081300813008127</v>
      </c>
      <c r="AH188" s="2167">
        <f t="shared" si="431"/>
        <v>0</v>
      </c>
      <c r="AI188" s="2167">
        <f>+AI187/AG187-1</f>
        <v>-0.37143749999999998</v>
      </c>
      <c r="AJ188" s="2167">
        <f t="shared" si="431"/>
        <v>4.2756289151835158E-3</v>
      </c>
      <c r="AK188" s="2168">
        <f>+AK187/AI187-1</f>
        <v>1.5964999502833845</v>
      </c>
      <c r="AL188" s="2167">
        <f>+AL187/AK187-1</f>
        <v>0.53563359246352382</v>
      </c>
      <c r="AM188" s="2167">
        <f t="shared" ref="AM188:AP188" si="432">+AM187/AL187-1</f>
        <v>5.4862842892767993E-2</v>
      </c>
      <c r="AN188" s="2167">
        <f t="shared" si="432"/>
        <v>3.0732860520094496E-2</v>
      </c>
      <c r="AO188" s="2167">
        <f t="shared" si="432"/>
        <v>3.8990825688073327E-2</v>
      </c>
      <c r="AP188" s="2167">
        <f t="shared" si="432"/>
        <v>4.1942604856512133E-2</v>
      </c>
    </row>
    <row r="189" spans="1:65" s="1449" customFormat="1">
      <c r="A189" s="2164"/>
      <c r="B189" s="1909" t="s">
        <v>1478</v>
      </c>
      <c r="C189" s="1909" t="s">
        <v>1478</v>
      </c>
      <c r="D189" s="1912"/>
      <c r="E189" s="1912"/>
      <c r="F189" s="1912"/>
      <c r="G189" s="1912"/>
      <c r="H189" s="1912"/>
      <c r="I189" s="1912"/>
      <c r="J189" s="1912"/>
      <c r="K189" s="1912"/>
      <c r="L189" s="1912"/>
      <c r="M189" s="1912"/>
      <c r="N189" s="1912"/>
      <c r="O189" s="1912"/>
      <c r="P189" s="1912"/>
      <c r="Q189" s="1912"/>
      <c r="R189" s="1912"/>
      <c r="S189" s="1912"/>
      <c r="T189" s="1912"/>
      <c r="U189" s="1912"/>
      <c r="V189" s="1910">
        <f t="shared" ref="V189:AP189" si="433">V187/V74</f>
        <v>0.20477838750527649</v>
      </c>
      <c r="W189" s="1910">
        <f t="shared" si="433"/>
        <v>0.14837321432129266</v>
      </c>
      <c r="X189" s="1910">
        <f t="shared" si="433"/>
        <v>0.14395663579978804</v>
      </c>
      <c r="Y189" s="1910">
        <f t="shared" si="433"/>
        <v>0.18629865534324133</v>
      </c>
      <c r="Z189" s="1910">
        <f t="shared" si="433"/>
        <v>0.17409814323607428</v>
      </c>
      <c r="AA189" s="1910">
        <f t="shared" si="433"/>
        <v>0.14086146682188591</v>
      </c>
      <c r="AB189" s="1910">
        <f t="shared" si="433"/>
        <v>0.15503875968992248</v>
      </c>
      <c r="AC189" s="1910">
        <f t="shared" si="433"/>
        <v>0.16164383561643836</v>
      </c>
      <c r="AD189" s="1910">
        <f t="shared" si="433"/>
        <v>0.13656773628299201</v>
      </c>
      <c r="AE189" s="1910">
        <f t="shared" si="433"/>
        <v>0.11323003575685339</v>
      </c>
      <c r="AF189" s="1910">
        <f t="shared" si="433"/>
        <v>0.13820224719101123</v>
      </c>
      <c r="AG189" s="1910">
        <f t="shared" si="433"/>
        <v>0.1703940362087327</v>
      </c>
      <c r="AH189" s="1910">
        <f t="shared" si="433"/>
        <v>0.1703940362087327</v>
      </c>
      <c r="AI189" s="1910">
        <f t="shared" si="433"/>
        <v>8.8064798598949209E-2</v>
      </c>
      <c r="AJ189" s="1910">
        <f t="shared" si="433"/>
        <v>8.8441330998248691E-2</v>
      </c>
      <c r="AK189" s="1911">
        <f t="shared" si="433"/>
        <v>0.14639465392938433</v>
      </c>
      <c r="AL189" s="1910">
        <f t="shared" si="433"/>
        <v>0.18843984962406016</v>
      </c>
      <c r="AM189" s="1910">
        <f>AM187/AM74</f>
        <v>0.18968609865470851</v>
      </c>
      <c r="AN189" s="1910">
        <f t="shared" si="433"/>
        <v>0.18561089825457641</v>
      </c>
      <c r="AO189" s="1910">
        <f t="shared" si="433"/>
        <v>0.18310428455941793</v>
      </c>
      <c r="AP189" s="1910">
        <f t="shared" si="433"/>
        <v>0.18202853837254146</v>
      </c>
      <c r="AQ189" s="2165"/>
      <c r="AR189" s="2166">
        <f>AR187/AR74</f>
        <v>0.16641604010025063</v>
      </c>
      <c r="AS189" s="2165"/>
      <c r="AT189" s="2166">
        <f>AT187/AT74</f>
        <v>0.12989130434782609</v>
      </c>
      <c r="AU189" s="2166">
        <f>AU187/AU74</f>
        <v>0.13157894736842105</v>
      </c>
      <c r="AV189" s="2165"/>
      <c r="AW189" s="2165"/>
      <c r="AX189" s="2165"/>
      <c r="AY189" s="2165"/>
      <c r="AZ189" s="2165"/>
      <c r="BA189" s="2165"/>
      <c r="BB189" s="2165"/>
      <c r="BC189" s="2165"/>
      <c r="BD189" s="2165"/>
      <c r="BE189" s="2165"/>
      <c r="BF189" s="2165"/>
      <c r="BG189" s="2165"/>
      <c r="BH189" s="2165"/>
      <c r="BI189" s="2165"/>
      <c r="BJ189" s="2165"/>
      <c r="BK189" s="2165"/>
      <c r="BL189" s="2165"/>
      <c r="BM189" s="2165"/>
    </row>
    <row r="190" spans="1:65" s="1449" customFormat="1" ht="5.25" customHeight="1">
      <c r="B190" s="1904"/>
      <c r="U190" s="1441"/>
      <c r="V190" s="1441"/>
      <c r="W190" s="1453"/>
      <c r="X190" s="1453"/>
      <c r="Y190" s="1453"/>
      <c r="Z190" s="1453"/>
      <c r="AA190" s="1453"/>
      <c r="AB190" s="1453"/>
      <c r="AC190" s="1453"/>
      <c r="AD190" s="1453"/>
      <c r="AE190" s="1453"/>
      <c r="AF190" s="1453"/>
      <c r="AG190" s="1453"/>
      <c r="AH190" s="1962"/>
      <c r="AI190" s="1453"/>
      <c r="AJ190" s="1962"/>
      <c r="AK190" s="1905"/>
      <c r="AL190" s="1453"/>
      <c r="AM190" s="1453"/>
      <c r="AN190" s="1453"/>
      <c r="AO190" s="1453"/>
      <c r="AP190" s="1453"/>
      <c r="AQ190" s="1441"/>
      <c r="AR190" s="1664"/>
      <c r="AS190" s="1441"/>
      <c r="AT190" s="1664"/>
      <c r="AU190" s="1664"/>
    </row>
    <row r="191" spans="1:65">
      <c r="A191" s="1341"/>
      <c r="B191" s="1486" t="s">
        <v>1046</v>
      </c>
      <c r="C191" s="1487" t="s">
        <v>548</v>
      </c>
      <c r="D191" s="1488"/>
      <c r="E191" s="1488"/>
      <c r="F191" s="1488"/>
      <c r="G191" s="1488"/>
      <c r="H191" s="1488"/>
      <c r="I191" s="1488"/>
      <c r="J191" s="1488"/>
      <c r="K191" s="1488"/>
      <c r="L191" s="1488"/>
      <c r="M191" s="1488"/>
      <c r="N191" s="1488"/>
      <c r="O191" s="1488"/>
      <c r="P191" s="1488"/>
      <c r="Q191" s="1488"/>
      <c r="R191" s="1488"/>
      <c r="S191" s="1488"/>
      <c r="T191" s="1488"/>
      <c r="U191" s="1488"/>
      <c r="V191" s="1488">
        <v>12350</v>
      </c>
      <c r="W191" s="1488">
        <v>11640</v>
      </c>
      <c r="X191" s="1488">
        <v>10706</v>
      </c>
      <c r="Y191" s="1488">
        <v>12022</v>
      </c>
      <c r="Z191" s="1488">
        <v>12142</v>
      </c>
      <c r="AA191" s="1488">
        <f t="shared" ref="AA191:AP191" si="434">ROUND(Z191+AA194,-2)</f>
        <v>9000</v>
      </c>
      <c r="AB191" s="1488">
        <f t="shared" si="434"/>
        <v>9800</v>
      </c>
      <c r="AC191" s="1488">
        <f>ROUND(AB191+AC194,-2)</f>
        <v>10000</v>
      </c>
      <c r="AD191" s="1488">
        <f>ROUND(AC191+AD194,-2)</f>
        <v>8800</v>
      </c>
      <c r="AE191" s="1488">
        <f>ROUND(AD191+AE194,-2)</f>
        <v>8100</v>
      </c>
      <c r="AF191" s="1488">
        <f t="shared" si="434"/>
        <v>11400</v>
      </c>
      <c r="AG191" s="1488">
        <f t="shared" si="434"/>
        <v>13800</v>
      </c>
      <c r="AH191" s="1912">
        <f>ROUND(AG191+AH194,-2)</f>
        <v>11100</v>
      </c>
      <c r="AI191" s="1488">
        <f>+Quarterly!IR102</f>
        <v>10849</v>
      </c>
      <c r="AJ191" s="1912">
        <f>ROUND(AI191+AJ194,-2)</f>
        <v>3800</v>
      </c>
      <c r="AK191" s="2163">
        <f>+Quarterly!JD102</f>
        <v>6708</v>
      </c>
      <c r="AL191" s="1488">
        <f>ROUND(AK191+AL194,-2)</f>
        <v>9400</v>
      </c>
      <c r="AM191" s="1488">
        <f t="shared" si="434"/>
        <v>11200</v>
      </c>
      <c r="AN191" s="1488">
        <f t="shared" si="434"/>
        <v>11700</v>
      </c>
      <c r="AO191" s="1488">
        <f t="shared" si="434"/>
        <v>11800</v>
      </c>
      <c r="AP191" s="1488">
        <f t="shared" si="434"/>
        <v>11800</v>
      </c>
      <c r="AQ191" s="1349"/>
      <c r="AR191" s="1349">
        <f>+Quarterly!KH102</f>
        <v>8000</v>
      </c>
      <c r="AS191" s="1349"/>
      <c r="AT191" s="1349">
        <f>+Quarterly!KM102</f>
        <v>8500</v>
      </c>
      <c r="AU191" s="1349">
        <f>+Quarterly!KW102</f>
        <v>12000</v>
      </c>
      <c r="AV191" s="1349"/>
      <c r="AW191" s="1349"/>
      <c r="AX191" s="1349"/>
      <c r="AY191" s="1349"/>
      <c r="AZ191" s="1349"/>
      <c r="BA191" s="1349"/>
      <c r="BB191" s="1349"/>
      <c r="BC191" s="1349"/>
      <c r="BD191" s="1349"/>
      <c r="BE191" s="1349"/>
      <c r="BF191" s="1349"/>
      <c r="BG191" s="1349"/>
      <c r="BH191" s="1349"/>
      <c r="BI191" s="1349"/>
      <c r="BJ191" s="1349"/>
      <c r="BK191" s="1349"/>
      <c r="BL191" s="1349"/>
      <c r="BM191" s="1349"/>
    </row>
    <row r="192" spans="1:65" s="1664" customFormat="1">
      <c r="B192" s="2167" t="s">
        <v>1477</v>
      </c>
      <c r="C192" s="2167" t="s">
        <v>1477</v>
      </c>
      <c r="D192" s="2167"/>
      <c r="E192" s="2167"/>
      <c r="F192" s="2167"/>
      <c r="G192" s="2167"/>
      <c r="H192" s="2167"/>
      <c r="I192" s="2167"/>
      <c r="J192" s="2167"/>
      <c r="K192" s="2167"/>
      <c r="L192" s="2167"/>
      <c r="M192" s="2167"/>
      <c r="N192" s="2167"/>
      <c r="O192" s="2167"/>
      <c r="P192" s="2167"/>
      <c r="Q192" s="2167"/>
      <c r="R192" s="2167"/>
      <c r="S192" s="2167"/>
      <c r="T192" s="2167"/>
      <c r="U192" s="2167"/>
      <c r="V192" s="2167"/>
      <c r="W192" s="2167"/>
      <c r="X192" s="2167"/>
      <c r="Y192" s="2167"/>
      <c r="Z192" s="2167"/>
      <c r="AA192" s="2167"/>
      <c r="AB192" s="2167"/>
      <c r="AC192" s="2167"/>
      <c r="AD192" s="2167">
        <f t="shared" ref="AD192" si="435">+AD191/AC191-1</f>
        <v>-0.12</v>
      </c>
      <c r="AE192" s="2167">
        <f t="shared" ref="AE192" si="436">+AE191/AD191-1</f>
        <v>-7.9545454545454586E-2</v>
      </c>
      <c r="AF192" s="2167">
        <f t="shared" ref="AF192" si="437">+AF191/AE191-1</f>
        <v>0.40740740740740744</v>
      </c>
      <c r="AG192" s="2167">
        <f t="shared" ref="AG192" si="438">+AG191/AF191-1</f>
        <v>0.21052631578947367</v>
      </c>
      <c r="AH192" s="2167">
        <f>+AH191/AG191-1</f>
        <v>-0.19565217391304346</v>
      </c>
      <c r="AI192" s="2167">
        <f>+AI191/AG191-1</f>
        <v>-0.21384057971014492</v>
      </c>
      <c r="AJ192" s="2167">
        <f t="shared" ref="AJ192" si="439">+AJ191/AI191-1</f>
        <v>-0.64973730297723287</v>
      </c>
      <c r="AK192" s="2168">
        <f>+AK191/AI191-1</f>
        <v>-0.38169416536086276</v>
      </c>
      <c r="AL192" s="2167">
        <f>+AL191/AK191-1</f>
        <v>0.40131186642814543</v>
      </c>
      <c r="AM192" s="2167">
        <f t="shared" ref="AM192" si="440">+AM191/AL191-1</f>
        <v>0.1914893617021276</v>
      </c>
      <c r="AN192" s="2167">
        <f t="shared" ref="AN192" si="441">+AN191/AM191-1</f>
        <v>4.4642857142857206E-2</v>
      </c>
      <c r="AO192" s="2167">
        <f t="shared" ref="AO192" si="442">+AO191/AN191-1</f>
        <v>8.5470085470085166E-3</v>
      </c>
      <c r="AP192" s="2167">
        <f t="shared" ref="AP192" si="443">+AP191/AO191-1</f>
        <v>0</v>
      </c>
    </row>
    <row r="193" spans="1:65" s="1449" customFormat="1">
      <c r="A193" s="2164"/>
      <c r="B193" s="1909" t="s">
        <v>1478</v>
      </c>
      <c r="C193" s="1909" t="s">
        <v>1478</v>
      </c>
      <c r="D193" s="1912"/>
      <c r="E193" s="1912"/>
      <c r="F193" s="1912"/>
      <c r="G193" s="1912"/>
      <c r="H193" s="1912"/>
      <c r="I193" s="1912"/>
      <c r="J193" s="1912"/>
      <c r="K193" s="1912"/>
      <c r="L193" s="1912"/>
      <c r="M193" s="1912"/>
      <c r="N193" s="1912"/>
      <c r="O193" s="1912"/>
      <c r="P193" s="1912"/>
      <c r="Q193" s="1912"/>
      <c r="R193" s="1912"/>
      <c r="S193" s="1912"/>
      <c r="T193" s="1912"/>
      <c r="U193" s="1912"/>
      <c r="V193" s="1910">
        <f t="shared" ref="V193:AR193" si="444">V191/V77</f>
        <v>0.12727891086353846</v>
      </c>
      <c r="W193" s="1910">
        <f t="shared" si="444"/>
        <v>0.114392413149231</v>
      </c>
      <c r="X193" s="1910">
        <f t="shared" si="444"/>
        <v>0.10039573135280107</v>
      </c>
      <c r="Y193" s="1910">
        <f t="shared" si="444"/>
        <v>0.10277497563561133</v>
      </c>
      <c r="Z193" s="1910">
        <f t="shared" si="444"/>
        <v>9.7291666666666665E-2</v>
      </c>
      <c r="AA193" s="1910">
        <f t="shared" si="444"/>
        <v>7.6660988074957415E-2</v>
      </c>
      <c r="AB193" s="1910">
        <f t="shared" si="444"/>
        <v>7.909604519774012E-2</v>
      </c>
      <c r="AC193" s="1910">
        <f t="shared" si="444"/>
        <v>7.9302141157811257E-2</v>
      </c>
      <c r="AD193" s="1910">
        <f t="shared" si="444"/>
        <v>6.8164213787761427E-2</v>
      </c>
      <c r="AE193" s="1910">
        <f t="shared" si="444"/>
        <v>6.3479623824451409E-2</v>
      </c>
      <c r="AF193" s="1910">
        <f t="shared" si="444"/>
        <v>8.5521380345086273E-2</v>
      </c>
      <c r="AG193" s="1910">
        <f t="shared" si="444"/>
        <v>0.10237388724035608</v>
      </c>
      <c r="AH193" s="1910">
        <f t="shared" si="444"/>
        <v>0.11659663865546219</v>
      </c>
      <c r="AI193" s="1910">
        <f t="shared" si="444"/>
        <v>0.1136020942408377</v>
      </c>
      <c r="AJ193" s="1910">
        <f t="shared" si="444"/>
        <v>4.3528064146620846E-2</v>
      </c>
      <c r="AK193" s="1911">
        <f t="shared" si="444"/>
        <v>6.8704870179751118E-2</v>
      </c>
      <c r="AL193" s="1910">
        <f t="shared" si="444"/>
        <v>9.3625498007968128E-2</v>
      </c>
      <c r="AM193" s="1910">
        <f t="shared" si="444"/>
        <v>0.11045364891518737</v>
      </c>
      <c r="AN193" s="1910">
        <f t="shared" si="444"/>
        <v>0.11584158415841585</v>
      </c>
      <c r="AO193" s="1910">
        <f t="shared" si="444"/>
        <v>0.11625615763546798</v>
      </c>
      <c r="AP193" s="1910">
        <f t="shared" si="444"/>
        <v>0.11614173228346457</v>
      </c>
      <c r="AQ193" s="2165"/>
      <c r="AR193" s="2166">
        <f t="shared" si="444"/>
        <v>0.08</v>
      </c>
      <c r="AS193" s="2165"/>
      <c r="AT193" s="2166"/>
      <c r="AU193" s="2166"/>
      <c r="AV193" s="2165"/>
      <c r="AW193" s="2165"/>
      <c r="AX193" s="2165"/>
      <c r="AY193" s="2165"/>
      <c r="AZ193" s="2165"/>
      <c r="BA193" s="2165"/>
      <c r="BB193" s="2165"/>
      <c r="BC193" s="2165"/>
      <c r="BD193" s="2165"/>
      <c r="BE193" s="2165"/>
      <c r="BF193" s="2165"/>
      <c r="BG193" s="2165"/>
      <c r="BH193" s="2165"/>
      <c r="BI193" s="2165"/>
      <c r="BJ193" s="2165"/>
      <c r="BK193" s="2165"/>
      <c r="BL193" s="2165"/>
      <c r="BM193" s="2165"/>
    </row>
    <row r="194" spans="1:65">
      <c r="A194" s="1341"/>
      <c r="B194" s="2171" t="s">
        <v>1047</v>
      </c>
      <c r="C194" s="2172" t="s">
        <v>1479</v>
      </c>
      <c r="D194" s="2173"/>
      <c r="E194" s="2173"/>
      <c r="F194" s="2173"/>
      <c r="G194" s="2173"/>
      <c r="H194" s="2173"/>
      <c r="I194" s="2173"/>
      <c r="J194" s="2173"/>
      <c r="K194" s="2173"/>
      <c r="L194" s="2173"/>
      <c r="M194" s="2173"/>
      <c r="N194" s="2173"/>
      <c r="O194" s="2173"/>
      <c r="P194" s="2173"/>
      <c r="Q194" s="2173"/>
      <c r="R194" s="2173"/>
      <c r="S194" s="2173"/>
      <c r="T194" s="2173"/>
      <c r="U194" s="2173"/>
      <c r="V194" s="2174"/>
      <c r="W194" s="2175">
        <f>W191-V191</f>
        <v>-710</v>
      </c>
      <c r="X194" s="2175">
        <f>X191-W191</f>
        <v>-934</v>
      </c>
      <c r="Y194" s="2175">
        <f>ROUND(Y198+Y201+Y218+Y219,-2)</f>
        <v>1300</v>
      </c>
      <c r="Z194" s="2175">
        <f>Z191-Y191</f>
        <v>120</v>
      </c>
      <c r="AA194" s="2175">
        <f>ROUND(AA198+AA201+AA218+AA219,-2)</f>
        <v>-3100</v>
      </c>
      <c r="AB194" s="2175">
        <f>ROUND(AB198+AB201+AB218+AB219,-2)</f>
        <v>800</v>
      </c>
      <c r="AC194" s="2175">
        <f>ROUND(AC198+AC201+AC218+AC219,-2)</f>
        <v>200</v>
      </c>
      <c r="AD194" s="2175">
        <f>ROUND(AD198+AD201+AD218+AD219,-2)</f>
        <v>-1200</v>
      </c>
      <c r="AE194" s="2175">
        <f>ROUND(AE198+AE201+AE218+AE219,-2)</f>
        <v>-700</v>
      </c>
      <c r="AF194" s="2175">
        <f>ROUND(AF198+AF201+AF218+AF219+AF220,-2)</f>
        <v>3300</v>
      </c>
      <c r="AG194" s="2175">
        <f>ROUND(AG198+AG201+AG218+AG219+AG220,-2)</f>
        <v>2400</v>
      </c>
      <c r="AH194" s="2176">
        <f>ROUND(AH198+AH201+AH218+AH219+AH220,-2)</f>
        <v>-2700</v>
      </c>
      <c r="AI194" s="2175">
        <f>ROUND(AI198+AI201+AI218+AI219+AI220,-2)</f>
        <v>-12500</v>
      </c>
      <c r="AJ194" s="2176">
        <f>ROUND(AJ198+AJ201+AJ218+AJ219+AJ220,-2)</f>
        <v>-7000</v>
      </c>
      <c r="AK194" s="2177">
        <f>+AK197+AK200+AK201+AK218+AK219</f>
        <v>-4710</v>
      </c>
      <c r="AL194" s="2175">
        <f>+AL197+AL200+AL201+AL218+AL219</f>
        <v>2700</v>
      </c>
      <c r="AM194" s="2175">
        <f t="shared" ref="AM194:AP194" si="445">+AM197+AM200+AM201+AM218+AM219</f>
        <v>1760</v>
      </c>
      <c r="AN194" s="2175">
        <f t="shared" si="445"/>
        <v>510</v>
      </c>
      <c r="AO194" s="2175">
        <f t="shared" si="445"/>
        <v>100</v>
      </c>
      <c r="AP194" s="2175">
        <f t="shared" si="445"/>
        <v>0</v>
      </c>
      <c r="AQ194" s="1349"/>
      <c r="AR194" s="1341">
        <f>+AR191-R191</f>
        <v>8000</v>
      </c>
      <c r="AS194" s="1349"/>
      <c r="AT194" s="1341">
        <f>+AT191-T191</f>
        <v>8500</v>
      </c>
      <c r="AU194" s="1341">
        <f>+AU191-U191</f>
        <v>12000</v>
      </c>
      <c r="AV194" s="1349"/>
      <c r="AW194" s="1349"/>
      <c r="AX194" s="1349"/>
      <c r="AY194" s="1349"/>
      <c r="AZ194" s="1349"/>
      <c r="BA194" s="1349"/>
      <c r="BB194" s="1349"/>
      <c r="BC194" s="1349"/>
      <c r="BD194" s="1349"/>
      <c r="BE194" s="1349"/>
      <c r="BF194" s="1349"/>
      <c r="BG194" s="1349"/>
      <c r="BH194" s="1349"/>
      <c r="BI194" s="1349"/>
      <c r="BJ194" s="1349"/>
      <c r="BK194" s="1349"/>
      <c r="BL194" s="1349"/>
      <c r="BM194" s="1349"/>
    </row>
    <row r="195" spans="1:65" hidden="1" outlineLevel="1">
      <c r="A195" s="1341"/>
      <c r="B195" s="2190"/>
      <c r="C195" s="2191"/>
      <c r="D195" s="2192"/>
      <c r="E195" s="2192"/>
      <c r="F195" s="2192"/>
      <c r="G195" s="2192"/>
      <c r="H195" s="2192"/>
      <c r="I195" s="2192"/>
      <c r="J195" s="2192"/>
      <c r="K195" s="2192"/>
      <c r="L195" s="2192"/>
      <c r="M195" s="2192"/>
      <c r="N195" s="2192"/>
      <c r="O195" s="2192"/>
      <c r="P195" s="2192"/>
      <c r="Q195" s="2192"/>
      <c r="R195" s="2192"/>
      <c r="S195" s="2192"/>
      <c r="T195" s="2192"/>
      <c r="U195" s="2192"/>
      <c r="V195" s="2193"/>
      <c r="W195" s="2193"/>
      <c r="X195" s="2193"/>
      <c r="Y195" s="2193"/>
      <c r="Z195" s="2193"/>
      <c r="AA195" s="2193"/>
      <c r="AB195" s="2193"/>
      <c r="AC195" s="2193"/>
      <c r="AD195" s="2193"/>
      <c r="AE195" s="2193"/>
      <c r="AF195" s="2193"/>
      <c r="AG195" s="2193"/>
      <c r="AH195" s="2194"/>
      <c r="AI195" s="2193">
        <f t="shared" ref="AI195" si="446">ROUND((AI77-AH77),-2)</f>
        <v>300</v>
      </c>
      <c r="AJ195" s="2193"/>
      <c r="AK195" s="2193">
        <f>ROUND((AK77-AI77),-2)</f>
        <v>2100</v>
      </c>
      <c r="AL195" s="2193">
        <f>ROUND((AL77-AK77),-2)</f>
        <v>2800</v>
      </c>
      <c r="AM195" s="2193">
        <f t="shared" ref="AM195:AP195" si="447">ROUND((AM77-AL77),-2)</f>
        <v>1000</v>
      </c>
      <c r="AN195" s="2193">
        <f t="shared" si="447"/>
        <v>-400</v>
      </c>
      <c r="AO195" s="2193">
        <f t="shared" si="447"/>
        <v>500</v>
      </c>
      <c r="AP195" s="2193">
        <f t="shared" si="447"/>
        <v>100</v>
      </c>
      <c r="AQ195" s="1349"/>
      <c r="AR195" s="1349"/>
      <c r="AS195" s="1349"/>
      <c r="AT195" s="1349"/>
      <c r="AU195" s="1349"/>
      <c r="AV195" s="1349"/>
      <c r="AW195" s="1349"/>
      <c r="AX195" s="1349"/>
      <c r="AY195" s="1349"/>
      <c r="AZ195" s="1349"/>
      <c r="BA195" s="1349"/>
      <c r="BB195" s="1349"/>
      <c r="BC195" s="1349"/>
      <c r="BD195" s="1349"/>
      <c r="BE195" s="1349"/>
      <c r="BF195" s="1349"/>
      <c r="BG195" s="1349"/>
      <c r="BH195" s="1349"/>
      <c r="BI195" s="1349"/>
      <c r="BJ195" s="1349"/>
      <c r="BK195" s="1349"/>
      <c r="BL195" s="1349"/>
      <c r="BM195" s="1349"/>
    </row>
    <row r="196" spans="1:65" collapsed="1">
      <c r="A196" s="1341"/>
      <c r="B196" s="1350" t="s">
        <v>1480</v>
      </c>
      <c r="C196" s="1" t="s">
        <v>1480</v>
      </c>
      <c r="D196" s="1349"/>
      <c r="E196" s="1349"/>
      <c r="F196" s="1349"/>
      <c r="G196" s="1349"/>
      <c r="H196" s="1349"/>
      <c r="I196" s="1349"/>
      <c r="J196" s="1349"/>
      <c r="K196" s="1349"/>
      <c r="L196" s="1349"/>
      <c r="M196" s="1349"/>
      <c r="N196" s="1349"/>
      <c r="O196" s="1349"/>
      <c r="P196" s="1349"/>
      <c r="Q196" s="1349"/>
      <c r="R196" s="1349"/>
      <c r="S196" s="1349"/>
      <c r="T196" s="1349"/>
      <c r="U196" s="1349"/>
      <c r="V196" s="367"/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1441"/>
      <c r="AI196" s="367"/>
      <c r="AJ196" s="367"/>
      <c r="AK196" s="367">
        <f>+ROUND(AI77*(AK99),-2)</f>
        <v>-4800</v>
      </c>
      <c r="AL196" s="367">
        <f>+ROUND(AK94*(AL99)+AK79*AL83,-2)</f>
        <v>-4400</v>
      </c>
      <c r="AM196" s="367">
        <f t="shared" ref="AM196:AP196" si="448">+ROUND(AL94*(AM99)+AL79*AM83,-2)</f>
        <v>1000</v>
      </c>
      <c r="AN196" s="367">
        <f t="shared" si="448"/>
        <v>-300</v>
      </c>
      <c r="AO196" s="367">
        <f t="shared" si="448"/>
        <v>500</v>
      </c>
      <c r="AP196" s="367">
        <f t="shared" si="448"/>
        <v>100</v>
      </c>
      <c r="AQ196" s="1349"/>
      <c r="AR196" s="1349"/>
      <c r="AS196" s="1349"/>
      <c r="AT196" s="1349"/>
      <c r="AU196" s="1349"/>
      <c r="AV196" s="1349"/>
      <c r="AW196" s="1349"/>
      <c r="AX196" s="1349"/>
      <c r="AY196" s="1349"/>
      <c r="AZ196" s="1349"/>
      <c r="BA196" s="1349"/>
      <c r="BB196" s="1349"/>
      <c r="BC196" s="1349"/>
      <c r="BD196" s="1349"/>
      <c r="BE196" s="1349"/>
      <c r="BF196" s="1349"/>
      <c r="BG196" s="1349"/>
      <c r="BH196" s="1349"/>
      <c r="BI196" s="1349"/>
      <c r="BJ196" s="1349"/>
      <c r="BK196" s="1349"/>
      <c r="BL196" s="1349"/>
      <c r="BM196" s="1349"/>
    </row>
    <row r="197" spans="1:65">
      <c r="A197" s="1341"/>
      <c r="B197" s="2178" t="s">
        <v>1481</v>
      </c>
      <c r="C197" s="2013" t="s">
        <v>1481</v>
      </c>
      <c r="D197" s="2179"/>
      <c r="E197" s="2179"/>
      <c r="F197" s="2179"/>
      <c r="G197" s="2179"/>
      <c r="H197" s="2179"/>
      <c r="I197" s="2179"/>
      <c r="J197" s="2179"/>
      <c r="K197" s="2179"/>
      <c r="L197" s="2179"/>
      <c r="M197" s="2179"/>
      <c r="N197" s="2179"/>
      <c r="O197" s="2179"/>
      <c r="P197" s="2179"/>
      <c r="Q197" s="2179"/>
      <c r="R197" s="2179"/>
      <c r="S197" s="2179"/>
      <c r="T197" s="2179"/>
      <c r="U197" s="2179"/>
      <c r="V197" s="2015"/>
      <c r="W197" s="2015"/>
      <c r="X197" s="2015"/>
      <c r="Y197" s="2015"/>
      <c r="Z197" s="2015"/>
      <c r="AA197" s="2015"/>
      <c r="AB197" s="2015"/>
      <c r="AC197" s="2015"/>
      <c r="AD197" s="2015"/>
      <c r="AE197" s="2015"/>
      <c r="AF197" s="2015"/>
      <c r="AG197" s="2015"/>
      <c r="AH197" s="2016"/>
      <c r="AI197" s="2015"/>
      <c r="AJ197" s="2015"/>
      <c r="AK197" s="2071">
        <f>+ROUND(AK196*AK199,-2)</f>
        <v>-1400</v>
      </c>
      <c r="AL197" s="2071">
        <f>+ROUND(AL196*AL199,-2)</f>
        <v>-2000</v>
      </c>
      <c r="AM197" s="2015">
        <f t="shared" ref="AM197:AP197" si="449">+ROUND(AM196*AM199,-2)</f>
        <v>500</v>
      </c>
      <c r="AN197" s="2015">
        <f t="shared" si="449"/>
        <v>-100</v>
      </c>
      <c r="AO197" s="2015">
        <f t="shared" si="449"/>
        <v>200</v>
      </c>
      <c r="AP197" s="2015">
        <f t="shared" si="449"/>
        <v>0</v>
      </c>
      <c r="AQ197" s="1349"/>
      <c r="AR197" s="1349"/>
      <c r="AS197" s="1349"/>
      <c r="AT197" s="1349"/>
      <c r="AU197" s="1349"/>
      <c r="AV197" s="1349"/>
      <c r="AW197" s="1349"/>
      <c r="AX197" s="1349"/>
      <c r="AY197" s="1349"/>
      <c r="AZ197" s="1349"/>
      <c r="BA197" s="1349"/>
      <c r="BB197" s="1349"/>
      <c r="BC197" s="1349"/>
      <c r="BD197" s="1349"/>
      <c r="BE197" s="1349"/>
      <c r="BF197" s="1349"/>
      <c r="BG197" s="1349"/>
      <c r="BH197" s="1349"/>
      <c r="BI197" s="1349"/>
      <c r="BJ197" s="1349"/>
      <c r="BK197" s="1349"/>
      <c r="BL197" s="1349"/>
      <c r="BM197" s="1349"/>
    </row>
    <row r="198" spans="1:65" outlineLevel="1">
      <c r="A198" s="1341"/>
      <c r="B198" s="2190" t="s">
        <v>1048</v>
      </c>
      <c r="C198" s="2191" t="s">
        <v>1396</v>
      </c>
      <c r="D198" s="2192"/>
      <c r="E198" s="2192"/>
      <c r="F198" s="2192"/>
      <c r="G198" s="2192"/>
      <c r="H198" s="2192"/>
      <c r="I198" s="2192"/>
      <c r="J198" s="2192"/>
      <c r="K198" s="2192"/>
      <c r="L198" s="2192"/>
      <c r="M198" s="2192"/>
      <c r="N198" s="2192"/>
      <c r="O198" s="2192"/>
      <c r="P198" s="2192"/>
      <c r="Q198" s="2192"/>
      <c r="R198" s="2192"/>
      <c r="S198" s="2192"/>
      <c r="T198" s="2192"/>
      <c r="U198" s="2192"/>
      <c r="V198" s="2193"/>
      <c r="W198" s="2193">
        <v>1500</v>
      </c>
      <c r="X198" s="2193">
        <v>1500</v>
      </c>
      <c r="Y198" s="2193">
        <f t="shared" ref="Y198:AE198" si="450">Y199*(Y77-X77)</f>
        <v>3100.7999999999997</v>
      </c>
      <c r="Z198" s="2193">
        <f t="shared" si="450"/>
        <v>2347.7999999999997</v>
      </c>
      <c r="AA198" s="2193">
        <f t="shared" si="450"/>
        <v>-2220</v>
      </c>
      <c r="AB198" s="2193">
        <f t="shared" si="450"/>
        <v>2600</v>
      </c>
      <c r="AC198" s="2193">
        <f t="shared" si="450"/>
        <v>770</v>
      </c>
      <c r="AD198" s="2193">
        <f t="shared" si="450"/>
        <v>900</v>
      </c>
      <c r="AE198" s="2193">
        <f t="shared" si="450"/>
        <v>-450</v>
      </c>
      <c r="AF198" s="2193">
        <f>AF199*(AF77-AE77-AF220)</f>
        <v>390</v>
      </c>
      <c r="AG198" s="2193">
        <f>AG199*(AG77-AF77-AG220)</f>
        <v>150</v>
      </c>
      <c r="AH198" s="2194">
        <f>AH199*((AH77-AH121)-AG77)</f>
        <v>120</v>
      </c>
      <c r="AI198" s="2193">
        <f>AI199*((AI77-AI121)-AG77)</f>
        <v>-11790</v>
      </c>
      <c r="AJ198" s="2193">
        <f>AJ199*(AJ77-AJ120-AI77)</f>
        <v>-4522.8</v>
      </c>
      <c r="AK198" s="2193">
        <f>ROUND(AK199*(AK77-AK120-AI77),-2)</f>
        <v>-2300</v>
      </c>
      <c r="AL198" s="2193">
        <f>ROUND(AL199*(AL77-AK77),-2)</f>
        <v>1200</v>
      </c>
      <c r="AM198" s="2193">
        <f>ROUND(AM199*(AM77-AL77),-2)</f>
        <v>500</v>
      </c>
      <c r="AN198" s="2193">
        <f t="shared" ref="AN198:AP198" si="451">ROUND(AN199*(AN77-AM77),-2)</f>
        <v>-200</v>
      </c>
      <c r="AO198" s="2193">
        <f t="shared" si="451"/>
        <v>200</v>
      </c>
      <c r="AP198" s="2193">
        <f t="shared" si="451"/>
        <v>0</v>
      </c>
      <c r="AQ198" s="1349"/>
      <c r="AR198" s="1349">
        <f>+Quarterly!KH106</f>
        <v>6400</v>
      </c>
      <c r="AS198" s="1349"/>
      <c r="AT198" s="1349">
        <f>+Quarterly!KM106</f>
        <v>7900</v>
      </c>
      <c r="AU198" s="1349">
        <f>+Quarterly!KW106</f>
        <v>-600</v>
      </c>
      <c r="AV198" s="1349"/>
      <c r="AW198" s="1349"/>
      <c r="AX198" s="1349"/>
      <c r="AY198" s="1349"/>
      <c r="AZ198" s="1349"/>
      <c r="BA198" s="1349"/>
      <c r="BB198" s="1349"/>
      <c r="BC198" s="1349"/>
      <c r="BD198" s="1349"/>
      <c r="BE198" s="1349"/>
      <c r="BF198" s="1349"/>
      <c r="BG198" s="1349"/>
      <c r="BH198" s="1349"/>
      <c r="BI198" s="1349"/>
      <c r="BJ198" s="1349"/>
      <c r="BK198" s="1349"/>
      <c r="BL198" s="1349"/>
      <c r="BM198" s="1349"/>
    </row>
    <row r="199" spans="1:65">
      <c r="A199" s="1341"/>
      <c r="B199" s="1350" t="s">
        <v>1049</v>
      </c>
      <c r="C199" s="1" t="s">
        <v>1489</v>
      </c>
      <c r="D199" s="1349"/>
      <c r="E199" s="1349"/>
      <c r="F199" s="1349"/>
      <c r="G199" s="1349"/>
      <c r="H199" s="1349"/>
      <c r="I199" s="1349"/>
      <c r="J199" s="1349"/>
      <c r="K199" s="1349"/>
      <c r="L199" s="1349"/>
      <c r="M199" s="1349"/>
      <c r="N199" s="1349"/>
      <c r="O199" s="1349"/>
      <c r="P199" s="1349"/>
      <c r="Q199" s="1349"/>
      <c r="R199" s="1349"/>
      <c r="S199" s="1349"/>
      <c r="T199" s="1349"/>
      <c r="U199" s="1349"/>
      <c r="V199" s="367"/>
      <c r="W199" s="342">
        <f>W198/(W77-V77)</f>
        <v>0.31752751905165116</v>
      </c>
      <c r="X199" s="342">
        <f>X198/(X77-W77)</f>
        <v>0.30718820397296742</v>
      </c>
      <c r="Y199" s="288">
        <v>0.3</v>
      </c>
      <c r="Z199" s="288">
        <f>Y199</f>
        <v>0.3</v>
      </c>
      <c r="AA199" s="288">
        <f>Z199</f>
        <v>0.3</v>
      </c>
      <c r="AB199" s="288">
        <v>0.4</v>
      </c>
      <c r="AC199" s="288">
        <v>0.35</v>
      </c>
      <c r="AD199" s="288">
        <v>0.3</v>
      </c>
      <c r="AE199" s="288">
        <v>0.3</v>
      </c>
      <c r="AF199" s="288">
        <f t="shared" ref="AF199:AP199" si="452">+AE199</f>
        <v>0.3</v>
      </c>
      <c r="AG199" s="288">
        <f t="shared" si="452"/>
        <v>0.3</v>
      </c>
      <c r="AH199" s="1932">
        <f>+AG199</f>
        <v>0.3</v>
      </c>
      <c r="AI199" s="288">
        <f>+AG199</f>
        <v>0.3</v>
      </c>
      <c r="AJ199" s="1932">
        <f>+AI199</f>
        <v>0.3</v>
      </c>
      <c r="AK199" s="672">
        <f>+AI199</f>
        <v>0.3</v>
      </c>
      <c r="AL199" s="288">
        <v>0.45</v>
      </c>
      <c r="AM199" s="288">
        <f t="shared" si="452"/>
        <v>0.45</v>
      </c>
      <c r="AN199" s="288">
        <f t="shared" si="452"/>
        <v>0.45</v>
      </c>
      <c r="AO199" s="288">
        <f t="shared" si="452"/>
        <v>0.45</v>
      </c>
      <c r="AP199" s="288">
        <f t="shared" si="452"/>
        <v>0.45</v>
      </c>
      <c r="AQ199" s="1349"/>
      <c r="AR199" s="1349"/>
      <c r="AS199" s="1349"/>
      <c r="AT199" s="1349"/>
      <c r="AU199" s="1349"/>
      <c r="AV199" s="1349"/>
      <c r="AW199" s="1349"/>
      <c r="AX199" s="1349"/>
      <c r="AY199" s="1349"/>
      <c r="AZ199" s="1349"/>
      <c r="BA199" s="1349"/>
      <c r="BB199" s="1349"/>
      <c r="BC199" s="1349"/>
      <c r="BD199" s="1349"/>
      <c r="BE199" s="1349"/>
      <c r="BF199" s="1349"/>
      <c r="BG199" s="1349"/>
      <c r="BH199" s="1349"/>
      <c r="BI199" s="1349"/>
      <c r="BJ199" s="1349"/>
      <c r="BK199" s="1349"/>
      <c r="BL199" s="1349"/>
      <c r="BM199" s="1349"/>
    </row>
    <row r="200" spans="1:65">
      <c r="A200" s="1341"/>
      <c r="B200" s="2178"/>
      <c r="C200" s="2013" t="s">
        <v>1482</v>
      </c>
      <c r="D200" s="2179"/>
      <c r="E200" s="2179"/>
      <c r="F200" s="2179"/>
      <c r="G200" s="2179"/>
      <c r="H200" s="2179"/>
      <c r="I200" s="2179"/>
      <c r="J200" s="2179"/>
      <c r="K200" s="2179"/>
      <c r="L200" s="2179"/>
      <c r="M200" s="2179"/>
      <c r="N200" s="2179"/>
      <c r="O200" s="2179"/>
      <c r="P200" s="2179"/>
      <c r="Q200" s="2179"/>
      <c r="R200" s="2179"/>
      <c r="S200" s="2179"/>
      <c r="T200" s="2179"/>
      <c r="U200" s="2179"/>
      <c r="V200" s="2015"/>
      <c r="W200" s="2015"/>
      <c r="X200" s="2015"/>
      <c r="Y200" s="2015"/>
      <c r="Z200" s="2015"/>
      <c r="AA200" s="2015"/>
      <c r="AB200" s="2015"/>
      <c r="AC200" s="2015"/>
      <c r="AD200" s="2015"/>
      <c r="AE200" s="2015"/>
      <c r="AF200" s="2015"/>
      <c r="AG200" s="2015"/>
      <c r="AH200" s="2016"/>
      <c r="AI200" s="2015"/>
      <c r="AJ200" s="2016"/>
      <c r="AK200" s="2060">
        <f>+ROUND(AI77*(AK102),-2)</f>
        <v>6900</v>
      </c>
      <c r="AL200" s="2071">
        <f>+ROUND(AK77*(AL102),-2)+1200</f>
        <v>8500</v>
      </c>
      <c r="AM200" s="2015">
        <f>+ROUND(AL77*(AM102),-2)</f>
        <v>0</v>
      </c>
      <c r="AN200" s="2015">
        <f t="shared" ref="AN200:AP200" si="453">+ROUND(AM77*(AN102),-2)</f>
        <v>0</v>
      </c>
      <c r="AO200" s="2015">
        <f t="shared" si="453"/>
        <v>0</v>
      </c>
      <c r="AP200" s="2015">
        <f t="shared" si="453"/>
        <v>0</v>
      </c>
      <c r="AQ200" s="1349"/>
      <c r="AR200" s="1349"/>
      <c r="AS200" s="1349"/>
      <c r="AT200" s="1349"/>
      <c r="AU200" s="1349"/>
      <c r="AV200" s="1349"/>
      <c r="AW200" s="1349"/>
      <c r="AX200" s="1349"/>
      <c r="AY200" s="1349"/>
      <c r="AZ200" s="1349"/>
      <c r="BA200" s="1349"/>
      <c r="BB200" s="1349"/>
      <c r="BC200" s="1349"/>
      <c r="BD200" s="1349"/>
      <c r="BE200" s="1349"/>
      <c r="BF200" s="1349"/>
      <c r="BG200" s="1349"/>
      <c r="BH200" s="1349"/>
      <c r="BI200" s="1349"/>
      <c r="BJ200" s="1349"/>
      <c r="BK200" s="1349"/>
      <c r="BL200" s="1349"/>
      <c r="BM200" s="1349"/>
    </row>
    <row r="201" spans="1:65">
      <c r="A201" s="1341"/>
      <c r="B201" s="2178" t="s">
        <v>1050</v>
      </c>
      <c r="C201" s="2013" t="s">
        <v>1483</v>
      </c>
      <c r="D201" s="2179"/>
      <c r="E201" s="2179"/>
      <c r="F201" s="2179"/>
      <c r="G201" s="2179"/>
      <c r="H201" s="2179"/>
      <c r="I201" s="2179"/>
      <c r="J201" s="2179"/>
      <c r="K201" s="2179"/>
      <c r="L201" s="2179"/>
      <c r="M201" s="2179"/>
      <c r="N201" s="2179"/>
      <c r="O201" s="2179"/>
      <c r="P201" s="2179"/>
      <c r="Q201" s="2179"/>
      <c r="R201" s="2179"/>
      <c r="S201" s="2179"/>
      <c r="T201" s="2179"/>
      <c r="U201" s="2179"/>
      <c r="V201" s="2015"/>
      <c r="W201" s="2015">
        <v>-600</v>
      </c>
      <c r="X201" s="2015">
        <v>-600</v>
      </c>
      <c r="Y201" s="2015">
        <v>1000</v>
      </c>
      <c r="Z201" s="2015">
        <v>-600</v>
      </c>
      <c r="AA201" s="2015">
        <f t="shared" ref="AA201:AG201" si="454">-(AA202-Z202)</f>
        <v>-1260.374566360375</v>
      </c>
      <c r="AB201" s="2015">
        <f t="shared" si="454"/>
        <v>-270.99268438897161</v>
      </c>
      <c r="AC201" s="2015">
        <f>-(AC202-AB202)</f>
        <v>1330.4275821335559</v>
      </c>
      <c r="AD201" s="2015">
        <f>-(AD202-AC202)</f>
        <v>318.4871453982596</v>
      </c>
      <c r="AE201" s="2015">
        <f>-(AE202-AD202)</f>
        <v>-448.86547786349729</v>
      </c>
      <c r="AF201" s="2015">
        <f t="shared" si="454"/>
        <v>-241.82232814112103</v>
      </c>
      <c r="AG201" s="2015">
        <f t="shared" si="454"/>
        <v>268.67512318804984</v>
      </c>
      <c r="AH201" s="2016">
        <f>-(AH202-AG202)</f>
        <v>-2538.8127223625197</v>
      </c>
      <c r="AI201" s="2015">
        <f>-(AI202-AG202)</f>
        <v>-377.07531777308395</v>
      </c>
      <c r="AJ201" s="2016">
        <f>-(AJ202-AI202)</f>
        <v>-3830</v>
      </c>
      <c r="AK201" s="2017">
        <f>+AK204+AK210+AK217</f>
        <v>-6910</v>
      </c>
      <c r="AL201" s="2015">
        <f>+AL204+AL210+AL217</f>
        <v>-3400</v>
      </c>
      <c r="AM201" s="2015">
        <f>+AM204+AM210+AM217</f>
        <v>860</v>
      </c>
      <c r="AN201" s="2015">
        <f t="shared" ref="AN201:AP201" si="455">+AN204+AN210+AN217</f>
        <v>710</v>
      </c>
      <c r="AO201" s="2015">
        <f t="shared" si="455"/>
        <v>0</v>
      </c>
      <c r="AP201" s="2015">
        <f t="shared" si="455"/>
        <v>0</v>
      </c>
      <c r="AQ201" s="1349"/>
      <c r="AR201" s="1349">
        <f>+Quarterly!KH112</f>
        <v>-4300</v>
      </c>
      <c r="AS201" s="1349"/>
      <c r="AT201" s="1349">
        <f>+Quarterly!KM112</f>
        <v>-6700</v>
      </c>
      <c r="AU201" s="1349">
        <f>+Quarterly!KW112</f>
        <v>-900</v>
      </c>
      <c r="AV201" s="1349"/>
      <c r="AW201" s="1349"/>
      <c r="AX201" s="1349"/>
      <c r="AY201" s="1349"/>
      <c r="AZ201" s="1349"/>
      <c r="BA201" s="1349"/>
      <c r="BB201" s="1349"/>
      <c r="BC201" s="1349"/>
      <c r="BD201" s="1349"/>
      <c r="BE201" s="1349"/>
      <c r="BF201" s="1349"/>
      <c r="BG201" s="1349"/>
      <c r="BH201" s="1349"/>
      <c r="BI201" s="1349"/>
      <c r="BJ201" s="1349"/>
      <c r="BK201" s="1349"/>
      <c r="BL201" s="1349"/>
      <c r="BM201" s="1349"/>
    </row>
    <row r="202" spans="1:65">
      <c r="A202" s="1341"/>
      <c r="B202" s="1350" t="s">
        <v>1151</v>
      </c>
      <c r="C202" s="1" t="s">
        <v>547</v>
      </c>
      <c r="D202" s="1349"/>
      <c r="E202" s="1349"/>
      <c r="F202" s="1349"/>
      <c r="G202" s="1349"/>
      <c r="H202" s="1349"/>
      <c r="I202" s="1349"/>
      <c r="J202" s="1349"/>
      <c r="K202" s="1349"/>
      <c r="L202" s="1349"/>
      <c r="M202" s="1349"/>
      <c r="N202" s="1349"/>
      <c r="O202" s="1349"/>
      <c r="P202" s="1349"/>
      <c r="Q202" s="1349"/>
      <c r="R202" s="1349"/>
      <c r="S202" s="1349"/>
      <c r="T202" s="1349"/>
      <c r="U202" s="1349"/>
      <c r="V202" s="367"/>
      <c r="W202" s="367">
        <f t="shared" ref="W202:AB202" si="456">W203+W209+W216</f>
        <v>11060.295049999999</v>
      </c>
      <c r="X202" s="367">
        <f t="shared" si="456"/>
        <v>13977.477732140927</v>
      </c>
      <c r="Y202" s="367">
        <f t="shared" si="456"/>
        <v>12142.518516475851</v>
      </c>
      <c r="Z202" s="367">
        <f t="shared" si="456"/>
        <v>12678.459476192817</v>
      </c>
      <c r="AA202" s="367">
        <f t="shared" si="456"/>
        <v>13938.834042553191</v>
      </c>
      <c r="AB202" s="367">
        <f t="shared" si="456"/>
        <v>14209.826726942163</v>
      </c>
      <c r="AC202" s="367">
        <f>AC203+AC209+AC216</f>
        <v>12879.399144808607</v>
      </c>
      <c r="AD202" s="367">
        <f>AD203+AD209+AD216</f>
        <v>12560.911999410348</v>
      </c>
      <c r="AE202" s="367">
        <f>AE203+AE209+AE216</f>
        <v>13009.777477273845</v>
      </c>
      <c r="AF202" s="367">
        <f t="shared" ref="AF202:AH202" si="457">AF203+AF209+AF216</f>
        <v>13251.599805414966</v>
      </c>
      <c r="AG202" s="367">
        <f t="shared" si="457"/>
        <v>12982.924682226916</v>
      </c>
      <c r="AH202" s="1441">
        <f t="shared" si="457"/>
        <v>15521.737404589436</v>
      </c>
      <c r="AI202" s="367">
        <f t="shared" ref="AI202" si="458">AI203+AI209+AI216</f>
        <v>13360</v>
      </c>
      <c r="AJ202" s="1441">
        <f t="shared" ref="AJ202" si="459">AJ203+AJ209+AJ216</f>
        <v>17190</v>
      </c>
      <c r="AK202" s="1442">
        <f t="shared" ref="AK202" si="460">ROUND(AK203+AK209+AK216,-2)</f>
        <v>17500</v>
      </c>
      <c r="AL202" s="367">
        <f>ROUND(AL203+AL209+AL216,-2)</f>
        <v>18000</v>
      </c>
      <c r="AM202" s="367">
        <f t="shared" ref="AM202:AP202" si="461">ROUND(AM203+AM209+AM216,-2)</f>
        <v>18000</v>
      </c>
      <c r="AN202" s="367">
        <f t="shared" si="461"/>
        <v>17700</v>
      </c>
      <c r="AO202" s="367">
        <f t="shared" si="461"/>
        <v>17700</v>
      </c>
      <c r="AP202" s="367">
        <f t="shared" si="461"/>
        <v>17700</v>
      </c>
      <c r="AQ202" s="1349"/>
      <c r="AR202" s="1349"/>
      <c r="AS202" s="1349"/>
      <c r="AT202" s="1349"/>
      <c r="AU202" s="1349"/>
      <c r="AV202" s="1349"/>
      <c r="AW202" s="1349"/>
      <c r="AX202" s="1349"/>
      <c r="AY202" s="1349"/>
      <c r="AZ202" s="1349"/>
      <c r="BA202" s="1349"/>
      <c r="BB202" s="1349"/>
      <c r="BC202" s="1349"/>
      <c r="BD202" s="1349"/>
      <c r="BE202" s="1349"/>
      <c r="BF202" s="1349"/>
      <c r="BG202" s="1349"/>
      <c r="BH202" s="1349"/>
      <c r="BI202" s="1349"/>
      <c r="BJ202" s="1349"/>
      <c r="BK202" s="1349"/>
      <c r="BL202" s="1349"/>
      <c r="BM202" s="1349"/>
    </row>
    <row r="203" spans="1:65" hidden="1" outlineLevel="1">
      <c r="A203" s="1341"/>
      <c r="B203" s="2190" t="s">
        <v>1152</v>
      </c>
      <c r="C203" s="2191" t="s">
        <v>546</v>
      </c>
      <c r="D203" s="2192"/>
      <c r="E203" s="2192"/>
      <c r="F203" s="2192"/>
      <c r="G203" s="2192"/>
      <c r="H203" s="2192"/>
      <c r="I203" s="2192"/>
      <c r="J203" s="2192"/>
      <c r="K203" s="2192"/>
      <c r="L203" s="2192"/>
      <c r="M203" s="2192"/>
      <c r="N203" s="2192"/>
      <c r="O203" s="2192"/>
      <c r="P203" s="2192"/>
      <c r="Q203" s="2192"/>
      <c r="R203" s="2192"/>
      <c r="S203" s="2192"/>
      <c r="T203" s="2192"/>
      <c r="U203" s="2192"/>
      <c r="V203" s="2193"/>
      <c r="W203" s="2193">
        <f t="shared" ref="W203:Y203" si="462">W205*W206*W207/1000000*W208</f>
        <v>3990.8399999999997</v>
      </c>
      <c r="X203" s="2193">
        <f t="shared" si="462"/>
        <v>5036.6923127119062</v>
      </c>
      <c r="Y203" s="2193">
        <f t="shared" si="462"/>
        <v>4775.5464623851412</v>
      </c>
      <c r="Z203" s="2193">
        <f t="shared" ref="Z203:AG203" si="463">Z205*Z206*((Z207+Y207)*0.5)/1000000*Z208-100</f>
        <v>5338.6332661785664</v>
      </c>
      <c r="AA203" s="2193">
        <f t="shared" si="463"/>
        <v>5452.5106186428184</v>
      </c>
      <c r="AB203" s="2193">
        <f t="shared" si="463"/>
        <v>5873.9756965259685</v>
      </c>
      <c r="AC203" s="2193">
        <f t="shared" si="463"/>
        <v>5567.8266325979057</v>
      </c>
      <c r="AD203" s="2193">
        <f t="shared" si="463"/>
        <v>5342.7154243034738</v>
      </c>
      <c r="AE203" s="2193">
        <f t="shared" si="463"/>
        <v>5512.5315512751213</v>
      </c>
      <c r="AF203" s="2193">
        <f>AF205*AF206*((AF207+AE207)*0.5)/1000000*AF208-100</f>
        <v>5799.5615448872277</v>
      </c>
      <c r="AG203" s="2193">
        <f t="shared" si="463"/>
        <v>5607.2244115768244</v>
      </c>
      <c r="AH203" s="2194">
        <f>AH205*AH206*((AH207+AG207)*0.5)/1000000*AH208-100</f>
        <v>5782.1053979220706</v>
      </c>
      <c r="AI203" s="2193">
        <f t="shared" ref="AI203:AJ203" si="464">ROUND(AI205*AI206*((AI207+AG207)*0.5)/1000000*AI208,-1)</f>
        <v>4320</v>
      </c>
      <c r="AJ203" s="2193">
        <f t="shared" si="464"/>
        <v>4760</v>
      </c>
      <c r="AK203" s="2193">
        <f>ROUND(AK205*AK206*((AK207+AI207)*0.5)/1000000*AK208,-1)</f>
        <v>4950</v>
      </c>
      <c r="AL203" s="2193">
        <f>ROUND(AL205*AL206*((AL207+AK207)*0.5)/1000000*AL208,-1)</f>
        <v>5440</v>
      </c>
      <c r="AM203" s="2193">
        <f t="shared" ref="AM203:AP203" si="465">ROUND(AM205*AM206*((AM207+AL207)*0.5)/1000000*AM208,-1)</f>
        <v>5490</v>
      </c>
      <c r="AN203" s="2193">
        <f t="shared" si="465"/>
        <v>5260</v>
      </c>
      <c r="AO203" s="2193">
        <f t="shared" si="465"/>
        <v>5220</v>
      </c>
      <c r="AP203" s="2193">
        <f t="shared" si="465"/>
        <v>5220</v>
      </c>
      <c r="AQ203" s="1349"/>
      <c r="AR203" s="1349"/>
      <c r="AS203" s="1349"/>
      <c r="AT203" s="1349"/>
      <c r="AU203" s="1349"/>
      <c r="AV203" s="1349"/>
      <c r="AW203" s="1349"/>
      <c r="AX203" s="1349"/>
      <c r="AY203" s="1349"/>
      <c r="AZ203" s="1349"/>
      <c r="BA203" s="1349"/>
      <c r="BB203" s="1349"/>
      <c r="BC203" s="1349"/>
      <c r="BD203" s="1349"/>
      <c r="BE203" s="1349"/>
      <c r="BF203" s="1349"/>
      <c r="BG203" s="1349"/>
      <c r="BH203" s="1349"/>
      <c r="BI203" s="1349"/>
      <c r="BJ203" s="1349"/>
      <c r="BK203" s="1349"/>
      <c r="BL203" s="1349"/>
      <c r="BM203" s="1349"/>
    </row>
    <row r="204" spans="1:65" collapsed="1">
      <c r="A204" s="1341"/>
      <c r="B204" s="1491" t="s">
        <v>1152</v>
      </c>
      <c r="C204" s="1492" t="s">
        <v>1487</v>
      </c>
      <c r="D204" s="1493"/>
      <c r="E204" s="1493"/>
      <c r="F204" s="1493"/>
      <c r="G204" s="1493"/>
      <c r="H204" s="1493"/>
      <c r="I204" s="1493"/>
      <c r="J204" s="1493"/>
      <c r="K204" s="1493"/>
      <c r="L204" s="1493"/>
      <c r="M204" s="1493"/>
      <c r="N204" s="1493"/>
      <c r="O204" s="1493"/>
      <c r="P204" s="1493"/>
      <c r="Q204" s="1493"/>
      <c r="R204" s="1493"/>
      <c r="S204" s="1493"/>
      <c r="T204" s="1493"/>
      <c r="U204" s="1493"/>
      <c r="V204" s="1457"/>
      <c r="W204" s="1457"/>
      <c r="X204" s="1457"/>
      <c r="Y204" s="1457"/>
      <c r="Z204" s="1457"/>
      <c r="AA204" s="1457"/>
      <c r="AB204" s="1457"/>
      <c r="AC204" s="1457"/>
      <c r="AD204" s="1457"/>
      <c r="AE204" s="1457"/>
      <c r="AF204" s="1457"/>
      <c r="AG204" s="1457"/>
      <c r="AH204" s="1933"/>
      <c r="AI204" s="1457"/>
      <c r="AJ204" s="1933"/>
      <c r="AK204" s="2071">
        <f>ROUND(AI205*AI206*(-AK207+AI207)/1000000*AI208,-1)</f>
        <v>-1260</v>
      </c>
      <c r="AL204" s="2071">
        <f>ROUND(AK205*AK206*(-AL207+AK207)/1000000*AK208,-2)</f>
        <v>-300</v>
      </c>
      <c r="AM204" s="1457">
        <f t="shared" ref="AM204:AP204" si="466">ROUND(AL205*AL206*(-AM207+AL207)/1000000*AL208,-1)</f>
        <v>280</v>
      </c>
      <c r="AN204" s="1457">
        <f t="shared" si="466"/>
        <v>130</v>
      </c>
      <c r="AO204" s="1457">
        <f t="shared" si="466"/>
        <v>0</v>
      </c>
      <c r="AP204" s="1457">
        <f t="shared" si="466"/>
        <v>0</v>
      </c>
      <c r="AQ204" s="1349"/>
      <c r="AR204" s="1349"/>
      <c r="AS204" s="1349"/>
      <c r="AT204" s="1349"/>
      <c r="AU204" s="1349"/>
      <c r="AV204" s="1349"/>
      <c r="AW204" s="1349"/>
      <c r="AX204" s="1349"/>
      <c r="AY204" s="1349"/>
      <c r="AZ204" s="1349"/>
      <c r="BA204" s="1349"/>
      <c r="BB204" s="1349"/>
      <c r="BC204" s="1349"/>
      <c r="BD204" s="1349"/>
      <c r="BE204" s="1349"/>
      <c r="BF204" s="1349"/>
      <c r="BG204" s="1349"/>
      <c r="BH204" s="1349"/>
      <c r="BI204" s="1349"/>
      <c r="BJ204" s="1349"/>
      <c r="BK204" s="1349"/>
      <c r="BL204" s="1349"/>
      <c r="BM204" s="1349"/>
    </row>
    <row r="205" spans="1:65">
      <c r="A205" s="1341"/>
      <c r="B205" s="1350" t="s">
        <v>1153</v>
      </c>
      <c r="C205" s="1" t="s">
        <v>545</v>
      </c>
      <c r="D205" s="1349"/>
      <c r="E205" s="1349"/>
      <c r="F205" s="1349"/>
      <c r="G205" s="1349"/>
      <c r="H205" s="1349"/>
      <c r="I205" s="1349"/>
      <c r="J205" s="1349"/>
      <c r="K205" s="1349"/>
      <c r="L205" s="1349"/>
      <c r="M205" s="1349"/>
      <c r="N205" s="1349"/>
      <c r="O205" s="1349"/>
      <c r="P205" s="1349"/>
      <c r="Q205" s="1349"/>
      <c r="R205" s="1349"/>
      <c r="S205" s="1349"/>
      <c r="T205" s="1349"/>
      <c r="U205" s="1349"/>
      <c r="V205" s="367"/>
      <c r="W205" s="367">
        <v>1000</v>
      </c>
      <c r="X205" s="367">
        <f t="shared" ref="X205:AG205" si="467">W205*(1+X78)</f>
        <v>1047.9878138666406</v>
      </c>
      <c r="Y205" s="367">
        <f t="shared" si="467"/>
        <v>1149.5651319345488</v>
      </c>
      <c r="Z205" s="367">
        <f t="shared" si="467"/>
        <v>1226.4753574762913</v>
      </c>
      <c r="AA205" s="367">
        <f t="shared" si="467"/>
        <v>1153.7516583951649</v>
      </c>
      <c r="AB205" s="367">
        <f t="shared" si="467"/>
        <v>1217.6305832637217</v>
      </c>
      <c r="AC205" s="367">
        <f t="shared" si="467"/>
        <v>1239.2511424500024</v>
      </c>
      <c r="AD205" s="367">
        <f t="shared" si="467"/>
        <v>1268.733723158567</v>
      </c>
      <c r="AE205" s="367">
        <f t="shared" si="467"/>
        <v>1253.9924328042846</v>
      </c>
      <c r="AF205" s="367">
        <f t="shared" si="467"/>
        <v>1310.0093361505574</v>
      </c>
      <c r="AG205" s="367">
        <f t="shared" si="467"/>
        <v>1324.7506265048396</v>
      </c>
      <c r="AH205" s="1961">
        <f>AG205*(1+((AH80+AH95)*0.5))</f>
        <v>1306.5596466270554</v>
      </c>
      <c r="AI205" s="367">
        <f>AG205*(1+((AI80+AI95)*0.5))</f>
        <v>958.58161956413255</v>
      </c>
      <c r="AJ205" s="1961">
        <f>AI205*(1+AJ78)</f>
        <v>876.27408783192425</v>
      </c>
      <c r="AK205" s="1442">
        <f>AI205*(1+AK99)</f>
        <v>910.65253858592587</v>
      </c>
      <c r="AL205" s="367">
        <f>AK205*(1+AL99)</f>
        <v>870.81149002279165</v>
      </c>
      <c r="AM205" s="367">
        <f>AL205*(1+AM99)</f>
        <v>879.51960492301953</v>
      </c>
      <c r="AN205" s="367">
        <f>AM205*(1+AN99)</f>
        <v>875.12200689840438</v>
      </c>
      <c r="AO205" s="367">
        <f>AN205*(1+AO99)</f>
        <v>879.49761693289634</v>
      </c>
      <c r="AP205" s="367">
        <f>AO205*(1+AP99)</f>
        <v>879.49761693289634</v>
      </c>
      <c r="AQ205" s="1349"/>
      <c r="AR205" s="1349"/>
      <c r="AS205" s="1349"/>
      <c r="AT205" s="1349"/>
      <c r="AU205" s="1349"/>
      <c r="AV205" s="1349"/>
      <c r="AW205" s="1349"/>
      <c r="AX205" s="1349"/>
      <c r="AY205" s="1349"/>
      <c r="AZ205" s="1349"/>
      <c r="BA205" s="1349"/>
      <c r="BB205" s="1349"/>
      <c r="BC205" s="1349"/>
      <c r="BD205" s="1349"/>
      <c r="BE205" s="1349"/>
      <c r="BF205" s="1349"/>
      <c r="BG205" s="1349"/>
      <c r="BH205" s="1349"/>
      <c r="BI205" s="1349"/>
      <c r="BJ205" s="1349"/>
      <c r="BK205" s="1349"/>
      <c r="BL205" s="1349"/>
      <c r="BM205" s="1349"/>
    </row>
    <row r="206" spans="1:65">
      <c r="A206" s="1341"/>
      <c r="B206" s="1350" t="s">
        <v>1154</v>
      </c>
      <c r="C206" s="1" t="s">
        <v>544</v>
      </c>
      <c r="D206" s="1349"/>
      <c r="E206" s="1349"/>
      <c r="F206" s="1349"/>
      <c r="G206" s="1349"/>
      <c r="H206" s="1349"/>
      <c r="I206" s="1349"/>
      <c r="J206" s="1349"/>
      <c r="K206" s="1349"/>
      <c r="L206" s="1349"/>
      <c r="M206" s="1349"/>
      <c r="N206" s="1349"/>
      <c r="O206" s="1349"/>
      <c r="P206" s="1349"/>
      <c r="Q206" s="1349"/>
      <c r="R206" s="1349"/>
      <c r="S206" s="1349"/>
      <c r="T206" s="1349"/>
      <c r="U206" s="1349"/>
      <c r="V206" s="367"/>
      <c r="W206" s="367">
        <v>60</v>
      </c>
      <c r="X206" s="367">
        <f t="shared" ref="X206:AP206" si="468">W206</f>
        <v>60</v>
      </c>
      <c r="Y206" s="367">
        <f t="shared" si="468"/>
        <v>60</v>
      </c>
      <c r="Z206" s="367">
        <f t="shared" si="468"/>
        <v>60</v>
      </c>
      <c r="AA206" s="367">
        <f t="shared" si="468"/>
        <v>60</v>
      </c>
      <c r="AB206" s="367">
        <f t="shared" si="468"/>
        <v>60</v>
      </c>
      <c r="AC206" s="367">
        <f t="shared" si="468"/>
        <v>60</v>
      </c>
      <c r="AD206" s="367">
        <f t="shared" si="468"/>
        <v>60</v>
      </c>
      <c r="AE206" s="367">
        <f t="shared" si="468"/>
        <v>60</v>
      </c>
      <c r="AF206" s="367">
        <f t="shared" si="468"/>
        <v>60</v>
      </c>
      <c r="AG206" s="367">
        <f t="shared" si="468"/>
        <v>60</v>
      </c>
      <c r="AH206" s="1961">
        <f>AG206</f>
        <v>60</v>
      </c>
      <c r="AI206" s="367">
        <f>AG206</f>
        <v>60</v>
      </c>
      <c r="AJ206" s="1961">
        <f>AI206</f>
        <v>60</v>
      </c>
      <c r="AK206" s="1442">
        <f>AI206</f>
        <v>60</v>
      </c>
      <c r="AL206" s="367">
        <f t="shared" si="468"/>
        <v>60</v>
      </c>
      <c r="AM206" s="367">
        <f t="shared" si="468"/>
        <v>60</v>
      </c>
      <c r="AN206" s="367">
        <f t="shared" si="468"/>
        <v>60</v>
      </c>
      <c r="AO206" s="367">
        <f t="shared" si="468"/>
        <v>60</v>
      </c>
      <c r="AP206" s="367">
        <f t="shared" si="468"/>
        <v>60</v>
      </c>
      <c r="AQ206" s="367"/>
      <c r="AR206" s="367"/>
      <c r="AS206" s="367"/>
      <c r="AT206" s="367"/>
      <c r="AU206" s="367"/>
      <c r="AV206" s="1349"/>
      <c r="AW206" s="1349"/>
      <c r="AX206" s="1349"/>
      <c r="AY206" s="1349"/>
      <c r="AZ206" s="1349"/>
      <c r="BA206" s="1349"/>
      <c r="BB206" s="1349"/>
      <c r="BC206" s="1349"/>
      <c r="BD206" s="1349"/>
      <c r="BE206" s="1349"/>
      <c r="BF206" s="1349"/>
      <c r="BG206" s="1349"/>
      <c r="BH206" s="1349"/>
      <c r="BI206" s="1349"/>
      <c r="BJ206" s="1349"/>
      <c r="BK206" s="1349"/>
      <c r="BL206" s="1349"/>
      <c r="BM206" s="1349"/>
    </row>
    <row r="207" spans="1:65">
      <c r="A207" s="1341"/>
      <c r="B207" s="2171" t="s">
        <v>1155</v>
      </c>
      <c r="C207" s="2172" t="s">
        <v>543</v>
      </c>
      <c r="D207" s="2173"/>
      <c r="E207" s="2173"/>
      <c r="F207" s="2173"/>
      <c r="G207" s="2173"/>
      <c r="H207" s="2173"/>
      <c r="I207" s="2173"/>
      <c r="J207" s="2173"/>
      <c r="K207" s="2173"/>
      <c r="L207" s="2173"/>
      <c r="M207" s="2173"/>
      <c r="N207" s="2173"/>
      <c r="O207" s="2173"/>
      <c r="P207" s="2173"/>
      <c r="Q207" s="2173"/>
      <c r="R207" s="2173"/>
      <c r="S207" s="2173"/>
      <c r="T207" s="2173"/>
      <c r="U207" s="2173"/>
      <c r="V207" s="2175"/>
      <c r="W207" s="2287">
        <v>47510</v>
      </c>
      <c r="X207" s="2287">
        <v>57215</v>
      </c>
      <c r="Y207" s="2175">
        <v>49455</v>
      </c>
      <c r="Z207" s="2175">
        <v>56125</v>
      </c>
      <c r="AA207" s="2175">
        <v>58460</v>
      </c>
      <c r="AB207" s="2175">
        <v>58355</v>
      </c>
      <c r="AC207" s="2175">
        <v>50540</v>
      </c>
      <c r="AD207" s="2175">
        <v>51600</v>
      </c>
      <c r="AE207" s="2288">
        <v>54965</v>
      </c>
      <c r="AF207" s="2288">
        <v>52260</v>
      </c>
      <c r="AG207" s="2175">
        <v>50315</v>
      </c>
      <c r="AH207" s="2176">
        <v>56875</v>
      </c>
      <c r="AI207" s="2175">
        <v>56875</v>
      </c>
      <c r="AJ207" s="2176">
        <v>72530</v>
      </c>
      <c r="AK207" s="2289">
        <v>72530</v>
      </c>
      <c r="AL207" s="2290">
        <f>ROUND(AK207*1.05,-2)</f>
        <v>76200</v>
      </c>
      <c r="AM207" s="2291">
        <f>ROUND(AL207*0.95,-2)</f>
        <v>72400</v>
      </c>
      <c r="AN207" s="2291">
        <f>ROUND(AM207*0.975,-2)</f>
        <v>70600</v>
      </c>
      <c r="AO207" s="2290">
        <f t="shared" ref="AB207:AP208" si="469">AN207</f>
        <v>70600</v>
      </c>
      <c r="AP207" s="2290">
        <f t="shared" si="469"/>
        <v>70600</v>
      </c>
      <c r="AQ207" s="1349"/>
      <c r="AR207" s="1349"/>
      <c r="AS207" s="1349"/>
      <c r="AT207" s="1349"/>
      <c r="AU207" s="1349"/>
      <c r="AV207" s="1349"/>
      <c r="AW207" s="1349"/>
      <c r="AX207" s="1349"/>
      <c r="AY207" s="1349"/>
      <c r="AZ207" s="1349"/>
      <c r="BA207" s="1349"/>
      <c r="BB207" s="1349"/>
      <c r="BC207" s="1349"/>
      <c r="BD207" s="1349"/>
      <c r="BE207" s="1349"/>
      <c r="BF207" s="1349"/>
      <c r="BG207" s="1349"/>
      <c r="BH207" s="1349"/>
      <c r="BI207" s="1349"/>
      <c r="BJ207" s="1349"/>
      <c r="BK207" s="1349"/>
      <c r="BL207" s="1349"/>
      <c r="BM207" s="1349"/>
    </row>
    <row r="208" spans="1:65">
      <c r="A208" s="1341"/>
      <c r="B208" s="1350" t="s">
        <v>1156</v>
      </c>
      <c r="C208" s="1" t="s">
        <v>539</v>
      </c>
      <c r="D208" s="1349"/>
      <c r="E208" s="1349"/>
      <c r="F208" s="1349"/>
      <c r="G208" s="1349"/>
      <c r="H208" s="1349"/>
      <c r="I208" s="1349"/>
      <c r="J208" s="1349"/>
      <c r="K208" s="1349"/>
      <c r="L208" s="1349"/>
      <c r="M208" s="1349"/>
      <c r="N208" s="1349"/>
      <c r="O208" s="1349"/>
      <c r="P208" s="1349"/>
      <c r="Q208" s="1349"/>
      <c r="R208" s="1349"/>
      <c r="S208" s="1349"/>
      <c r="T208" s="1349"/>
      <c r="U208" s="1349"/>
      <c r="V208" s="367"/>
      <c r="W208" s="1376">
        <v>1.4</v>
      </c>
      <c r="X208" s="1376">
        <f>W208</f>
        <v>1.4</v>
      </c>
      <c r="Y208" s="1376">
        <f>X208</f>
        <v>1.4</v>
      </c>
      <c r="Z208" s="1376">
        <f>Y208</f>
        <v>1.4</v>
      </c>
      <c r="AA208" s="1376">
        <f>Z208</f>
        <v>1.4</v>
      </c>
      <c r="AB208" s="1376">
        <f t="shared" si="469"/>
        <v>1.4</v>
      </c>
      <c r="AC208" s="1376">
        <f t="shared" si="469"/>
        <v>1.4</v>
      </c>
      <c r="AD208" s="1376">
        <f t="shared" si="469"/>
        <v>1.4</v>
      </c>
      <c r="AE208" s="1376">
        <f t="shared" si="469"/>
        <v>1.4</v>
      </c>
      <c r="AF208" s="1376">
        <f t="shared" si="469"/>
        <v>1.4</v>
      </c>
      <c r="AG208" s="1376">
        <f t="shared" si="469"/>
        <v>1.4</v>
      </c>
      <c r="AH208" s="1947">
        <f>AG208</f>
        <v>1.4</v>
      </c>
      <c r="AI208" s="1376">
        <f>AG208</f>
        <v>1.4</v>
      </c>
      <c r="AJ208" s="1947">
        <f>AI208</f>
        <v>1.4</v>
      </c>
      <c r="AK208" s="1495">
        <f>AI208</f>
        <v>1.4</v>
      </c>
      <c r="AL208" s="1376">
        <f t="shared" si="469"/>
        <v>1.4</v>
      </c>
      <c r="AM208" s="1376">
        <f t="shared" si="469"/>
        <v>1.4</v>
      </c>
      <c r="AN208" s="1376">
        <f t="shared" si="469"/>
        <v>1.4</v>
      </c>
      <c r="AO208" s="1376">
        <f t="shared" si="469"/>
        <v>1.4</v>
      </c>
      <c r="AP208" s="1376">
        <f t="shared" si="469"/>
        <v>1.4</v>
      </c>
      <c r="AQ208" s="1349"/>
      <c r="AR208" s="1349"/>
      <c r="AS208" s="1349"/>
      <c r="AT208" s="1349"/>
      <c r="AU208" s="1349"/>
      <c r="AV208" s="1349"/>
      <c r="AW208" s="1349"/>
      <c r="AX208" s="1349"/>
      <c r="AY208" s="1349"/>
      <c r="AZ208" s="1349"/>
      <c r="BA208" s="1349"/>
      <c r="BB208" s="1349"/>
      <c r="BC208" s="1349"/>
      <c r="BD208" s="1349"/>
      <c r="BE208" s="1349"/>
      <c r="BF208" s="1349"/>
      <c r="BG208" s="1349"/>
      <c r="BH208" s="1349"/>
      <c r="BI208" s="1349"/>
      <c r="BJ208" s="1349"/>
      <c r="BK208" s="1349"/>
      <c r="BL208" s="1349"/>
      <c r="BM208" s="1349"/>
    </row>
    <row r="209" spans="1:65" hidden="1" outlineLevel="1">
      <c r="A209" s="1341"/>
      <c r="B209" s="2190" t="s">
        <v>1157</v>
      </c>
      <c r="C209" s="2191" t="s">
        <v>542</v>
      </c>
      <c r="D209" s="2192"/>
      <c r="E209" s="2192"/>
      <c r="F209" s="2192"/>
      <c r="G209" s="2192"/>
      <c r="H209" s="2192"/>
      <c r="I209" s="2192"/>
      <c r="J209" s="2192"/>
      <c r="K209" s="2192"/>
      <c r="L209" s="2192"/>
      <c r="M209" s="2192"/>
      <c r="N209" s="2192"/>
      <c r="O209" s="2192"/>
      <c r="P209" s="2192"/>
      <c r="Q209" s="2192"/>
      <c r="R209" s="2192"/>
      <c r="S209" s="2192"/>
      <c r="T209" s="2192"/>
      <c r="U209" s="2192"/>
      <c r="V209" s="2193"/>
      <c r="W209" s="2193">
        <f t="shared" ref="W209:AB209" si="470">W211*W205*W212/1000000*W215*W214</f>
        <v>1083.19505</v>
      </c>
      <c r="X209" s="2193">
        <f t="shared" si="470"/>
        <v>1385.7469503611619</v>
      </c>
      <c r="Y209" s="2193">
        <f t="shared" si="470"/>
        <v>1158.7616529900251</v>
      </c>
      <c r="Z209" s="2193">
        <f t="shared" si="470"/>
        <v>1339.8262100142499</v>
      </c>
      <c r="AA209" s="2193">
        <f t="shared" si="470"/>
        <v>1686.3234239103729</v>
      </c>
      <c r="AB209" s="2193">
        <f t="shared" si="470"/>
        <v>1535.8510304161957</v>
      </c>
      <c r="AC209" s="2193">
        <f>AC211*AC205*AC212/1000000*AC215*AC214</f>
        <v>1395.5725122107019</v>
      </c>
      <c r="AD209" s="2193">
        <f t="shared" ref="AD209:AE209" si="471">AD211*AD205*AD212/1000000*AD215*AD214</f>
        <v>1302.1965751068742</v>
      </c>
      <c r="AE209" s="2193">
        <f t="shared" si="471"/>
        <v>1344.6059259987221</v>
      </c>
      <c r="AF209" s="2193">
        <f t="shared" ref="AF209:AH209" si="472">AF211*AF205*AF212/1000000*AF215*AF214</f>
        <v>1299.3982605277379</v>
      </c>
      <c r="AG209" s="2193">
        <f t="shared" si="472"/>
        <v>1375.7002706500905</v>
      </c>
      <c r="AH209" s="2194">
        <f t="shared" si="472"/>
        <v>1739.6320066673641</v>
      </c>
      <c r="AI209" s="2193">
        <f t="shared" ref="AI209:AJ209" si="473">ROUND(AI211*AI205*AI212/1000000*AI215*AI214,-1)</f>
        <v>1040</v>
      </c>
      <c r="AJ209" s="2193">
        <f t="shared" si="473"/>
        <v>1430</v>
      </c>
      <c r="AK209" s="2193">
        <f>ROUND(AK211*AK205*AK212/1000000*AK215*AK214,-1)</f>
        <v>1540</v>
      </c>
      <c r="AL209" s="2193">
        <f t="shared" ref="AL209:AP209" si="474">ROUND(AL211*AL205*AL212/1000000*AL215*AL214,-1)</f>
        <v>1600</v>
      </c>
      <c r="AM209" s="2193">
        <f t="shared" si="474"/>
        <v>1550</v>
      </c>
      <c r="AN209" s="2193">
        <f t="shared" si="474"/>
        <v>1450</v>
      </c>
      <c r="AO209" s="2193">
        <f t="shared" si="474"/>
        <v>1470</v>
      </c>
      <c r="AP209" s="2193">
        <f t="shared" si="474"/>
        <v>1470</v>
      </c>
      <c r="AQ209" s="1349"/>
      <c r="AR209" s="1349"/>
      <c r="AS209" s="1349"/>
      <c r="AT209" s="1349"/>
      <c r="AU209" s="1349"/>
      <c r="AV209" s="1349"/>
      <c r="AW209" s="1349"/>
      <c r="AX209" s="1349"/>
      <c r="AY209" s="1349"/>
      <c r="AZ209" s="1349"/>
      <c r="BA209" s="1349"/>
      <c r="BB209" s="1349"/>
      <c r="BC209" s="1349"/>
      <c r="BD209" s="1349"/>
      <c r="BE209" s="1349"/>
      <c r="BF209" s="1349"/>
      <c r="BG209" s="1349"/>
      <c r="BH209" s="1349"/>
      <c r="BI209" s="1349"/>
      <c r="BJ209" s="1349"/>
      <c r="BK209" s="1349"/>
      <c r="BL209" s="1349"/>
      <c r="BM209" s="1349"/>
    </row>
    <row r="210" spans="1:65" collapsed="1">
      <c r="A210" s="1341"/>
      <c r="B210" s="1491" t="s">
        <v>1157</v>
      </c>
      <c r="C210" s="1492" t="s">
        <v>1486</v>
      </c>
      <c r="D210" s="1493"/>
      <c r="E210" s="1493"/>
      <c r="F210" s="1493"/>
      <c r="G210" s="1493"/>
      <c r="H210" s="1493"/>
      <c r="I210" s="1493"/>
      <c r="J210" s="1493"/>
      <c r="K210" s="1493"/>
      <c r="L210" s="1493"/>
      <c r="M210" s="1493"/>
      <c r="N210" s="1493"/>
      <c r="O210" s="1493"/>
      <c r="P210" s="1493"/>
      <c r="Q210" s="1493"/>
      <c r="R210" s="1493"/>
      <c r="S210" s="1493"/>
      <c r="T210" s="1493"/>
      <c r="U210" s="1493"/>
      <c r="V210" s="1457"/>
      <c r="W210" s="1457"/>
      <c r="X210" s="1457"/>
      <c r="Y210" s="1457"/>
      <c r="Z210" s="1457"/>
      <c r="AA210" s="1457"/>
      <c r="AB210" s="1457"/>
      <c r="AC210" s="1457"/>
      <c r="AD210" s="1457"/>
      <c r="AE210" s="1457"/>
      <c r="AF210" s="1457"/>
      <c r="AG210" s="1457"/>
      <c r="AH210" s="1933"/>
      <c r="AI210" s="1457"/>
      <c r="AJ210" s="1933"/>
      <c r="AK210" s="2060">
        <f>ROUND(AI211*AI205*(AI212*AI214-AK212*AK214)/1000000*AI215,-1)</f>
        <v>-550</v>
      </c>
      <c r="AL210" s="2071">
        <f>ROUND(AK211*AK205*(AK212*AK214-AL212*AL214)/1000000*AK215,-2)</f>
        <v>-100</v>
      </c>
      <c r="AM210" s="1457">
        <f t="shared" ref="AM210:AP210" si="475">ROUND(AL211*AL205*(AL212*AL214-AM212*AM214)/1000000*AL215,-1)</f>
        <v>80</v>
      </c>
      <c r="AN210" s="1457">
        <f t="shared" si="475"/>
        <v>80</v>
      </c>
      <c r="AO210" s="1457">
        <f t="shared" si="475"/>
        <v>0</v>
      </c>
      <c r="AP210" s="1457">
        <f t="shared" si="475"/>
        <v>0</v>
      </c>
      <c r="AQ210" s="1349"/>
      <c r="AR210" s="1349"/>
      <c r="AS210" s="1349"/>
      <c r="AT210" s="1349"/>
      <c r="AU210" s="1349"/>
      <c r="AV210" s="1349"/>
      <c r="AW210" s="1349"/>
      <c r="AX210" s="1349"/>
      <c r="AY210" s="1349"/>
      <c r="AZ210" s="1349"/>
      <c r="BA210" s="1349"/>
      <c r="BB210" s="1349"/>
      <c r="BC210" s="1349"/>
      <c r="BD210" s="1349"/>
      <c r="BE210" s="1349"/>
      <c r="BF210" s="1349"/>
      <c r="BG210" s="1349"/>
      <c r="BH210" s="1349"/>
      <c r="BI210" s="1349"/>
      <c r="BJ210" s="1349"/>
      <c r="BK210" s="1349"/>
      <c r="BL210" s="1349"/>
      <c r="BM210" s="1349"/>
    </row>
    <row r="211" spans="1:65">
      <c r="A211" s="1341"/>
      <c r="B211" s="1350" t="s">
        <v>1158</v>
      </c>
      <c r="C211" s="1" t="s">
        <v>541</v>
      </c>
      <c r="D211" s="1349"/>
      <c r="E211" s="1349"/>
      <c r="F211" s="1349"/>
      <c r="G211" s="1349"/>
      <c r="H211" s="1349"/>
      <c r="I211" s="1349"/>
      <c r="J211" s="1349"/>
      <c r="K211" s="1349"/>
      <c r="L211" s="1349"/>
      <c r="M211" s="1349"/>
      <c r="N211" s="1349"/>
      <c r="O211" s="1349"/>
      <c r="P211" s="1349"/>
      <c r="Q211" s="1349"/>
      <c r="R211" s="1349"/>
      <c r="S211" s="1349"/>
      <c r="T211" s="1349"/>
      <c r="U211" s="1349"/>
      <c r="V211" s="367"/>
      <c r="W211" s="367">
        <v>10</v>
      </c>
      <c r="X211" s="367">
        <f t="shared" ref="X211:AG211" si="476">W211</f>
        <v>10</v>
      </c>
      <c r="Y211" s="367">
        <f t="shared" si="476"/>
        <v>10</v>
      </c>
      <c r="Z211" s="367">
        <f t="shared" si="476"/>
        <v>10</v>
      </c>
      <c r="AA211" s="367">
        <f t="shared" si="476"/>
        <v>10</v>
      </c>
      <c r="AB211" s="367">
        <f t="shared" si="476"/>
        <v>10</v>
      </c>
      <c r="AC211" s="367">
        <f>AB211</f>
        <v>10</v>
      </c>
      <c r="AD211" s="367">
        <f t="shared" si="476"/>
        <v>10</v>
      </c>
      <c r="AE211" s="367">
        <f t="shared" si="476"/>
        <v>10</v>
      </c>
      <c r="AF211" s="1376">
        <f t="shared" si="476"/>
        <v>10</v>
      </c>
      <c r="AG211" s="1376">
        <f t="shared" si="476"/>
        <v>10</v>
      </c>
      <c r="AH211" s="1947">
        <f>AG211*(1+((AH80+AH95)*0.5))</f>
        <v>9.8626837420278974</v>
      </c>
      <c r="AI211" s="1376">
        <f>AG211*(1+((AI80+AI95)*0.5))</f>
        <v>7.235940111183111</v>
      </c>
      <c r="AJ211" s="1947">
        <f>AI211*(1+AJ78)</f>
        <v>6.6146342587045606</v>
      </c>
      <c r="AK211" s="1495">
        <f>AI211*(1+AK78)</f>
        <v>7.3977069398467332</v>
      </c>
      <c r="AL211" s="1376">
        <f>AK211*(1+AL78)</f>
        <v>7.6072082425422449</v>
      </c>
      <c r="AM211" s="1376">
        <f>AL211*(1+AM78)</f>
        <v>7.682977248942068</v>
      </c>
      <c r="AN211" s="1376">
        <f>AM211*(1+AN78)</f>
        <v>7.6526696463821384</v>
      </c>
      <c r="AO211" s="1376">
        <f>AN211*(1+AO78)</f>
        <v>7.6905541495820504</v>
      </c>
      <c r="AP211" s="1376">
        <f>AO211*(1+AP78)</f>
        <v>7.6981310502220328</v>
      </c>
      <c r="AQ211" s="367"/>
      <c r="AR211" s="367"/>
      <c r="AS211" s="367"/>
      <c r="AT211" s="367"/>
      <c r="AU211" s="367"/>
      <c r="AV211" s="1349"/>
      <c r="AW211" s="1349"/>
      <c r="AX211" s="1349"/>
      <c r="AY211" s="1349"/>
      <c r="AZ211" s="1349"/>
      <c r="BA211" s="1349"/>
      <c r="BB211" s="1349"/>
      <c r="BC211" s="1349"/>
      <c r="BD211" s="1349"/>
      <c r="BE211" s="1349"/>
      <c r="BF211" s="1349"/>
      <c r="BG211" s="1349"/>
      <c r="BH211" s="1349"/>
      <c r="BI211" s="1349"/>
      <c r="BJ211" s="1349"/>
      <c r="BK211" s="1349"/>
      <c r="BL211" s="1349"/>
      <c r="BM211" s="1349"/>
    </row>
    <row r="212" spans="1:65">
      <c r="A212" s="1341"/>
      <c r="B212" s="2171" t="s">
        <v>1159</v>
      </c>
      <c r="C212" s="2172" t="s">
        <v>1495</v>
      </c>
      <c r="D212" s="2173"/>
      <c r="E212" s="2173"/>
      <c r="F212" s="2173"/>
      <c r="G212" s="2173"/>
      <c r="H212" s="2173"/>
      <c r="I212" s="2173"/>
      <c r="J212" s="2173"/>
      <c r="K212" s="2173"/>
      <c r="L212" s="2173"/>
      <c r="M212" s="2173"/>
      <c r="N212" s="2173"/>
      <c r="O212" s="2173"/>
      <c r="P212" s="2173"/>
      <c r="Q212" s="2173"/>
      <c r="R212" s="2173"/>
      <c r="S212" s="2173"/>
      <c r="T212" s="2173"/>
      <c r="U212" s="2173"/>
      <c r="V212" s="2175"/>
      <c r="W212" s="2175">
        <v>930.5</v>
      </c>
      <c r="X212" s="2175">
        <v>1150</v>
      </c>
      <c r="Y212" s="2175">
        <f>'maruchan inc'!T74</f>
        <v>900</v>
      </c>
      <c r="Z212" s="2175">
        <f>'maruchan inc'!U74</f>
        <v>850</v>
      </c>
      <c r="AA212" s="2175">
        <f>'maruchan inc'!V74</f>
        <v>870</v>
      </c>
      <c r="AB212" s="2175">
        <f>'maruchan inc'!W74</f>
        <v>800</v>
      </c>
      <c r="AC212" s="2175">
        <f>'maruchan inc'!X74</f>
        <v>730</v>
      </c>
      <c r="AD212" s="2175">
        <f>'maruchan inc'!Y74</f>
        <v>690</v>
      </c>
      <c r="AE212" s="2175">
        <f>'maruchan inc'!Z74</f>
        <v>690</v>
      </c>
      <c r="AF212" s="2175">
        <f>'maruchan inc'!AA74</f>
        <v>650</v>
      </c>
      <c r="AG212" s="2175">
        <f>'maruchan inc'!AB74</f>
        <v>670</v>
      </c>
      <c r="AH212" s="2176">
        <f>AG212*1.3</f>
        <v>871</v>
      </c>
      <c r="AI212" s="2175">
        <f>AG212*1.3</f>
        <v>871</v>
      </c>
      <c r="AJ212" s="2176">
        <f>AI212*1.4</f>
        <v>1219.3999999999999</v>
      </c>
      <c r="AK212" s="2289">
        <f>AI212*1.4</f>
        <v>1219.3999999999999</v>
      </c>
      <c r="AL212" s="2290">
        <f>ROUND(AK212*0.975,-1)</f>
        <v>1190</v>
      </c>
      <c r="AM212" s="2290">
        <f>ROUND(AL212*0.95,-1)</f>
        <v>1130</v>
      </c>
      <c r="AN212" s="2290">
        <f>ROUND(AM212*0.95,-1)</f>
        <v>1070</v>
      </c>
      <c r="AO212" s="2290">
        <f>AN212</f>
        <v>1070</v>
      </c>
      <c r="AP212" s="2290">
        <f>AO212</f>
        <v>1070</v>
      </c>
      <c r="AQ212" s="367"/>
      <c r="AR212" s="367"/>
      <c r="AS212" s="367"/>
      <c r="AT212" s="367"/>
      <c r="AU212" s="367"/>
      <c r="AV212" s="1349"/>
      <c r="AW212" s="1349"/>
      <c r="AX212" s="1349"/>
      <c r="AY212" s="1349"/>
      <c r="AZ212" s="1349"/>
      <c r="BA212" s="1349"/>
      <c r="BB212" s="1349"/>
      <c r="BC212" s="1349"/>
      <c r="BD212" s="1349"/>
      <c r="BE212" s="1349"/>
      <c r="BF212" s="1349"/>
      <c r="BG212" s="1349"/>
      <c r="BH212" s="1349"/>
      <c r="BI212" s="1349"/>
      <c r="BJ212" s="1349"/>
      <c r="BK212" s="1349"/>
      <c r="BL212" s="1349"/>
      <c r="BM212" s="1349"/>
    </row>
    <row r="213" spans="1:65" s="218" customFormat="1" ht="11.5">
      <c r="A213" s="2199"/>
      <c r="B213" s="2200" t="s">
        <v>1496</v>
      </c>
      <c r="D213" s="2201"/>
      <c r="E213" s="2201"/>
      <c r="F213" s="2201"/>
      <c r="G213" s="2201"/>
      <c r="H213" s="2201"/>
      <c r="I213" s="2201"/>
      <c r="J213" s="2201"/>
      <c r="K213" s="2201"/>
      <c r="L213" s="2201"/>
      <c r="M213" s="2201"/>
      <c r="N213" s="2201"/>
      <c r="O213" s="2201"/>
      <c r="P213" s="2201"/>
      <c r="Q213" s="2201"/>
      <c r="R213" s="2201"/>
      <c r="S213" s="2201"/>
      <c r="T213" s="2201"/>
      <c r="U213" s="2201"/>
      <c r="V213" s="2202"/>
      <c r="W213" s="2202"/>
      <c r="X213" s="2202"/>
      <c r="Y213" s="2202"/>
      <c r="Z213" s="2202"/>
      <c r="AA213" s="2202">
        <v>757.98076923076928</v>
      </c>
      <c r="AB213" s="2202">
        <v>604.71153846153845</v>
      </c>
      <c r="AC213" s="2202">
        <v>742.54807692307691</v>
      </c>
      <c r="AD213" s="2202">
        <v>691.875</v>
      </c>
      <c r="AE213" s="2202">
        <v>563.92857142857144</v>
      </c>
      <c r="AF213" s="2202">
        <v>617.11538461538464</v>
      </c>
      <c r="AG213" s="2202">
        <v>800.72115384615381</v>
      </c>
      <c r="AH213" s="2203"/>
      <c r="AI213" s="2202">
        <v>1318.4134615384617</v>
      </c>
      <c r="AJ213" s="2203"/>
      <c r="AK213" s="2204">
        <v>1202.1634615384614</v>
      </c>
      <c r="AL213" s="2006"/>
      <c r="AM213" s="2006"/>
      <c r="AN213" s="2006"/>
      <c r="AO213" s="2006"/>
      <c r="AP213" s="2006"/>
      <c r="AQ213" s="2202"/>
      <c r="AR213" s="2202"/>
      <c r="AS213" s="2202"/>
      <c r="AT213" s="2202"/>
      <c r="AU213" s="2202"/>
      <c r="AV213" s="2201"/>
      <c r="AW213" s="2201"/>
      <c r="AX213" s="2201"/>
      <c r="AY213" s="2201"/>
      <c r="AZ213" s="2201"/>
      <c r="BA213" s="2201"/>
      <c r="BB213" s="2201"/>
      <c r="BC213" s="2201"/>
      <c r="BD213" s="2201"/>
      <c r="BE213" s="2201"/>
      <c r="BF213" s="2201"/>
      <c r="BG213" s="2201"/>
      <c r="BH213" s="2201"/>
      <c r="BI213" s="2201"/>
      <c r="BJ213" s="2201"/>
      <c r="BK213" s="2201"/>
      <c r="BL213" s="2201"/>
      <c r="BM213" s="2201"/>
    </row>
    <row r="214" spans="1:65">
      <c r="A214" s="1341"/>
      <c r="B214" s="2205" t="s">
        <v>1051</v>
      </c>
      <c r="C214" s="2068" t="s">
        <v>540</v>
      </c>
      <c r="D214" s="2206"/>
      <c r="E214" s="2206"/>
      <c r="F214" s="2206"/>
      <c r="G214" s="2206"/>
      <c r="H214" s="2206"/>
      <c r="I214" s="2206"/>
      <c r="J214" s="2206"/>
      <c r="K214" s="2206"/>
      <c r="L214" s="2206"/>
      <c r="M214" s="2206"/>
      <c r="N214" s="2206"/>
      <c r="O214" s="2206"/>
      <c r="P214" s="2206"/>
      <c r="Q214" s="2206"/>
      <c r="R214" s="2206"/>
      <c r="S214" s="2206"/>
      <c r="T214" s="2206"/>
      <c r="U214" s="2206"/>
      <c r="V214" s="2071"/>
      <c r="W214" s="2071">
        <f>'maruchan inc'!N99</f>
        <v>83.15</v>
      </c>
      <c r="X214" s="2071">
        <f>'maruchan inc'!Q99</f>
        <v>82.13</v>
      </c>
      <c r="Y214" s="2209">
        <v>80</v>
      </c>
      <c r="Z214" s="2209">
        <f>'maruchan inc'!U99*0.9</f>
        <v>91.8</v>
      </c>
      <c r="AA214" s="2209">
        <f>'maruchan inc'!V99</f>
        <v>120</v>
      </c>
      <c r="AB214" s="2209">
        <f>'maruchan inc'!W99</f>
        <v>112.62</v>
      </c>
      <c r="AC214" s="2209">
        <f>'maruchan inc'!X99-2</f>
        <v>110.19</v>
      </c>
      <c r="AD214" s="2209">
        <f>'maruchan inc'!Y99</f>
        <v>106.25</v>
      </c>
      <c r="AE214" s="2209">
        <f>'maruchan inc'!Z99</f>
        <v>111</v>
      </c>
      <c r="AF214" s="2209">
        <f>'maruchan inc'!AA99</f>
        <v>109</v>
      </c>
      <c r="AG214" s="2209">
        <f>'maruchan inc'!AB99</f>
        <v>110.71</v>
      </c>
      <c r="AH214" s="2210">
        <f>'maruchan inc'!AB99</f>
        <v>110.71</v>
      </c>
      <c r="AI214" s="2209">
        <f>'maruchan inc'!AD99</f>
        <v>122.41</v>
      </c>
      <c r="AJ214" s="2210">
        <v>145</v>
      </c>
      <c r="AK214" s="2207">
        <f>+Quarterly!JD17</f>
        <v>133.54</v>
      </c>
      <c r="AL214" s="2208">
        <f>+Quarterly!JX17</f>
        <v>145</v>
      </c>
      <c r="AM214" s="2208">
        <f>+'maruchan inc'!AH99</f>
        <v>145</v>
      </c>
      <c r="AN214" s="2208">
        <f>+'maruchan inc'!AI99</f>
        <v>145</v>
      </c>
      <c r="AO214" s="2208">
        <f>+'maruchan inc'!AJ99</f>
        <v>145</v>
      </c>
      <c r="AP214" s="2208">
        <f>+'maruchan inc'!AK99</f>
        <v>145</v>
      </c>
      <c r="AQ214" s="367"/>
      <c r="AR214" s="367"/>
      <c r="AS214" s="367"/>
      <c r="AT214" s="367"/>
      <c r="AU214" s="367"/>
      <c r="AV214" s="1349"/>
      <c r="AW214" s="1349"/>
      <c r="AX214" s="1349"/>
      <c r="AY214" s="1349"/>
      <c r="AZ214" s="1349"/>
      <c r="BA214" s="1349"/>
      <c r="BB214" s="1349"/>
      <c r="BC214" s="1349"/>
      <c r="BD214" s="1349"/>
      <c r="BE214" s="1349"/>
      <c r="BF214" s="1349"/>
      <c r="BG214" s="1349"/>
      <c r="BH214" s="1349"/>
      <c r="BI214" s="1349"/>
      <c r="BJ214" s="1349"/>
      <c r="BK214" s="1349"/>
      <c r="BL214" s="1349"/>
      <c r="BM214" s="1349"/>
    </row>
    <row r="215" spans="1:65">
      <c r="A215" s="1341"/>
      <c r="B215" s="1350" t="s">
        <v>1156</v>
      </c>
      <c r="C215" s="1" t="s">
        <v>539</v>
      </c>
      <c r="D215" s="1349"/>
      <c r="E215" s="1349"/>
      <c r="F215" s="1349"/>
      <c r="G215" s="1349"/>
      <c r="H215" s="1349"/>
      <c r="I215" s="1349"/>
      <c r="J215" s="1349"/>
      <c r="K215" s="1349"/>
      <c r="L215" s="1349"/>
      <c r="M215" s="1349"/>
      <c r="N215" s="1349"/>
      <c r="O215" s="1349"/>
      <c r="P215" s="1349"/>
      <c r="Q215" s="1349"/>
      <c r="R215" s="1349"/>
      <c r="S215" s="1349"/>
      <c r="T215" s="1349"/>
      <c r="U215" s="1349"/>
      <c r="V215" s="367"/>
      <c r="W215" s="1376">
        <v>1.4</v>
      </c>
      <c r="X215" s="1376">
        <f t="shared" ref="X215:AP215" si="477">W215</f>
        <v>1.4</v>
      </c>
      <c r="Y215" s="1376">
        <f t="shared" si="477"/>
        <v>1.4</v>
      </c>
      <c r="Z215" s="1376">
        <f t="shared" si="477"/>
        <v>1.4</v>
      </c>
      <c r="AA215" s="1376">
        <f t="shared" si="477"/>
        <v>1.4</v>
      </c>
      <c r="AB215" s="1376">
        <f t="shared" si="477"/>
        <v>1.4</v>
      </c>
      <c r="AC215" s="1376">
        <f t="shared" si="477"/>
        <v>1.4</v>
      </c>
      <c r="AD215" s="1376">
        <f t="shared" si="477"/>
        <v>1.4</v>
      </c>
      <c r="AE215" s="1376">
        <f t="shared" si="477"/>
        <v>1.4</v>
      </c>
      <c r="AF215" s="1376">
        <f t="shared" si="477"/>
        <v>1.4</v>
      </c>
      <c r="AG215" s="1376">
        <f t="shared" si="477"/>
        <v>1.4</v>
      </c>
      <c r="AH215" s="1947">
        <f>AG215</f>
        <v>1.4</v>
      </c>
      <c r="AI215" s="1376">
        <f>AG215</f>
        <v>1.4</v>
      </c>
      <c r="AJ215" s="1947">
        <f>AI215</f>
        <v>1.4</v>
      </c>
      <c r="AK215" s="1495">
        <f>AI215</f>
        <v>1.4</v>
      </c>
      <c r="AL215" s="1376">
        <f t="shared" si="477"/>
        <v>1.4</v>
      </c>
      <c r="AM215" s="1376">
        <f t="shared" si="477"/>
        <v>1.4</v>
      </c>
      <c r="AN215" s="1376">
        <f t="shared" si="477"/>
        <v>1.4</v>
      </c>
      <c r="AO215" s="1376">
        <f t="shared" si="477"/>
        <v>1.4</v>
      </c>
      <c r="AP215" s="1376">
        <f t="shared" si="477"/>
        <v>1.4</v>
      </c>
      <c r="AQ215" s="367"/>
      <c r="AR215" s="367"/>
      <c r="AS215" s="367"/>
      <c r="AT215" s="367"/>
      <c r="AU215" s="367"/>
      <c r="AV215" s="1349"/>
      <c r="AW215" s="1349"/>
      <c r="AX215" s="1349"/>
      <c r="AY215" s="1349"/>
      <c r="AZ215" s="1349"/>
      <c r="BA215" s="1349"/>
      <c r="BB215" s="1349"/>
      <c r="BC215" s="1349"/>
      <c r="BD215" s="1349"/>
      <c r="BE215" s="1349"/>
      <c r="BF215" s="1349"/>
      <c r="BG215" s="1349"/>
      <c r="BH215" s="1349"/>
      <c r="BI215" s="1349"/>
      <c r="BJ215" s="1349"/>
      <c r="BK215" s="1349"/>
      <c r="BL215" s="1349"/>
      <c r="BM215" s="1349"/>
    </row>
    <row r="216" spans="1:65" hidden="1" outlineLevel="1">
      <c r="A216" s="1341"/>
      <c r="B216" s="2190" t="s">
        <v>1160</v>
      </c>
      <c r="C216" s="2191" t="s">
        <v>538</v>
      </c>
      <c r="D216" s="2192"/>
      <c r="E216" s="2192"/>
      <c r="F216" s="2192"/>
      <c r="G216" s="2192"/>
      <c r="H216" s="2192"/>
      <c r="I216" s="2192"/>
      <c r="J216" s="2192"/>
      <c r="K216" s="2192"/>
      <c r="L216" s="2192"/>
      <c r="M216" s="2192"/>
      <c r="N216" s="2192"/>
      <c r="O216" s="2192"/>
      <c r="P216" s="2192"/>
      <c r="Q216" s="2192"/>
      <c r="R216" s="2192"/>
      <c r="S216" s="2192"/>
      <c r="T216" s="2192"/>
      <c r="U216" s="2192"/>
      <c r="V216" s="2193"/>
      <c r="W216" s="2193">
        <f>W203*1.5</f>
        <v>5986.2599999999993</v>
      </c>
      <c r="X216" s="2193">
        <f>X203*1.5</f>
        <v>7555.0384690678593</v>
      </c>
      <c r="Y216" s="2193">
        <f>Y203*1.3</f>
        <v>6208.2104011006841</v>
      </c>
      <c r="Z216" s="2193">
        <v>6000</v>
      </c>
      <c r="AA216" s="2193">
        <v>6800</v>
      </c>
      <c r="AB216" s="2193">
        <v>6800</v>
      </c>
      <c r="AC216" s="2193">
        <f>AB216*0.87</f>
        <v>5916</v>
      </c>
      <c r="AD216" s="2193">
        <f>AC216</f>
        <v>5916</v>
      </c>
      <c r="AE216" s="2193">
        <f>AD216*1.04</f>
        <v>6152.64</v>
      </c>
      <c r="AF216" s="2193">
        <f t="shared" ref="AF216:AP216" si="478">AE216*1</f>
        <v>6152.64</v>
      </c>
      <c r="AG216" s="2193">
        <v>6000</v>
      </c>
      <c r="AH216" s="2194">
        <v>8000</v>
      </c>
      <c r="AI216" s="2193">
        <v>8000</v>
      </c>
      <c r="AJ216" s="2193">
        <v>11000</v>
      </c>
      <c r="AK216" s="2193">
        <v>11000</v>
      </c>
      <c r="AL216" s="2193">
        <v>11000</v>
      </c>
      <c r="AM216" s="2193">
        <f t="shared" si="478"/>
        <v>11000</v>
      </c>
      <c r="AN216" s="2193">
        <f t="shared" si="478"/>
        <v>11000</v>
      </c>
      <c r="AO216" s="2193">
        <f t="shared" si="478"/>
        <v>11000</v>
      </c>
      <c r="AP216" s="2193">
        <f t="shared" si="478"/>
        <v>11000</v>
      </c>
      <c r="AQ216" s="1349"/>
      <c r="AR216" s="1349"/>
      <c r="AS216" s="1349"/>
      <c r="AT216" s="1349"/>
      <c r="AU216" s="1349"/>
      <c r="AV216" s="1349"/>
      <c r="AW216" s="1349"/>
      <c r="AX216" s="1349"/>
      <c r="AY216" s="1349"/>
      <c r="AZ216" s="1349"/>
      <c r="BA216" s="1349"/>
      <c r="BB216" s="1349"/>
      <c r="BC216" s="1349"/>
      <c r="BD216" s="1349"/>
      <c r="BE216" s="1349"/>
      <c r="BF216" s="1349"/>
      <c r="BG216" s="1349"/>
      <c r="BH216" s="1349"/>
      <c r="BI216" s="1349"/>
      <c r="BJ216" s="1349"/>
      <c r="BK216" s="1349"/>
      <c r="BL216" s="1349"/>
      <c r="BM216" s="1349"/>
    </row>
    <row r="217" spans="1:65" collapsed="1">
      <c r="A217" s="1341"/>
      <c r="B217" s="1491" t="s">
        <v>1160</v>
      </c>
      <c r="C217" s="1492" t="s">
        <v>1488</v>
      </c>
      <c r="D217" s="1493"/>
      <c r="E217" s="1493"/>
      <c r="F217" s="1493"/>
      <c r="G217" s="1493"/>
      <c r="H217" s="1493"/>
      <c r="I217" s="1493"/>
      <c r="J217" s="1493"/>
      <c r="K217" s="1493"/>
      <c r="L217" s="1493"/>
      <c r="M217" s="1493"/>
      <c r="N217" s="1493"/>
      <c r="O217" s="1493"/>
      <c r="P217" s="1493"/>
      <c r="Q217" s="1493"/>
      <c r="R217" s="1493"/>
      <c r="S217" s="1493"/>
      <c r="T217" s="1493"/>
      <c r="U217" s="1493"/>
      <c r="V217" s="1457"/>
      <c r="W217" s="1457"/>
      <c r="X217" s="1457"/>
      <c r="Y217" s="1457"/>
      <c r="Z217" s="1457"/>
      <c r="AA217" s="1457"/>
      <c r="AB217" s="1457"/>
      <c r="AC217" s="1457"/>
      <c r="AD217" s="1457"/>
      <c r="AE217" s="1457"/>
      <c r="AF217" s="1457"/>
      <c r="AG217" s="1457"/>
      <c r="AH217" s="1933"/>
      <c r="AI217" s="2071">
        <f>+Quarterly!IR117</f>
        <v>-600</v>
      </c>
      <c r="AJ217" s="1933"/>
      <c r="AK217" s="2060">
        <f>+Quarterly!JD117</f>
        <v>-5100</v>
      </c>
      <c r="AL217" s="2035">
        <v>-3000</v>
      </c>
      <c r="AM217" s="1457">
        <v>500</v>
      </c>
      <c r="AN217" s="1457">
        <v>500</v>
      </c>
      <c r="AO217" s="1457">
        <v>0</v>
      </c>
      <c r="AP217" s="1457">
        <v>0</v>
      </c>
      <c r="AQ217" s="1349"/>
      <c r="AR217" s="1349"/>
      <c r="AS217" s="1349"/>
      <c r="AT217" s="1349"/>
      <c r="AU217" s="1349"/>
      <c r="AV217" s="1349"/>
      <c r="AW217" s="1349"/>
      <c r="AX217" s="1349"/>
      <c r="AY217" s="1349"/>
      <c r="AZ217" s="1349"/>
      <c r="BA217" s="1349"/>
      <c r="BB217" s="1349"/>
      <c r="BC217" s="1349"/>
      <c r="BD217" s="1349"/>
      <c r="BE217" s="1349"/>
      <c r="BF217" s="1349"/>
      <c r="BG217" s="1349"/>
      <c r="BH217" s="1349"/>
      <c r="BI217" s="1349"/>
      <c r="BJ217" s="1349"/>
      <c r="BK217" s="1349"/>
      <c r="BL217" s="1349"/>
      <c r="BM217" s="1349"/>
    </row>
    <row r="218" spans="1:65">
      <c r="A218" s="1341"/>
      <c r="B218" s="2178" t="s">
        <v>1052</v>
      </c>
      <c r="C218" s="2013" t="s">
        <v>1484</v>
      </c>
      <c r="D218" s="2179"/>
      <c r="E218" s="2179"/>
      <c r="F218" s="2179"/>
      <c r="G218" s="2179"/>
      <c r="H218" s="2179"/>
      <c r="I218" s="2179"/>
      <c r="J218" s="2179"/>
      <c r="K218" s="2179"/>
      <c r="L218" s="2179"/>
      <c r="M218" s="2179"/>
      <c r="N218" s="2179"/>
      <c r="O218" s="2179"/>
      <c r="P218" s="2179"/>
      <c r="Q218" s="2179"/>
      <c r="R218" s="2179"/>
      <c r="S218" s="2179"/>
      <c r="T218" s="2179"/>
      <c r="U218" s="2179"/>
      <c r="V218" s="2015"/>
      <c r="W218" s="2015">
        <v>-1100</v>
      </c>
      <c r="X218" s="2015">
        <v>-1100</v>
      </c>
      <c r="Y218" s="2015">
        <v>-1200</v>
      </c>
      <c r="Z218" s="2015">
        <v>-200</v>
      </c>
      <c r="AA218" s="2015">
        <v>0</v>
      </c>
      <c r="AB218" s="2015">
        <v>200</v>
      </c>
      <c r="AC218" s="2015">
        <v>-1000</v>
      </c>
      <c r="AD218" s="2015">
        <v>-200</v>
      </c>
      <c r="AE218" s="2015">
        <v>400</v>
      </c>
      <c r="AF218" s="2015">
        <v>-500</v>
      </c>
      <c r="AG218" s="2015">
        <v>0</v>
      </c>
      <c r="AH218" s="2016">
        <v>400</v>
      </c>
      <c r="AI218" s="2015">
        <v>400</v>
      </c>
      <c r="AJ218" s="2016">
        <v>-3500</v>
      </c>
      <c r="AK218" s="2017">
        <f>+Quarterly!JD119</f>
        <v>-1100</v>
      </c>
      <c r="AL218" s="2015">
        <v>-200</v>
      </c>
      <c r="AM218" s="2015">
        <v>500</v>
      </c>
      <c r="AN218" s="2015">
        <v>0</v>
      </c>
      <c r="AO218" s="2015">
        <v>0</v>
      </c>
      <c r="AP218" s="2015">
        <v>0</v>
      </c>
      <c r="AQ218" s="1349"/>
      <c r="AR218" s="1349">
        <f>+Quarterly!KH119</f>
        <v>-400</v>
      </c>
      <c r="AS218" s="1349"/>
      <c r="AT218" s="1349">
        <f>+Quarterly!KM119</f>
        <v>-1200</v>
      </c>
      <c r="AU218" s="1349">
        <f>+Quarterly!KW119</f>
        <v>400</v>
      </c>
      <c r="AV218" s="1349"/>
      <c r="AW218" s="1349"/>
      <c r="AX218" s="1349"/>
      <c r="AY218" s="1349"/>
      <c r="AZ218" s="1349"/>
      <c r="BA218" s="1349"/>
      <c r="BB218" s="1349"/>
      <c r="BC218" s="1349"/>
      <c r="BD218" s="1349"/>
      <c r="BE218" s="1349"/>
      <c r="BF218" s="1349"/>
      <c r="BG218" s="1349"/>
      <c r="BH218" s="1349"/>
      <c r="BI218" s="1349"/>
      <c r="BJ218" s="1349"/>
      <c r="BK218" s="1349"/>
      <c r="BL218" s="1349"/>
      <c r="BM218" s="1349"/>
    </row>
    <row r="219" spans="1:65">
      <c r="A219" s="1341"/>
      <c r="B219" s="2178" t="s">
        <v>983</v>
      </c>
      <c r="C219" s="2013" t="s">
        <v>940</v>
      </c>
      <c r="D219" s="2179"/>
      <c r="E219" s="2179"/>
      <c r="F219" s="2179"/>
      <c r="G219" s="2179"/>
      <c r="H219" s="2179"/>
      <c r="I219" s="2179"/>
      <c r="J219" s="2179"/>
      <c r="K219" s="2179"/>
      <c r="L219" s="2179"/>
      <c r="M219" s="2179"/>
      <c r="N219" s="2179"/>
      <c r="O219" s="2179"/>
      <c r="P219" s="2179"/>
      <c r="Q219" s="2179"/>
      <c r="R219" s="2179"/>
      <c r="S219" s="2179"/>
      <c r="T219" s="2179"/>
      <c r="U219" s="2179"/>
      <c r="V219" s="2015"/>
      <c r="W219" s="2015">
        <v>-500</v>
      </c>
      <c r="X219" s="2015">
        <v>-700</v>
      </c>
      <c r="Y219" s="2015">
        <v>-1600</v>
      </c>
      <c r="Z219" s="2015">
        <v>-1400</v>
      </c>
      <c r="AA219" s="2015">
        <v>400</v>
      </c>
      <c r="AB219" s="2015">
        <v>-1700</v>
      </c>
      <c r="AC219" s="2015">
        <v>-900</v>
      </c>
      <c r="AD219" s="2015">
        <v>-2200</v>
      </c>
      <c r="AE219" s="2015">
        <v>-200</v>
      </c>
      <c r="AF219" s="2015">
        <v>-700</v>
      </c>
      <c r="AG219" s="2015">
        <v>1000</v>
      </c>
      <c r="AH219" s="2016">
        <v>-700</v>
      </c>
      <c r="AI219" s="2015">
        <v>-700</v>
      </c>
      <c r="AJ219" s="2016">
        <v>-2000</v>
      </c>
      <c r="AK219" s="2017">
        <f>+Quarterly!JD123</f>
        <v>-2200</v>
      </c>
      <c r="AL219" s="2015">
        <v>-200</v>
      </c>
      <c r="AM219" s="2015">
        <v>-100</v>
      </c>
      <c r="AN219" s="2015">
        <v>-100</v>
      </c>
      <c r="AO219" s="2015">
        <f>AN219</f>
        <v>-100</v>
      </c>
      <c r="AP219" s="2015">
        <v>0</v>
      </c>
      <c r="AQ219" s="1349"/>
      <c r="AR219" s="1349">
        <f>+Quarterly!KH123</f>
        <v>-400</v>
      </c>
      <c r="AS219" s="1349"/>
      <c r="AT219" s="1349">
        <f>+Quarterly!KM123</f>
        <v>-2300</v>
      </c>
      <c r="AU219" s="1349">
        <f>+Quarterly!KW123</f>
        <v>-200</v>
      </c>
      <c r="AV219" s="1349"/>
      <c r="AW219" s="1349"/>
      <c r="AX219" s="1349"/>
      <c r="AY219" s="1349"/>
      <c r="AZ219" s="1349"/>
      <c r="BA219" s="1349"/>
      <c r="BB219" s="1349"/>
      <c r="BC219" s="1349"/>
      <c r="BD219" s="1349"/>
      <c r="BE219" s="1349"/>
      <c r="BF219" s="1349"/>
      <c r="BG219" s="1349"/>
      <c r="BH219" s="1349"/>
      <c r="BI219" s="1349"/>
      <c r="BJ219" s="1349"/>
      <c r="BK219" s="1349"/>
      <c r="BL219" s="1349"/>
      <c r="BM219" s="1349"/>
    </row>
    <row r="220" spans="1:65" hidden="1" outlineLevel="1">
      <c r="A220" s="1341"/>
      <c r="B220" s="2190" t="s">
        <v>1343</v>
      </c>
      <c r="C220" s="2191" t="s">
        <v>1485</v>
      </c>
      <c r="D220" s="2192"/>
      <c r="E220" s="2192"/>
      <c r="F220" s="2192"/>
      <c r="G220" s="2192"/>
      <c r="H220" s="2192"/>
      <c r="I220" s="2192"/>
      <c r="J220" s="2192"/>
      <c r="K220" s="2192"/>
      <c r="L220" s="2192"/>
      <c r="M220" s="2192"/>
      <c r="N220" s="2192"/>
      <c r="O220" s="2192"/>
      <c r="P220" s="2192"/>
      <c r="Q220" s="2192"/>
      <c r="R220" s="2192"/>
      <c r="S220" s="2192"/>
      <c r="T220" s="2192"/>
      <c r="U220" s="2192"/>
      <c r="V220" s="2193"/>
      <c r="W220" s="2193"/>
      <c r="X220" s="2193"/>
      <c r="Y220" s="2193"/>
      <c r="Z220" s="2193"/>
      <c r="AA220" s="2193"/>
      <c r="AB220" s="2193"/>
      <c r="AC220" s="2193"/>
      <c r="AD220" s="2193"/>
      <c r="AE220" s="2193"/>
      <c r="AF220" s="2193">
        <f>AF120</f>
        <v>4400</v>
      </c>
      <c r="AG220" s="2193">
        <f>AG120</f>
        <v>1000</v>
      </c>
      <c r="AH220" s="2194"/>
      <c r="AI220" s="2193"/>
      <c r="AJ220" s="2193">
        <f>AJ120</f>
        <v>6876</v>
      </c>
      <c r="AK220" s="2193">
        <f>AK120</f>
        <v>9705.6</v>
      </c>
      <c r="AL220" s="2193">
        <f>AL120</f>
        <v>1819.8</v>
      </c>
      <c r="AM220" s="2193"/>
      <c r="AN220" s="2193"/>
      <c r="AO220" s="2193"/>
      <c r="AP220" s="2193"/>
      <c r="AQ220" s="1349"/>
      <c r="AR220" s="1349"/>
      <c r="AS220" s="1349"/>
      <c r="AT220" s="1349"/>
      <c r="AU220" s="1349"/>
      <c r="AV220" s="1349"/>
      <c r="AW220" s="1349"/>
      <c r="AX220" s="1349"/>
      <c r="AY220" s="1349"/>
      <c r="AZ220" s="1349"/>
      <c r="BA220" s="1349"/>
      <c r="BB220" s="1349"/>
      <c r="BC220" s="1349"/>
      <c r="BD220" s="1349"/>
      <c r="BE220" s="1349"/>
      <c r="BF220" s="1349"/>
      <c r="BG220" s="1349"/>
      <c r="BH220" s="1349"/>
      <c r="BI220" s="1349"/>
      <c r="BJ220" s="1349"/>
      <c r="BK220" s="1349"/>
      <c r="BL220" s="1349"/>
      <c r="BM220" s="1349"/>
    </row>
    <row r="221" spans="1:65" s="1449" customFormat="1" ht="5.25" customHeight="1" collapsed="1">
      <c r="B221" s="1904"/>
      <c r="U221" s="1441"/>
      <c r="V221" s="1441"/>
      <c r="W221" s="1453"/>
      <c r="X221" s="1453"/>
      <c r="Y221" s="1453"/>
      <c r="Z221" s="1453"/>
      <c r="AA221" s="1453"/>
      <c r="AB221" s="1453"/>
      <c r="AC221" s="1453"/>
      <c r="AD221" s="1453"/>
      <c r="AE221" s="1453"/>
      <c r="AF221" s="1453"/>
      <c r="AG221" s="1453"/>
      <c r="AH221" s="1962"/>
      <c r="AI221" s="1453"/>
      <c r="AJ221" s="1962"/>
      <c r="AK221" s="1905"/>
      <c r="AL221" s="1453"/>
      <c r="AM221" s="1453"/>
      <c r="AN221" s="1453"/>
      <c r="AO221" s="1453"/>
      <c r="AP221" s="1453"/>
      <c r="AQ221" s="1441"/>
      <c r="AR221" s="1664"/>
      <c r="AS221" s="1441"/>
      <c r="AT221" s="1664"/>
      <c r="AU221" s="1664"/>
    </row>
    <row r="222" spans="1:65">
      <c r="A222" s="1341"/>
      <c r="B222" s="1906" t="s">
        <v>636</v>
      </c>
      <c r="C222" s="1487" t="s">
        <v>537</v>
      </c>
      <c r="D222" s="1488"/>
      <c r="E222" s="1488"/>
      <c r="F222" s="1488"/>
      <c r="G222" s="1488"/>
      <c r="H222" s="1488"/>
      <c r="I222" s="1488"/>
      <c r="J222" s="1488"/>
      <c r="K222" s="1488"/>
      <c r="L222" s="1488"/>
      <c r="M222" s="1488"/>
      <c r="N222" s="1488"/>
      <c r="O222" s="1488"/>
      <c r="P222" s="1488"/>
      <c r="Q222" s="1488"/>
      <c r="R222" s="1488"/>
      <c r="S222" s="1488"/>
      <c r="T222" s="1488"/>
      <c r="U222" s="1488"/>
      <c r="V222" s="1488">
        <v>4169</v>
      </c>
      <c r="W222" s="1488">
        <v>4287</v>
      </c>
      <c r="X222" s="1488">
        <v>3607</v>
      </c>
      <c r="Y222" s="1488">
        <v>3567</v>
      </c>
      <c r="Z222" s="1488">
        <v>3344</v>
      </c>
      <c r="AA222" s="1488">
        <v>3500</v>
      </c>
      <c r="AB222" s="1488">
        <v>3853</v>
      </c>
      <c r="AC222" s="1488">
        <v>4943</v>
      </c>
      <c r="AD222" s="1488">
        <v>5271</v>
      </c>
      <c r="AE222" s="1488">
        <v>4800</v>
      </c>
      <c r="AF222" s="1488">
        <v>5600</v>
      </c>
      <c r="AG222" s="1488">
        <v>6700</v>
      </c>
      <c r="AH222" s="1912">
        <v>6400</v>
      </c>
      <c r="AI222" s="1488">
        <f>+Quarterly!IR127</f>
        <v>6372</v>
      </c>
      <c r="AJ222" s="1912">
        <v>5600</v>
      </c>
      <c r="AK222" s="2163">
        <f>+Quarterly!JD127</f>
        <v>5060</v>
      </c>
      <c r="AL222" s="1488">
        <f>ROUND(AK222+AL225+AL226+AL227+AL228,-2)</f>
        <v>7100</v>
      </c>
      <c r="AM222" s="1488">
        <f t="shared" ref="AM222:AP222" si="479">ROUND(AL222+AM225+AM226+AM227+AM228,-2)</f>
        <v>7200</v>
      </c>
      <c r="AN222" s="1488">
        <f t="shared" si="479"/>
        <v>7300</v>
      </c>
      <c r="AO222" s="1488">
        <f t="shared" si="479"/>
        <v>7400</v>
      </c>
      <c r="AP222" s="1488">
        <f t="shared" si="479"/>
        <v>7500</v>
      </c>
      <c r="AQ222" s="1349"/>
      <c r="AR222" s="1349">
        <f>+Quarterly!KH127</f>
        <v>6500</v>
      </c>
      <c r="AS222" s="1349"/>
      <c r="AT222" s="1349">
        <f>+Quarterly!KM127</f>
        <v>5800</v>
      </c>
      <c r="AU222" s="1349">
        <f>+Quarterly!KW127</f>
        <v>6100</v>
      </c>
      <c r="AV222" s="1349"/>
      <c r="AW222" s="1349"/>
      <c r="AX222" s="1349"/>
      <c r="AY222" s="1349"/>
      <c r="AZ222" s="1349"/>
      <c r="BA222" s="1349"/>
      <c r="BB222" s="1349"/>
      <c r="BC222" s="1349"/>
      <c r="BD222" s="1349"/>
      <c r="BE222" s="1349"/>
      <c r="BF222" s="1349"/>
      <c r="BG222" s="1349"/>
      <c r="BH222" s="1349"/>
      <c r="BI222" s="1349"/>
      <c r="BJ222" s="1349"/>
      <c r="BK222" s="1349"/>
      <c r="BL222" s="1349"/>
      <c r="BM222" s="1349"/>
    </row>
    <row r="223" spans="1:65" s="1664" customFormat="1">
      <c r="B223" s="2167" t="s">
        <v>1477</v>
      </c>
      <c r="C223" s="2167" t="s">
        <v>1477</v>
      </c>
      <c r="D223" s="2167"/>
      <c r="E223" s="2167"/>
      <c r="F223" s="2167"/>
      <c r="G223" s="2167"/>
      <c r="H223" s="2167"/>
      <c r="I223" s="2167"/>
      <c r="J223" s="2167"/>
      <c r="K223" s="2167"/>
      <c r="L223" s="2167"/>
      <c r="M223" s="2167"/>
      <c r="N223" s="2167"/>
      <c r="O223" s="2167"/>
      <c r="P223" s="2167"/>
      <c r="Q223" s="2167"/>
      <c r="R223" s="2167"/>
      <c r="S223" s="2167"/>
      <c r="T223" s="2167"/>
      <c r="U223" s="2167"/>
      <c r="V223" s="2167"/>
      <c r="W223" s="2167"/>
      <c r="X223" s="2167"/>
      <c r="Y223" s="2167"/>
      <c r="Z223" s="2167"/>
      <c r="AA223" s="2167"/>
      <c r="AB223" s="2167"/>
      <c r="AC223" s="2167"/>
      <c r="AD223" s="2167">
        <f t="shared" ref="AD223" si="480">+AD222/AC222-1</f>
        <v>6.635646368602055E-2</v>
      </c>
      <c r="AE223" s="2167">
        <f t="shared" ref="AE223" si="481">+AE222/AD222-1</f>
        <v>-8.9356858281161022E-2</v>
      </c>
      <c r="AF223" s="2167">
        <f t="shared" ref="AF223" si="482">+AF222/AE222-1</f>
        <v>0.16666666666666674</v>
      </c>
      <c r="AG223" s="2167">
        <f t="shared" ref="AG223" si="483">+AG222/AF222-1</f>
        <v>0.1964285714285714</v>
      </c>
      <c r="AH223" s="2167">
        <f t="shared" ref="AH223" si="484">+AH222/AG222-1</f>
        <v>-4.4776119402985093E-2</v>
      </c>
      <c r="AI223" s="2167">
        <f>+AI222/AG222-1</f>
        <v>-4.8955223880597032E-2</v>
      </c>
      <c r="AJ223" s="2167">
        <f t="shared" ref="AJ223" si="485">+AJ222/AI222-1</f>
        <v>-0.12115505335844323</v>
      </c>
      <c r="AK223" s="2168">
        <f>+AK222/AI222-1</f>
        <v>-0.20590081607030764</v>
      </c>
      <c r="AL223" s="2167">
        <f>+AL222/AK222-1</f>
        <v>0.40316205533596827</v>
      </c>
      <c r="AM223" s="2167">
        <f t="shared" ref="AM223" si="486">+AM222/AL222-1</f>
        <v>1.4084507042253502E-2</v>
      </c>
      <c r="AN223" s="2167">
        <f t="shared" ref="AN223" si="487">+AN222/AM222-1</f>
        <v>1.388888888888884E-2</v>
      </c>
      <c r="AO223" s="2167">
        <f t="shared" ref="AO223" si="488">+AO222/AN222-1</f>
        <v>1.3698630136986356E-2</v>
      </c>
      <c r="AP223" s="2167">
        <f t="shared" ref="AP223" si="489">+AP222/AO222-1</f>
        <v>1.3513513513513598E-2</v>
      </c>
    </row>
    <row r="224" spans="1:65" s="1449" customFormat="1">
      <c r="A224" s="2164"/>
      <c r="B224" s="1909" t="s">
        <v>1478</v>
      </c>
      <c r="C224" s="1909" t="s">
        <v>1478</v>
      </c>
      <c r="D224" s="1912"/>
      <c r="E224" s="1912"/>
      <c r="F224" s="1912"/>
      <c r="G224" s="1912"/>
      <c r="H224" s="1912"/>
      <c r="I224" s="1912"/>
      <c r="J224" s="1912"/>
      <c r="K224" s="1912"/>
      <c r="L224" s="1912"/>
      <c r="M224" s="1912"/>
      <c r="N224" s="1912"/>
      <c r="O224" s="1912"/>
      <c r="P224" s="1912"/>
      <c r="Q224" s="1912"/>
      <c r="R224" s="1912"/>
      <c r="S224" s="1912"/>
      <c r="T224" s="1912"/>
      <c r="U224" s="1912"/>
      <c r="V224" s="1910">
        <f t="shared" ref="V224:AP224" si="490">V222/V124</f>
        <v>6.3900554857300507E-2</v>
      </c>
      <c r="W224" s="1910">
        <f t="shared" si="490"/>
        <v>6.7641768436997068E-2</v>
      </c>
      <c r="X224" s="1910">
        <f t="shared" si="490"/>
        <v>5.6917881714321786E-2</v>
      </c>
      <c r="Y224" s="1910">
        <f t="shared" si="490"/>
        <v>5.7468301406499216E-2</v>
      </c>
      <c r="Z224" s="1910">
        <f t="shared" si="490"/>
        <v>5.2331768388106416E-2</v>
      </c>
      <c r="AA224" s="1910">
        <f t="shared" si="490"/>
        <v>5.2238805970149252E-2</v>
      </c>
      <c r="AB224" s="1910">
        <f t="shared" si="490"/>
        <v>5.6495601173020528E-2</v>
      </c>
      <c r="AC224" s="1910">
        <f t="shared" si="490"/>
        <v>7.3556547619047619E-2</v>
      </c>
      <c r="AD224" s="1910">
        <f t="shared" si="490"/>
        <v>7.6948905109489055E-2</v>
      </c>
      <c r="AE224" s="1910">
        <f t="shared" si="490"/>
        <v>6.9364161849710976E-2</v>
      </c>
      <c r="AF224" s="1910">
        <f t="shared" si="490"/>
        <v>7.7455048409405258E-2</v>
      </c>
      <c r="AG224" s="1910">
        <f t="shared" si="490"/>
        <v>8.5787451984635082E-2</v>
      </c>
      <c r="AH224" s="1910">
        <f t="shared" si="490"/>
        <v>0.12427184466019417</v>
      </c>
      <c r="AI224" s="1910">
        <f t="shared" si="490"/>
        <v>0.12421052631578948</v>
      </c>
      <c r="AJ224" s="1910">
        <f t="shared" si="490"/>
        <v>9.556313993174062E-2</v>
      </c>
      <c r="AK224" s="1911">
        <f t="shared" si="490"/>
        <v>9.5766224426065069E-2</v>
      </c>
      <c r="AL224" s="1910">
        <f t="shared" si="490"/>
        <v>0.12611012433392541</v>
      </c>
      <c r="AM224" s="1910">
        <f t="shared" si="490"/>
        <v>0.12676056338028169</v>
      </c>
      <c r="AN224" s="1910">
        <f t="shared" si="490"/>
        <v>0.12784588441330999</v>
      </c>
      <c r="AO224" s="1910">
        <f t="shared" si="490"/>
        <v>0.12869565217391304</v>
      </c>
      <c r="AP224" s="1910">
        <f t="shared" si="490"/>
        <v>0.12975778546712802</v>
      </c>
      <c r="AQ224" s="1453"/>
      <c r="AR224" s="1453">
        <f>AR222/AR124</f>
        <v>0.11882998171846434</v>
      </c>
      <c r="AS224" s="1453"/>
      <c r="AT224" s="1453">
        <f>AT222/AT124</f>
        <v>0.10902255639097744</v>
      </c>
      <c r="AU224" s="1453">
        <f>AU222/AU124</f>
        <v>0.11730769230769231</v>
      </c>
      <c r="AV224" s="2165"/>
      <c r="AW224" s="2165"/>
      <c r="AX224" s="2165"/>
      <c r="AY224" s="2165"/>
      <c r="AZ224" s="2165"/>
      <c r="BA224" s="2165"/>
      <c r="BB224" s="2165"/>
      <c r="BC224" s="2165"/>
      <c r="BD224" s="2165"/>
      <c r="BE224" s="2165"/>
      <c r="BF224" s="2165"/>
      <c r="BG224" s="2165"/>
      <c r="BH224" s="2165"/>
      <c r="BI224" s="2165"/>
      <c r="BJ224" s="2165"/>
      <c r="BK224" s="2165"/>
      <c r="BL224" s="2165"/>
      <c r="BM224" s="2165"/>
    </row>
    <row r="225" spans="1:65" s="2144" customFormat="1" ht="11.5">
      <c r="B225" s="2195" t="s">
        <v>1491</v>
      </c>
      <c r="C225" s="2195" t="s">
        <v>1490</v>
      </c>
      <c r="D225" s="2195"/>
      <c r="E225" s="2195"/>
      <c r="F225" s="2195"/>
      <c r="G225" s="2195"/>
      <c r="H225" s="2195"/>
      <c r="I225" s="2195"/>
      <c r="J225" s="2195"/>
      <c r="K225" s="2195"/>
      <c r="L225" s="2195"/>
      <c r="M225" s="2195"/>
      <c r="N225" s="2195"/>
      <c r="O225" s="2195"/>
      <c r="P225" s="2195"/>
      <c r="Q225" s="2195"/>
      <c r="R225" s="2195"/>
      <c r="S225" s="2195"/>
      <c r="T225" s="2195"/>
      <c r="U225" s="2195"/>
      <c r="V225" s="2195" t="s">
        <v>28</v>
      </c>
      <c r="W225" s="2195"/>
      <c r="X225" s="2195"/>
      <c r="Y225" s="2195"/>
      <c r="Z225" s="2195"/>
      <c r="AA225" s="2195"/>
      <c r="AB225" s="2195"/>
      <c r="AC225" s="2195"/>
      <c r="AD225" s="2195"/>
      <c r="AE225" s="2195"/>
      <c r="AF225" s="2195"/>
      <c r="AG225" s="2195"/>
      <c r="AH225" s="2195"/>
      <c r="AI225" s="2195"/>
      <c r="AJ225" s="2195"/>
      <c r="AK225" s="2196">
        <f>+Quarterly!JD130</f>
        <v>2800</v>
      </c>
      <c r="AL225" s="2195">
        <f>+ROUND((AL124-AK124)*(0.75+0.25*0.4),-2)+1800</f>
        <v>4700</v>
      </c>
      <c r="AM225" s="2195">
        <f>+ROUND((AM124-AL124)*(0.5+0.5*0.3),-2)-100</f>
        <v>200</v>
      </c>
      <c r="AN225" s="2195">
        <f>+ROUND(AM124*AN130*0.3+AM124*(AN132/AM132-1)*2,-2)</f>
        <v>100</v>
      </c>
      <c r="AO225" s="2195">
        <f t="shared" ref="AO225:AP225" si="491">+ROUND(AN124*AO130*0.3+AN124*(AO132/AN132-1)*2,-2)</f>
        <v>100</v>
      </c>
      <c r="AP225" s="2195">
        <f t="shared" si="491"/>
        <v>100</v>
      </c>
      <c r="AR225" s="2144">
        <f>+Quarterly!KH130</f>
        <v>4000</v>
      </c>
    </row>
    <row r="226" spans="1:65" s="2144" customFormat="1" ht="11.5">
      <c r="B226" s="2195" t="s">
        <v>1492</v>
      </c>
      <c r="C226" s="2195" t="s">
        <v>942</v>
      </c>
      <c r="D226" s="2195"/>
      <c r="E226" s="2195"/>
      <c r="F226" s="2195"/>
      <c r="G226" s="2195"/>
      <c r="H226" s="2195"/>
      <c r="I226" s="2195"/>
      <c r="J226" s="2195"/>
      <c r="K226" s="2195"/>
      <c r="L226" s="2195"/>
      <c r="M226" s="2195"/>
      <c r="N226" s="2195"/>
      <c r="O226" s="2195"/>
      <c r="P226" s="2195"/>
      <c r="Q226" s="2195"/>
      <c r="R226" s="2195"/>
      <c r="S226" s="2195"/>
      <c r="T226" s="2195"/>
      <c r="U226" s="2195"/>
      <c r="V226" s="2195"/>
      <c r="W226" s="2195"/>
      <c r="X226" s="2195"/>
      <c r="Y226" s="2195"/>
      <c r="Z226" s="2195"/>
      <c r="AA226" s="2195"/>
      <c r="AB226" s="2195"/>
      <c r="AC226" s="2195"/>
      <c r="AD226" s="2195"/>
      <c r="AE226" s="2195"/>
      <c r="AF226" s="2195"/>
      <c r="AG226" s="2195"/>
      <c r="AH226" s="2195"/>
      <c r="AI226" s="2195"/>
      <c r="AJ226" s="2195"/>
      <c r="AK226" s="2196">
        <f>+Quarterly!JD134</f>
        <v>-3000</v>
      </c>
      <c r="AL226" s="2195">
        <v>-2000</v>
      </c>
      <c r="AM226" s="2195"/>
      <c r="AN226" s="2195"/>
      <c r="AO226" s="2195"/>
      <c r="AP226" s="2195"/>
      <c r="AR226" s="2144">
        <f>+Quarterly!KH134</f>
        <v>-2100</v>
      </c>
    </row>
    <row r="227" spans="1:65" s="2144" customFormat="1" ht="11.5">
      <c r="B227" s="2195" t="s">
        <v>1493</v>
      </c>
      <c r="C227" s="2195" t="s">
        <v>941</v>
      </c>
      <c r="D227" s="2195"/>
      <c r="E227" s="2195"/>
      <c r="F227" s="2195"/>
      <c r="G227" s="2195"/>
      <c r="H227" s="2195"/>
      <c r="I227" s="2195"/>
      <c r="J227" s="2195"/>
      <c r="K227" s="2195"/>
      <c r="L227" s="2195"/>
      <c r="M227" s="2195"/>
      <c r="N227" s="2195"/>
      <c r="O227" s="2195"/>
      <c r="P227" s="2195"/>
      <c r="Q227" s="2195"/>
      <c r="R227" s="2195"/>
      <c r="S227" s="2195"/>
      <c r="T227" s="2195"/>
      <c r="U227" s="2195"/>
      <c r="V227" s="2195"/>
      <c r="W227" s="2195"/>
      <c r="X227" s="2195"/>
      <c r="Y227" s="2195"/>
      <c r="Z227" s="2195"/>
      <c r="AA227" s="2195"/>
      <c r="AB227" s="2195"/>
      <c r="AC227" s="2195"/>
      <c r="AD227" s="2195"/>
      <c r="AE227" s="2195"/>
      <c r="AF227" s="2195"/>
      <c r="AG227" s="2195"/>
      <c r="AH227" s="2195"/>
      <c r="AI227" s="2195"/>
      <c r="AJ227" s="2195"/>
      <c r="AK227" s="2196">
        <f>+Quarterly!JD137</f>
        <v>-500</v>
      </c>
      <c r="AL227" s="2195">
        <v>-300</v>
      </c>
      <c r="AM227" s="2195"/>
      <c r="AN227" s="2195"/>
      <c r="AO227" s="2195"/>
      <c r="AP227" s="2195"/>
      <c r="AR227" s="2144">
        <f>+Quarterly!KH137</f>
        <v>-200</v>
      </c>
    </row>
    <row r="228" spans="1:65" s="2144" customFormat="1" ht="11.5">
      <c r="B228" s="2195" t="s">
        <v>1494</v>
      </c>
      <c r="C228" s="2195" t="s">
        <v>940</v>
      </c>
      <c r="D228" s="2195"/>
      <c r="E228" s="2195"/>
      <c r="F228" s="2195"/>
      <c r="G228" s="2195"/>
      <c r="H228" s="2195"/>
      <c r="I228" s="2195"/>
      <c r="J228" s="2195"/>
      <c r="K228" s="2195"/>
      <c r="L228" s="2195"/>
      <c r="M228" s="2195"/>
      <c r="N228" s="2195"/>
      <c r="O228" s="2195"/>
      <c r="P228" s="2195"/>
      <c r="Q228" s="2195"/>
      <c r="R228" s="2195"/>
      <c r="S228" s="2195"/>
      <c r="T228" s="2195"/>
      <c r="U228" s="2195"/>
      <c r="V228" s="2195"/>
      <c r="W228" s="2195"/>
      <c r="X228" s="2195"/>
      <c r="Y228" s="2195"/>
      <c r="Z228" s="2195"/>
      <c r="AA228" s="2195"/>
      <c r="AB228" s="2195"/>
      <c r="AC228" s="2195"/>
      <c r="AD228" s="2195"/>
      <c r="AE228" s="2195"/>
      <c r="AF228" s="2195"/>
      <c r="AG228" s="2195"/>
      <c r="AH228" s="2195"/>
      <c r="AI228" s="2195"/>
      <c r="AJ228" s="2195"/>
      <c r="AK228" s="2196">
        <f>+Quarterly!JD139</f>
        <v>-600</v>
      </c>
      <c r="AL228" s="2195">
        <v>-400</v>
      </c>
      <c r="AM228" s="2195">
        <v>-100</v>
      </c>
      <c r="AN228" s="2195"/>
      <c r="AO228" s="2195">
        <f t="shared" ref="AO228:AP228" si="492">+AN228</f>
        <v>0</v>
      </c>
      <c r="AP228" s="2195">
        <f t="shared" si="492"/>
        <v>0</v>
      </c>
      <c r="AR228" s="2144">
        <f>+Quarterly!KH139</f>
        <v>-300</v>
      </c>
    </row>
    <row r="229" spans="1:65" s="1449" customFormat="1" ht="5.25" customHeight="1">
      <c r="B229" s="1904"/>
      <c r="U229" s="1441"/>
      <c r="V229" s="1441"/>
      <c r="W229" s="1453"/>
      <c r="X229" s="1453"/>
      <c r="Y229" s="1453"/>
      <c r="Z229" s="1453"/>
      <c r="AA229" s="1453"/>
      <c r="AB229" s="1453"/>
      <c r="AC229" s="1453"/>
      <c r="AD229" s="1453"/>
      <c r="AE229" s="1453"/>
      <c r="AF229" s="1453"/>
      <c r="AG229" s="1453"/>
      <c r="AH229" s="1962"/>
      <c r="AI229" s="1453"/>
      <c r="AJ229" s="1962"/>
      <c r="AK229" s="1905"/>
      <c r="AL229" s="1453"/>
      <c r="AM229" s="1453"/>
      <c r="AN229" s="1453"/>
      <c r="AO229" s="1453"/>
      <c r="AP229" s="1453"/>
      <c r="AQ229" s="1441"/>
      <c r="AR229" s="1664"/>
      <c r="AS229" s="1441"/>
      <c r="AT229" s="1664"/>
      <c r="AU229" s="1664"/>
    </row>
    <row r="230" spans="1:65">
      <c r="A230" s="1341"/>
      <c r="B230" s="1906" t="s">
        <v>634</v>
      </c>
      <c r="C230" s="1487" t="s">
        <v>536</v>
      </c>
      <c r="D230" s="1488"/>
      <c r="E230" s="1488"/>
      <c r="F230" s="1488"/>
      <c r="G230" s="1488"/>
      <c r="H230" s="1488"/>
      <c r="I230" s="1488"/>
      <c r="J230" s="1488"/>
      <c r="K230" s="1488"/>
      <c r="L230" s="1488"/>
      <c r="M230" s="1488"/>
      <c r="N230" s="1488"/>
      <c r="O230" s="1488"/>
      <c r="P230" s="1488"/>
      <c r="Q230" s="1488"/>
      <c r="R230" s="1488"/>
      <c r="S230" s="1488"/>
      <c r="T230" s="1488"/>
      <c r="U230" s="1488"/>
      <c r="V230" s="1488">
        <v>637</v>
      </c>
      <c r="W230" s="1488">
        <v>543</v>
      </c>
      <c r="X230" s="1488">
        <v>578</v>
      </c>
      <c r="Y230" s="1488">
        <v>-85</v>
      </c>
      <c r="Z230" s="1488">
        <v>206</v>
      </c>
      <c r="AA230" s="1488">
        <v>500</v>
      </c>
      <c r="AB230" s="1488">
        <v>883</v>
      </c>
      <c r="AC230" s="1488">
        <v>728</v>
      </c>
      <c r="AD230" s="1488">
        <v>133</v>
      </c>
      <c r="AE230" s="1488">
        <v>-900</v>
      </c>
      <c r="AF230" s="1488">
        <v>-1300</v>
      </c>
      <c r="AG230" s="1488">
        <v>-600</v>
      </c>
      <c r="AH230" s="1912">
        <v>200</v>
      </c>
      <c r="AI230" s="1488">
        <f>+Quarterly!IR142</f>
        <v>230</v>
      </c>
      <c r="AJ230" s="1912">
        <v>700</v>
      </c>
      <c r="AK230" s="2163">
        <f>+Quarterly!JD142</f>
        <v>124</v>
      </c>
      <c r="AL230" s="1488">
        <f>ROUND(AK230+400,-2)</f>
        <v>500</v>
      </c>
      <c r="AM230" s="1488">
        <f>ROUND(AL230+100,-2)</f>
        <v>600</v>
      </c>
      <c r="AN230" s="1488">
        <f t="shared" ref="AN230:AP230" si="493">ROUND(AM230+100,-2)</f>
        <v>700</v>
      </c>
      <c r="AO230" s="1488">
        <f t="shared" si="493"/>
        <v>800</v>
      </c>
      <c r="AP230" s="1488">
        <f t="shared" si="493"/>
        <v>900</v>
      </c>
      <c r="AQ230" s="1349"/>
      <c r="AR230" s="1349">
        <f>+Quarterly!KH142</f>
        <v>300</v>
      </c>
      <c r="AS230" s="1349"/>
      <c r="AT230" s="1349">
        <f>+Quarterly!KM142</f>
        <v>500</v>
      </c>
      <c r="AU230" s="1349">
        <f>+Quarterly!KW142</f>
        <v>-200</v>
      </c>
      <c r="AV230" s="1349"/>
      <c r="AW230" s="1349"/>
      <c r="AX230" s="1349"/>
      <c r="AY230" s="1349"/>
      <c r="AZ230" s="1349"/>
      <c r="BA230" s="1349"/>
      <c r="BB230" s="1349"/>
      <c r="BC230" s="1349"/>
      <c r="BD230" s="1349"/>
      <c r="BE230" s="1349"/>
      <c r="BF230" s="1349"/>
      <c r="BG230" s="1349"/>
      <c r="BH230" s="1349"/>
      <c r="BI230" s="1349"/>
      <c r="BJ230" s="1349"/>
      <c r="BK230" s="1349"/>
      <c r="BL230" s="1349"/>
      <c r="BM230" s="1349"/>
    </row>
    <row r="231" spans="1:65" s="1449" customFormat="1">
      <c r="A231" s="2164"/>
      <c r="B231" s="1909" t="s">
        <v>1478</v>
      </c>
      <c r="C231" s="1909" t="s">
        <v>1478</v>
      </c>
      <c r="D231" s="1912"/>
      <c r="E231" s="1912"/>
      <c r="F231" s="1912"/>
      <c r="G231" s="1912"/>
      <c r="H231" s="1912"/>
      <c r="I231" s="1912"/>
      <c r="J231" s="1912"/>
      <c r="K231" s="1912"/>
      <c r="L231" s="1912"/>
      <c r="M231" s="1912"/>
      <c r="N231" s="1912"/>
      <c r="O231" s="1912"/>
      <c r="P231" s="1912"/>
      <c r="Q231" s="1912"/>
      <c r="R231" s="1912"/>
      <c r="S231" s="1912"/>
      <c r="T231" s="1912"/>
      <c r="U231" s="1912"/>
      <c r="V231" s="1910">
        <f t="shared" ref="V231:AP231" si="494">V230/V138</f>
        <v>3.3072010799023936E-2</v>
      </c>
      <c r="W231" s="1910">
        <f t="shared" si="494"/>
        <v>2.9618720340369824E-2</v>
      </c>
      <c r="X231" s="1910">
        <f t="shared" si="494"/>
        <v>3.3536408471134323E-2</v>
      </c>
      <c r="Y231" s="1910">
        <f t="shared" si="494"/>
        <v>-4.7898117885720728E-3</v>
      </c>
      <c r="Z231" s="1910">
        <f t="shared" si="494"/>
        <v>1.1135135135135135E-2</v>
      </c>
      <c r="AA231" s="1910">
        <f t="shared" si="494"/>
        <v>2.7322404371584699E-2</v>
      </c>
      <c r="AB231" s="1910">
        <f t="shared" si="494"/>
        <v>4.4595959595959599E-2</v>
      </c>
      <c r="AC231" s="1910">
        <f t="shared" si="494"/>
        <v>3.4018691588785045E-2</v>
      </c>
      <c r="AD231" s="1910">
        <f t="shared" si="494"/>
        <v>6.2356416147029865E-3</v>
      </c>
      <c r="AE231" s="1910">
        <f t="shared" si="494"/>
        <v>-3.9647577092511016E-2</v>
      </c>
      <c r="AF231" s="1910">
        <f t="shared" si="494"/>
        <v>-5.3719008264462811E-2</v>
      </c>
      <c r="AG231" s="1910">
        <f t="shared" si="494"/>
        <v>-2.2813688212927757E-2</v>
      </c>
      <c r="AH231" s="1910">
        <f t="shared" si="494"/>
        <v>1.0256410256410256E-2</v>
      </c>
      <c r="AI231" s="1910">
        <f t="shared" si="494"/>
        <v>1.1794871794871795E-2</v>
      </c>
      <c r="AJ231" s="1910">
        <f t="shared" si="494"/>
        <v>3.125E-2</v>
      </c>
      <c r="AK231" s="1911">
        <f t="shared" si="494"/>
        <v>6.0999606454151907E-3</v>
      </c>
      <c r="AL231" s="1910">
        <f t="shared" si="494"/>
        <v>2.4875621890547265E-2</v>
      </c>
      <c r="AM231" s="1910">
        <f t="shared" si="494"/>
        <v>2.8846153846153848E-2</v>
      </c>
      <c r="AN231" s="1910">
        <f t="shared" si="494"/>
        <v>3.3018867924528301E-2</v>
      </c>
      <c r="AO231" s="1910">
        <f t="shared" si="494"/>
        <v>3.7209302325581395E-2</v>
      </c>
      <c r="AP231" s="1910">
        <f t="shared" si="494"/>
        <v>4.1284403669724773E-2</v>
      </c>
      <c r="AQ231" s="1453"/>
      <c r="AR231" s="1453"/>
      <c r="AS231" s="1453"/>
      <c r="AT231" s="1453">
        <f>AT230/AT138</f>
        <v>2.5000000000000001E-2</v>
      </c>
      <c r="AU231" s="1453">
        <f>AU230/AU138</f>
        <v>-0.01</v>
      </c>
      <c r="AV231" s="2165"/>
      <c r="AW231" s="2165"/>
      <c r="AX231" s="2165"/>
      <c r="AY231" s="2165"/>
      <c r="AZ231" s="2165"/>
      <c r="BA231" s="2165"/>
      <c r="BB231" s="2165"/>
      <c r="BC231" s="2165"/>
      <c r="BD231" s="2165"/>
      <c r="BE231" s="2165"/>
      <c r="BF231" s="2165"/>
      <c r="BG231" s="2165"/>
      <c r="BH231" s="2165"/>
      <c r="BI231" s="2165"/>
      <c r="BJ231" s="2165"/>
      <c r="BK231" s="2165"/>
      <c r="BL231" s="2165"/>
      <c r="BM231" s="2165"/>
    </row>
    <row r="232" spans="1:65" s="1449" customFormat="1" ht="5.25" customHeight="1">
      <c r="B232" s="1904"/>
      <c r="U232" s="1441"/>
      <c r="V232" s="1441"/>
      <c r="W232" s="1453"/>
      <c r="X232" s="1453"/>
      <c r="Y232" s="1453"/>
      <c r="Z232" s="1453"/>
      <c r="AA232" s="1453"/>
      <c r="AB232" s="1453"/>
      <c r="AC232" s="1453"/>
      <c r="AD232" s="1453"/>
      <c r="AE232" s="1453"/>
      <c r="AF232" s="1453"/>
      <c r="AG232" s="1453"/>
      <c r="AH232" s="1962"/>
      <c r="AI232" s="1453"/>
      <c r="AJ232" s="1962"/>
      <c r="AK232" s="1905"/>
      <c r="AL232" s="1453"/>
      <c r="AM232" s="1453"/>
      <c r="AN232" s="1453"/>
      <c r="AO232" s="1453"/>
      <c r="AP232" s="1453"/>
      <c r="AQ232" s="1441"/>
      <c r="AR232" s="1664"/>
      <c r="AS232" s="1441"/>
      <c r="AT232" s="1664"/>
      <c r="AU232" s="1664"/>
    </row>
    <row r="233" spans="1:65">
      <c r="A233" s="1341"/>
      <c r="B233" s="1906" t="s">
        <v>632</v>
      </c>
      <c r="C233" s="1487" t="s">
        <v>535</v>
      </c>
      <c r="D233" s="1488"/>
      <c r="E233" s="1488"/>
      <c r="F233" s="1488"/>
      <c r="G233" s="1488"/>
      <c r="H233" s="1488"/>
      <c r="I233" s="1488"/>
      <c r="J233" s="1488"/>
      <c r="K233" s="1488"/>
      <c r="L233" s="1488"/>
      <c r="M233" s="1488"/>
      <c r="N233" s="1488"/>
      <c r="O233" s="1488"/>
      <c r="P233" s="1488"/>
      <c r="Q233" s="1488"/>
      <c r="R233" s="1488"/>
      <c r="S233" s="1488"/>
      <c r="T233" s="1488"/>
      <c r="U233" s="1488"/>
      <c r="V233" s="1488">
        <v>882</v>
      </c>
      <c r="W233" s="1488">
        <v>550</v>
      </c>
      <c r="X233" s="1488">
        <v>1152</v>
      </c>
      <c r="Y233" s="1488">
        <v>1146</v>
      </c>
      <c r="Z233" s="1488">
        <v>1224</v>
      </c>
      <c r="AA233" s="1488">
        <v>1200</v>
      </c>
      <c r="AB233" s="1488">
        <v>1655</v>
      </c>
      <c r="AC233" s="1488">
        <v>1687</v>
      </c>
      <c r="AD233" s="1488">
        <v>2034</v>
      </c>
      <c r="AE233" s="1488">
        <v>1500</v>
      </c>
      <c r="AF233" s="1488">
        <v>1300</v>
      </c>
      <c r="AG233" s="1488">
        <v>1300</v>
      </c>
      <c r="AH233" s="1912">
        <v>2300</v>
      </c>
      <c r="AI233" s="1488">
        <f>+Quarterly!IR149</f>
        <v>2342</v>
      </c>
      <c r="AJ233" s="1912">
        <v>2100</v>
      </c>
      <c r="AK233" s="2163">
        <f>+Quarterly!JD149</f>
        <v>1851</v>
      </c>
      <c r="AL233" s="2359">
        <v>2100</v>
      </c>
      <c r="AM233" s="2359">
        <f t="shared" ref="AM233" si="495">ROUND(AL233+100,-2)</f>
        <v>2200</v>
      </c>
      <c r="AN233" s="2359">
        <f t="shared" ref="AN233" si="496">ROUND(AM233+100,-2)</f>
        <v>2300</v>
      </c>
      <c r="AO233" s="2359">
        <f t="shared" ref="AO233" si="497">ROUND(AN233+100,-2)</f>
        <v>2400</v>
      </c>
      <c r="AP233" s="2359">
        <f t="shared" ref="AP233" si="498">ROUND(AO233+100,-2)</f>
        <v>2500</v>
      </c>
      <c r="AQ233" s="1349"/>
      <c r="AR233" s="1349">
        <f>+Quarterly!KH149</f>
        <v>1800</v>
      </c>
      <c r="AS233" s="1349"/>
      <c r="AT233" s="1349">
        <f>+Quarterly!KM149</f>
        <v>2100</v>
      </c>
      <c r="AU233" s="1349">
        <f>+Quarterly!KW149</f>
        <v>1900</v>
      </c>
      <c r="AV233" s="1349"/>
      <c r="AW233" s="1349"/>
      <c r="AX233" s="1349"/>
      <c r="AY233" s="1349"/>
      <c r="AZ233" s="1349"/>
      <c r="BA233" s="1349"/>
      <c r="BB233" s="1349"/>
      <c r="BC233" s="1349"/>
      <c r="BD233" s="1349"/>
      <c r="BE233" s="1349"/>
      <c r="BF233" s="1349"/>
      <c r="BG233" s="1349"/>
      <c r="BH233" s="1349"/>
      <c r="BI233" s="1349"/>
      <c r="BJ233" s="1349"/>
      <c r="BK233" s="1349"/>
      <c r="BL233" s="1349"/>
      <c r="BM233" s="1349"/>
    </row>
    <row r="234" spans="1:65" s="1664" customFormat="1">
      <c r="B234" s="2167" t="s">
        <v>1477</v>
      </c>
      <c r="C234" s="2167" t="s">
        <v>1477</v>
      </c>
      <c r="D234" s="2167"/>
      <c r="E234" s="2167"/>
      <c r="F234" s="2167"/>
      <c r="G234" s="2167"/>
      <c r="H234" s="2167"/>
      <c r="I234" s="2167"/>
      <c r="J234" s="2167"/>
      <c r="K234" s="2167"/>
      <c r="L234" s="2167"/>
      <c r="M234" s="2167"/>
      <c r="N234" s="2167"/>
      <c r="O234" s="2167"/>
      <c r="P234" s="2167"/>
      <c r="Q234" s="2167"/>
      <c r="R234" s="2167"/>
      <c r="S234" s="2167"/>
      <c r="T234" s="2167"/>
      <c r="U234" s="2167"/>
      <c r="V234" s="2167"/>
      <c r="W234" s="2167"/>
      <c r="X234" s="2167"/>
      <c r="Y234" s="2167"/>
      <c r="Z234" s="2167"/>
      <c r="AA234" s="2167"/>
      <c r="AB234" s="2167"/>
      <c r="AC234" s="2167"/>
      <c r="AD234" s="2167">
        <f t="shared" ref="AD234" si="499">+AD233/AC233-1</f>
        <v>0.20569057498518073</v>
      </c>
      <c r="AE234" s="2167">
        <f t="shared" ref="AE234" si="500">+AE233/AD233-1</f>
        <v>-0.26253687315634222</v>
      </c>
      <c r="AF234" s="2167">
        <f t="shared" ref="AF234" si="501">+AF233/AE233-1</f>
        <v>-0.1333333333333333</v>
      </c>
      <c r="AG234" s="2167">
        <f t="shared" ref="AG234" si="502">+AG233/AF233-1</f>
        <v>0</v>
      </c>
      <c r="AH234" s="2167">
        <f t="shared" ref="AH234" si="503">+AH233/AG233-1</f>
        <v>0.76923076923076916</v>
      </c>
      <c r="AI234" s="2167">
        <f>+AI233/AG233-1</f>
        <v>0.80153846153846153</v>
      </c>
      <c r="AJ234" s="2167">
        <f t="shared" ref="AJ234" si="504">+AJ233/AI233-1</f>
        <v>-0.10333048676345002</v>
      </c>
      <c r="AK234" s="2168">
        <f>+AK233/AI233-1</f>
        <v>-0.20964987190435525</v>
      </c>
      <c r="AL234" s="2167">
        <f>+AL233/AK233-1</f>
        <v>0.13452188006482979</v>
      </c>
      <c r="AM234" s="2167">
        <f t="shared" ref="AM234" si="505">+AM233/AL233-1</f>
        <v>4.7619047619047672E-2</v>
      </c>
      <c r="AN234" s="2167">
        <f t="shared" ref="AN234" si="506">+AN233/AM233-1</f>
        <v>4.5454545454545414E-2</v>
      </c>
      <c r="AO234" s="2167">
        <f t="shared" ref="AO234" si="507">+AO233/AN233-1</f>
        <v>4.3478260869565188E-2</v>
      </c>
      <c r="AP234" s="2167">
        <f t="shared" ref="AP234" si="508">+AP233/AO233-1</f>
        <v>4.1666666666666741E-2</v>
      </c>
    </row>
    <row r="235" spans="1:65" s="1449" customFormat="1">
      <c r="A235" s="2164"/>
      <c r="B235" s="1909" t="s">
        <v>1478</v>
      </c>
      <c r="C235" s="1909" t="s">
        <v>1478</v>
      </c>
      <c r="D235" s="1912"/>
      <c r="E235" s="1912"/>
      <c r="F235" s="1912"/>
      <c r="G235" s="1912"/>
      <c r="H235" s="1912"/>
      <c r="I235" s="1912"/>
      <c r="J235" s="1912"/>
      <c r="K235" s="1912"/>
      <c r="L235" s="1912"/>
      <c r="M235" s="1912"/>
      <c r="N235" s="1912"/>
      <c r="O235" s="1912"/>
      <c r="P235" s="1912"/>
      <c r="Q235" s="1912"/>
      <c r="R235" s="1912"/>
      <c r="S235" s="1912"/>
      <c r="T235" s="1912"/>
      <c r="U235" s="1912"/>
      <c r="V235" s="1910">
        <f t="shared" ref="V235:AP235" si="509">V233/V146</f>
        <v>6.8108108108108106E-2</v>
      </c>
      <c r="W235" s="1910">
        <f t="shared" si="509"/>
        <v>4.2828219903441829E-2</v>
      </c>
      <c r="X235" s="1910">
        <f t="shared" si="509"/>
        <v>7.773279352226721E-2</v>
      </c>
      <c r="Y235" s="1910">
        <f t="shared" si="509"/>
        <v>7.6819949054833081E-2</v>
      </c>
      <c r="Z235" s="1910">
        <f t="shared" si="509"/>
        <v>0.08</v>
      </c>
      <c r="AA235" s="1910">
        <f t="shared" si="509"/>
        <v>7.6923076923076927E-2</v>
      </c>
      <c r="AB235" s="1910">
        <f t="shared" si="509"/>
        <v>0.1021226706158213</v>
      </c>
      <c r="AC235" s="1910">
        <f t="shared" si="509"/>
        <v>9.9976294891549133E-2</v>
      </c>
      <c r="AD235" s="1910">
        <f t="shared" si="509"/>
        <v>0.11520163117353874</v>
      </c>
      <c r="AE235" s="1910">
        <f t="shared" si="509"/>
        <v>8.1081081081081086E-2</v>
      </c>
      <c r="AF235" s="1910">
        <f t="shared" si="509"/>
        <v>6.1904761904761907E-2</v>
      </c>
      <c r="AG235" s="1910">
        <f t="shared" si="509"/>
        <v>6.0465116279069767E-2</v>
      </c>
      <c r="AH235" s="1910">
        <f t="shared" si="509"/>
        <v>0.1031390134529148</v>
      </c>
      <c r="AI235" s="1910">
        <f t="shared" si="509"/>
        <v>0.10597285067873304</v>
      </c>
      <c r="AJ235" s="1910">
        <f t="shared" si="509"/>
        <v>9.1703056768558958E-2</v>
      </c>
      <c r="AK235" s="1911">
        <f t="shared" si="509"/>
        <v>8.0872072701852496E-2</v>
      </c>
      <c r="AL235" s="1910">
        <f t="shared" si="509"/>
        <v>8.7866108786610872E-2</v>
      </c>
      <c r="AM235" s="1910">
        <f t="shared" si="509"/>
        <v>8.9068825910931168E-2</v>
      </c>
      <c r="AN235" s="1910">
        <f t="shared" si="509"/>
        <v>9.1269841269841265E-2</v>
      </c>
      <c r="AO235" s="1910">
        <f t="shared" si="509"/>
        <v>9.3385214007782102E-2</v>
      </c>
      <c r="AP235" s="1910">
        <f t="shared" si="509"/>
        <v>9.5419847328244281E-2</v>
      </c>
      <c r="AQ235" s="1453"/>
      <c r="AR235" s="1453"/>
      <c r="AS235" s="1453"/>
      <c r="AT235" s="1453">
        <f>AT233/AT146</f>
        <v>9.2105263157894732E-2</v>
      </c>
      <c r="AU235" s="1453">
        <f>AU233/AU146</f>
        <v>8.9201877934272297E-2</v>
      </c>
      <c r="AV235" s="2165"/>
      <c r="AW235" s="2165"/>
      <c r="AX235" s="2165"/>
      <c r="AY235" s="2165"/>
      <c r="AZ235" s="2165"/>
      <c r="BA235" s="2165"/>
      <c r="BB235" s="2165"/>
      <c r="BC235" s="2165"/>
      <c r="BD235" s="2165"/>
      <c r="BE235" s="2165"/>
      <c r="BF235" s="2165"/>
      <c r="BG235" s="2165"/>
      <c r="BH235" s="2165"/>
      <c r="BI235" s="2165"/>
      <c r="BJ235" s="2165"/>
      <c r="BK235" s="2165"/>
      <c r="BL235" s="2165"/>
      <c r="BM235" s="2165"/>
    </row>
    <row r="236" spans="1:65" s="1449" customFormat="1" ht="5.25" customHeight="1">
      <c r="B236" s="1904"/>
      <c r="U236" s="1441"/>
      <c r="V236" s="1441"/>
      <c r="W236" s="1453"/>
      <c r="X236" s="1453"/>
      <c r="Y236" s="1453"/>
      <c r="Z236" s="1453"/>
      <c r="AA236" s="1453"/>
      <c r="AB236" s="1453"/>
      <c r="AC236" s="1453"/>
      <c r="AD236" s="1453"/>
      <c r="AE236" s="1453"/>
      <c r="AF236" s="1453"/>
      <c r="AG236" s="1453"/>
      <c r="AH236" s="1962"/>
      <c r="AI236" s="1453"/>
      <c r="AJ236" s="1962"/>
      <c r="AK236" s="1905"/>
      <c r="AL236" s="1453"/>
      <c r="AM236" s="1453"/>
      <c r="AN236" s="1453"/>
      <c r="AO236" s="1453"/>
      <c r="AP236" s="1453"/>
      <c r="AQ236" s="1441"/>
      <c r="AR236" s="1664"/>
      <c r="AS236" s="1441"/>
      <c r="AT236" s="1664"/>
      <c r="AU236" s="1664"/>
    </row>
    <row r="237" spans="1:65">
      <c r="A237" s="1341"/>
      <c r="B237" s="1906" t="s">
        <v>196</v>
      </c>
      <c r="C237" s="1487" t="s">
        <v>534</v>
      </c>
      <c r="D237" s="1488"/>
      <c r="E237" s="1488"/>
      <c r="F237" s="1488"/>
      <c r="G237" s="1488"/>
      <c r="H237" s="1488"/>
      <c r="I237" s="1488"/>
      <c r="J237" s="1488"/>
      <c r="K237" s="1488"/>
      <c r="L237" s="1488"/>
      <c r="M237" s="1488"/>
      <c r="N237" s="1488"/>
      <c r="O237" s="1488"/>
      <c r="P237" s="1488"/>
      <c r="Q237" s="1488"/>
      <c r="R237" s="1488"/>
      <c r="S237" s="1488"/>
      <c r="T237" s="1488"/>
      <c r="U237" s="1488"/>
      <c r="V237" s="1488">
        <v>565</v>
      </c>
      <c r="W237" s="1488">
        <v>635</v>
      </c>
      <c r="X237" s="1488">
        <v>319</v>
      </c>
      <c r="Y237" s="1488">
        <f t="shared" ref="Y237:Z237" si="510">Y239+Y240</f>
        <v>-239</v>
      </c>
      <c r="Z237" s="1488">
        <f t="shared" si="510"/>
        <v>712</v>
      </c>
      <c r="AA237" s="1488">
        <f>AA239+AA240</f>
        <v>-761</v>
      </c>
      <c r="AB237" s="1488">
        <f>AB239+AB240</f>
        <v>-60</v>
      </c>
      <c r="AC237" s="1488">
        <f>AC239+AC240</f>
        <v>77</v>
      </c>
      <c r="AD237" s="1488">
        <f>AD239+AD240</f>
        <v>635</v>
      </c>
      <c r="AE237" s="1488">
        <f t="shared" ref="AE237:AH237" si="511">AE239+AE240</f>
        <v>800</v>
      </c>
      <c r="AF237" s="1488">
        <f t="shared" si="511"/>
        <v>100</v>
      </c>
      <c r="AG237" s="1488">
        <f t="shared" si="511"/>
        <v>-300</v>
      </c>
      <c r="AH237" s="1912">
        <f t="shared" si="511"/>
        <v>-300</v>
      </c>
      <c r="AI237" s="1488">
        <f>+Quarterly!IR157</f>
        <v>-277</v>
      </c>
      <c r="AJ237" s="1912">
        <f t="shared" ref="AJ237" si="512">AJ239+AJ240</f>
        <v>-200</v>
      </c>
      <c r="AK237" s="2163">
        <f>+Quarterly!JD157</f>
        <v>427</v>
      </c>
      <c r="AL237" s="1488">
        <f t="shared" ref="AL237" si="513">AL239+AL240</f>
        <v>0</v>
      </c>
      <c r="AM237" s="1488">
        <f t="shared" ref="AM237:AN237" si="514">AM239+AM240</f>
        <v>200</v>
      </c>
      <c r="AN237" s="1488">
        <f t="shared" si="514"/>
        <v>200</v>
      </c>
      <c r="AO237" s="1488">
        <f t="shared" ref="AO237" si="515">AO239+AO240</f>
        <v>0</v>
      </c>
      <c r="AP237" s="1488">
        <f t="shared" ref="AP237" si="516">AP239+AP240</f>
        <v>0</v>
      </c>
      <c r="AQ237" s="1349"/>
      <c r="AR237" s="1349">
        <f>+Quarterly!KH157</f>
        <v>0</v>
      </c>
      <c r="AS237" s="1349"/>
      <c r="AT237" s="1349">
        <f>+Quarterly!KM157</f>
        <v>-100</v>
      </c>
      <c r="AU237" s="1349">
        <f>+Quarterly!KW157</f>
        <v>0</v>
      </c>
      <c r="AV237" s="1349"/>
      <c r="AW237" s="1349"/>
      <c r="AX237" s="1349"/>
      <c r="AY237" s="1349"/>
      <c r="AZ237" s="1349"/>
      <c r="BA237" s="1349"/>
      <c r="BB237" s="1349"/>
      <c r="BC237" s="1349"/>
      <c r="BD237" s="1349"/>
      <c r="BE237" s="1349"/>
      <c r="BF237" s="1349"/>
      <c r="BG237" s="1349"/>
      <c r="BH237" s="1349"/>
      <c r="BI237" s="1349"/>
      <c r="BJ237" s="1349"/>
      <c r="BK237" s="1349"/>
      <c r="BL237" s="1349"/>
      <c r="BM237" s="1349"/>
    </row>
    <row r="238" spans="1:65" s="1449" customFormat="1">
      <c r="A238" s="2164"/>
      <c r="B238" s="1909" t="s">
        <v>1478</v>
      </c>
      <c r="C238" s="1909" t="s">
        <v>1478</v>
      </c>
      <c r="D238" s="1912"/>
      <c r="E238" s="1912"/>
      <c r="F238" s="1912"/>
      <c r="G238" s="1912"/>
      <c r="H238" s="1912"/>
      <c r="I238" s="1912"/>
      <c r="J238" s="1912"/>
      <c r="K238" s="1912"/>
      <c r="L238" s="1912"/>
      <c r="M238" s="1912"/>
      <c r="N238" s="1912"/>
      <c r="O238" s="1912"/>
      <c r="P238" s="1912"/>
      <c r="Q238" s="1912"/>
      <c r="R238" s="1912"/>
      <c r="S238" s="1912"/>
      <c r="T238" s="1912"/>
      <c r="U238" s="1912"/>
      <c r="V238" s="1910">
        <f t="shared" ref="V238:AP238" si="517">V237/V149</f>
        <v>1.999858417103214E-2</v>
      </c>
      <c r="W238" s="1910">
        <f t="shared" si="517"/>
        <v>2.4388370395974957E-2</v>
      </c>
      <c r="X238" s="1910">
        <f t="shared" si="517"/>
        <v>1.1082930896709864E-2</v>
      </c>
      <c r="Y238" s="1910">
        <f t="shared" si="517"/>
        <v>-8.0400995761286415E-3</v>
      </c>
      <c r="Z238" s="1910">
        <f t="shared" si="517"/>
        <v>1.7408312958435208E-2</v>
      </c>
      <c r="AA238" s="1910">
        <f t="shared" si="517"/>
        <v>-1.7860495681562148E-2</v>
      </c>
      <c r="AB238" s="1910">
        <f t="shared" si="517"/>
        <v>-1.3339855040241896E-3</v>
      </c>
      <c r="AC238" s="1910">
        <f t="shared" si="517"/>
        <v>1.6644689911588595E-3</v>
      </c>
      <c r="AD238" s="1910">
        <f t="shared" si="517"/>
        <v>1.3480236063346494E-2</v>
      </c>
      <c r="AE238" s="1910">
        <f t="shared" si="517"/>
        <v>1.6227180527383367E-2</v>
      </c>
      <c r="AF238" s="1910">
        <f t="shared" si="517"/>
        <v>2.1276595744680851E-3</v>
      </c>
      <c r="AG238" s="1910">
        <f t="shared" si="517"/>
        <v>-7.2289156626506026E-3</v>
      </c>
      <c r="AH238" s="1910">
        <f t="shared" si="517"/>
        <v>-8.8495575221238937E-3</v>
      </c>
      <c r="AI238" s="1910">
        <f t="shared" si="517"/>
        <v>-8.1710914454277278E-3</v>
      </c>
      <c r="AJ238" s="1910">
        <f t="shared" si="517"/>
        <v>-5.7306590257879654E-3</v>
      </c>
      <c r="AK238" s="1911">
        <f t="shared" si="517"/>
        <v>1.213206046141607E-2</v>
      </c>
      <c r="AL238" s="1910">
        <f t="shared" si="517"/>
        <v>0</v>
      </c>
      <c r="AM238" s="1910">
        <f t="shared" si="517"/>
        <v>5.235602094240838E-3</v>
      </c>
      <c r="AN238" s="1910">
        <f t="shared" si="517"/>
        <v>5.1020408163265302E-3</v>
      </c>
      <c r="AO238" s="1910">
        <f t="shared" si="517"/>
        <v>0</v>
      </c>
      <c r="AP238" s="1910">
        <f t="shared" si="517"/>
        <v>0</v>
      </c>
      <c r="AQ238" s="1453"/>
      <c r="AR238" s="1453"/>
      <c r="AS238" s="1453"/>
      <c r="AT238" s="1453"/>
      <c r="AU238" s="1453"/>
      <c r="AV238" s="2165"/>
      <c r="AW238" s="2165"/>
      <c r="AX238" s="2165"/>
      <c r="AY238" s="2165"/>
      <c r="AZ238" s="2165"/>
      <c r="BA238" s="2165"/>
      <c r="BB238" s="2165"/>
      <c r="BC238" s="2165"/>
      <c r="BD238" s="2165"/>
      <c r="BE238" s="2165"/>
      <c r="BF238" s="2165"/>
      <c r="BG238" s="2165"/>
      <c r="BH238" s="2165"/>
      <c r="BI238" s="2165"/>
      <c r="BJ238" s="2165"/>
      <c r="BK238" s="2165"/>
      <c r="BL238" s="2165"/>
      <c r="BM238" s="2165"/>
    </row>
    <row r="239" spans="1:65">
      <c r="A239" s="1341"/>
      <c r="B239" s="1350" t="s">
        <v>196</v>
      </c>
      <c r="C239" s="1" t="s">
        <v>533</v>
      </c>
      <c r="D239" s="1349"/>
      <c r="E239" s="1349"/>
      <c r="F239" s="1349"/>
      <c r="G239" s="1349"/>
      <c r="H239" s="1349"/>
      <c r="I239" s="1349"/>
      <c r="J239" s="1349"/>
      <c r="K239" s="1349"/>
      <c r="L239" s="1349"/>
      <c r="M239" s="1349"/>
      <c r="N239" s="1349"/>
      <c r="O239" s="1349"/>
      <c r="P239" s="1349"/>
      <c r="Q239" s="1349"/>
      <c r="R239" s="1349"/>
      <c r="S239" s="1349"/>
      <c r="T239" s="1349"/>
      <c r="U239" s="1349"/>
      <c r="V239" s="1349">
        <v>1363</v>
      </c>
      <c r="W239" s="1349">
        <v>1212</v>
      </c>
      <c r="X239" s="1349">
        <v>1460</v>
      </c>
      <c r="Y239" s="1349">
        <v>1366</v>
      </c>
      <c r="Z239" s="1349">
        <v>1303</v>
      </c>
      <c r="AA239" s="1349">
        <v>52</v>
      </c>
      <c r="AB239" s="1349">
        <v>371</v>
      </c>
      <c r="AC239" s="1349">
        <v>1058</v>
      </c>
      <c r="AD239" s="1496">
        <v>1173</v>
      </c>
      <c r="AE239" s="1496">
        <v>1500</v>
      </c>
      <c r="AF239" s="1496">
        <v>900</v>
      </c>
      <c r="AG239" s="1349">
        <v>500</v>
      </c>
      <c r="AH239" s="1944">
        <v>800</v>
      </c>
      <c r="AI239" s="1349">
        <v>800</v>
      </c>
      <c r="AJ239" s="1944">
        <f>AI239+100</f>
        <v>900</v>
      </c>
      <c r="AK239" s="1355">
        <f>AI239+100</f>
        <v>900</v>
      </c>
      <c r="AL239" s="1349">
        <v>600</v>
      </c>
      <c r="AM239" s="1349">
        <v>800</v>
      </c>
      <c r="AN239" s="1349">
        <f t="shared" ref="AG239:AP240" si="518">AM239</f>
        <v>800</v>
      </c>
      <c r="AO239" s="1349">
        <f t="shared" si="518"/>
        <v>800</v>
      </c>
      <c r="AP239" s="1349">
        <f t="shared" si="518"/>
        <v>800</v>
      </c>
      <c r="AQ239" s="1349"/>
      <c r="AR239" s="1349"/>
      <c r="AS239" s="1349"/>
      <c r="AT239" s="1349">
        <f>+Quarterly!KM158</f>
        <v>800</v>
      </c>
      <c r="AU239" s="1349">
        <f>+Quarterly!KW158</f>
        <v>800</v>
      </c>
      <c r="AV239" s="1349"/>
      <c r="AW239" s="1349"/>
      <c r="AX239" s="1349"/>
      <c r="AY239" s="1349"/>
      <c r="AZ239" s="1349"/>
      <c r="BA239" s="1349"/>
      <c r="BB239" s="1349"/>
      <c r="BC239" s="1349"/>
      <c r="BD239" s="1349"/>
      <c r="BE239" s="1349"/>
      <c r="BF239" s="1349"/>
      <c r="BG239" s="1349"/>
      <c r="BH239" s="1349"/>
      <c r="BI239" s="1349"/>
      <c r="BJ239" s="1349"/>
      <c r="BK239" s="1349"/>
      <c r="BL239" s="1349"/>
      <c r="BM239" s="1349"/>
    </row>
    <row r="240" spans="1:65">
      <c r="A240" s="1341"/>
      <c r="B240" s="1350" t="s">
        <v>1028</v>
      </c>
      <c r="C240" s="1" t="s">
        <v>532</v>
      </c>
      <c r="D240" s="1349"/>
      <c r="E240" s="1349"/>
      <c r="F240" s="1349"/>
      <c r="G240" s="1349"/>
      <c r="H240" s="1349"/>
      <c r="I240" s="1349"/>
      <c r="J240" s="1349"/>
      <c r="K240" s="1349"/>
      <c r="L240" s="1349"/>
      <c r="M240" s="1349"/>
      <c r="N240" s="1349"/>
      <c r="O240" s="1349"/>
      <c r="P240" s="1349"/>
      <c r="Q240" s="1349"/>
      <c r="R240" s="1349"/>
      <c r="S240" s="1349"/>
      <c r="T240" s="1349"/>
      <c r="U240" s="1349"/>
      <c r="V240" s="1349">
        <v>-798</v>
      </c>
      <c r="W240" s="1349">
        <v>-567</v>
      </c>
      <c r="X240" s="1349">
        <v>-1141</v>
      </c>
      <c r="Y240" s="1349">
        <v>-1605</v>
      </c>
      <c r="Z240" s="1349">
        <v>-591</v>
      </c>
      <c r="AA240" s="1349">
        <v>-813</v>
      </c>
      <c r="AB240" s="1349">
        <v>-431</v>
      </c>
      <c r="AC240" s="1349">
        <v>-981</v>
      </c>
      <c r="AD240" s="1349">
        <v>-538</v>
      </c>
      <c r="AE240" s="1349">
        <v>-700</v>
      </c>
      <c r="AF240" s="1349">
        <v>-800</v>
      </c>
      <c r="AG240" s="1349">
        <f t="shared" si="518"/>
        <v>-800</v>
      </c>
      <c r="AH240" s="1944">
        <v>-1100</v>
      </c>
      <c r="AI240" s="1349">
        <v>-1100</v>
      </c>
      <c r="AJ240" s="1944">
        <f>AI240</f>
        <v>-1100</v>
      </c>
      <c r="AK240" s="1355">
        <f>AI240</f>
        <v>-1100</v>
      </c>
      <c r="AL240" s="1349">
        <v>-600</v>
      </c>
      <c r="AM240" s="1349">
        <f t="shared" si="518"/>
        <v>-600</v>
      </c>
      <c r="AN240" s="1349">
        <f t="shared" si="518"/>
        <v>-600</v>
      </c>
      <c r="AO240" s="1349">
        <v>-800</v>
      </c>
      <c r="AP240" s="1349">
        <f t="shared" si="518"/>
        <v>-800</v>
      </c>
      <c r="AQ240" s="1349"/>
      <c r="AR240" s="1349"/>
      <c r="AS240" s="1349"/>
      <c r="AT240" s="1349">
        <f>+Quarterly!KM159</f>
        <v>-900</v>
      </c>
      <c r="AU240" s="1349">
        <f>+Quarterly!KW159</f>
        <v>-800</v>
      </c>
      <c r="AV240" s="1349"/>
      <c r="AW240" s="1349"/>
      <c r="AX240" s="1349"/>
      <c r="AY240" s="1349"/>
      <c r="AZ240" s="1349"/>
      <c r="BA240" s="1349"/>
      <c r="BB240" s="1349"/>
      <c r="BC240" s="1349"/>
      <c r="BD240" s="1349"/>
      <c r="BE240" s="1349"/>
      <c r="BF240" s="1349"/>
      <c r="BG240" s="1349"/>
      <c r="BH240" s="1349"/>
      <c r="BI240" s="1349"/>
      <c r="BJ240" s="1349"/>
      <c r="BK240" s="1349"/>
      <c r="BL240" s="1349"/>
      <c r="BM240" s="1349"/>
    </row>
    <row r="241" spans="1:65" s="1449" customFormat="1" ht="5.25" customHeight="1">
      <c r="B241" s="1904"/>
      <c r="U241" s="1441"/>
      <c r="V241" s="1441"/>
      <c r="W241" s="1453"/>
      <c r="X241" s="1453"/>
      <c r="Y241" s="1453"/>
      <c r="Z241" s="1453"/>
      <c r="AA241" s="1453"/>
      <c r="AB241" s="1453"/>
      <c r="AC241" s="1453"/>
      <c r="AD241" s="1453"/>
      <c r="AE241" s="1453"/>
      <c r="AF241" s="1453"/>
      <c r="AG241" s="1453"/>
      <c r="AH241" s="1962"/>
      <c r="AI241" s="1453"/>
      <c r="AJ241" s="1962"/>
      <c r="AK241" s="1905"/>
      <c r="AL241" s="1453"/>
      <c r="AM241" s="1453"/>
      <c r="AN241" s="1453"/>
      <c r="AO241" s="1453"/>
      <c r="AP241" s="1453"/>
      <c r="AQ241" s="1441"/>
      <c r="AR241" s="1664"/>
      <c r="AS241" s="1441"/>
      <c r="AT241" s="1664"/>
      <c r="AU241" s="1664"/>
    </row>
    <row r="242" spans="1:65">
      <c r="A242" s="1341"/>
      <c r="B242" s="2169" t="s">
        <v>268</v>
      </c>
      <c r="C242" s="2054" t="s">
        <v>531</v>
      </c>
      <c r="D242" s="2170"/>
      <c r="E242" s="2170"/>
      <c r="F242" s="2170"/>
      <c r="G242" s="2170"/>
      <c r="H242" s="2170"/>
      <c r="I242" s="2170"/>
      <c r="J242" s="2170"/>
      <c r="K242" s="2170"/>
      <c r="L242" s="2170"/>
      <c r="M242" s="2170"/>
      <c r="N242" s="2170"/>
      <c r="O242" s="2170"/>
      <c r="P242" s="2170"/>
      <c r="Q242" s="2170"/>
      <c r="R242" s="2170"/>
      <c r="S242" s="2170"/>
      <c r="T242" s="2170"/>
      <c r="U242" s="2170"/>
      <c r="V242" s="2170">
        <f>V184+V187+V191+V222+V230+V233+V237</f>
        <v>31121</v>
      </c>
      <c r="W242" s="2170">
        <v>25811</v>
      </c>
      <c r="X242" s="2170">
        <v>25514</v>
      </c>
      <c r="Y242" s="2170">
        <v>29623</v>
      </c>
      <c r="Z242" s="2170">
        <v>30595</v>
      </c>
      <c r="AA242" s="2170">
        <f t="shared" ref="AA242:AP242" si="519">AA184+AA187+AA191+AA222+AA230+AA233+AA237</f>
        <v>25139</v>
      </c>
      <c r="AB242" s="2170">
        <f t="shared" si="519"/>
        <v>27931</v>
      </c>
      <c r="AC242" s="2170">
        <f t="shared" si="519"/>
        <v>29425</v>
      </c>
      <c r="AD242" s="2170">
        <f t="shared" si="519"/>
        <v>27147</v>
      </c>
      <c r="AE242" s="2170">
        <f t="shared" si="519"/>
        <v>24000</v>
      </c>
      <c r="AF242" s="2170">
        <f t="shared" si="519"/>
        <v>28700</v>
      </c>
      <c r="AG242" s="2170">
        <f t="shared" si="519"/>
        <v>37100</v>
      </c>
      <c r="AH242" s="2180">
        <f t="shared" si="519"/>
        <v>35900</v>
      </c>
      <c r="AI242" s="2170">
        <f t="shared" si="519"/>
        <v>29734</v>
      </c>
      <c r="AJ242" s="2180">
        <f t="shared" si="519"/>
        <v>22261</v>
      </c>
      <c r="AK242" s="2181">
        <f t="shared" si="519"/>
        <v>40329</v>
      </c>
      <c r="AL242" s="2170">
        <f>AL184+AL187+AL191+AL222+AL230+AL233+AL237</f>
        <v>59500</v>
      </c>
      <c r="AM242" s="2170">
        <f t="shared" si="519"/>
        <v>64000</v>
      </c>
      <c r="AN242" s="2170">
        <f t="shared" si="519"/>
        <v>66100</v>
      </c>
      <c r="AO242" s="2170">
        <f t="shared" si="519"/>
        <v>68000</v>
      </c>
      <c r="AP242" s="2170">
        <f t="shared" si="519"/>
        <v>70200</v>
      </c>
      <c r="AQ242" s="1349"/>
      <c r="AR242" s="1349">
        <f>+Quarterly!KH69</f>
        <v>50000</v>
      </c>
      <c r="AS242" s="1349"/>
      <c r="AT242" s="1349">
        <f>AT184+AT187+AT191+AT222+AT230+AT233+AT237</f>
        <v>41000</v>
      </c>
      <c r="AU242" s="1349">
        <f>AU184+AU187+AU191+AU222+AU230+AU233+AU237</f>
        <v>33500</v>
      </c>
      <c r="AV242" s="1349"/>
      <c r="AW242" s="1349"/>
      <c r="AX242" s="1349"/>
      <c r="AY242" s="1349"/>
      <c r="AZ242" s="1349"/>
      <c r="BA242" s="1349"/>
      <c r="BB242" s="1349"/>
      <c r="BC242" s="1349"/>
      <c r="BD242" s="1349"/>
      <c r="BE242" s="1349"/>
      <c r="BF242" s="1349"/>
      <c r="BG242" s="1349"/>
      <c r="BH242" s="1349"/>
      <c r="BI242" s="1349"/>
      <c r="BJ242" s="1349"/>
      <c r="BK242" s="1349"/>
      <c r="BL242" s="1349"/>
      <c r="BM242" s="1349"/>
    </row>
    <row r="243" spans="1:65" s="1664" customFormat="1">
      <c r="B243" s="2188" t="s">
        <v>1477</v>
      </c>
      <c r="C243" s="2188" t="s">
        <v>1477</v>
      </c>
      <c r="D243" s="2188"/>
      <c r="E243" s="2188"/>
      <c r="F243" s="2188"/>
      <c r="G243" s="2188"/>
      <c r="H243" s="2188"/>
      <c r="I243" s="2188"/>
      <c r="J243" s="2188"/>
      <c r="K243" s="2188"/>
      <c r="L243" s="2188"/>
      <c r="M243" s="2188"/>
      <c r="N243" s="2188"/>
      <c r="O243" s="2188"/>
      <c r="P243" s="2188"/>
      <c r="Q243" s="2188"/>
      <c r="R243" s="2188"/>
      <c r="S243" s="2188"/>
      <c r="T243" s="2188"/>
      <c r="U243" s="2188"/>
      <c r="V243" s="2188"/>
      <c r="W243" s="2188"/>
      <c r="X243" s="2188"/>
      <c r="Y243" s="2188"/>
      <c r="Z243" s="2188"/>
      <c r="AA243" s="2188"/>
      <c r="AB243" s="2188"/>
      <c r="AC243" s="2188"/>
      <c r="AD243" s="2188">
        <f t="shared" ref="AD243" si="520">+AD242/AC242-1</f>
        <v>-7.7417162276975371E-2</v>
      </c>
      <c r="AE243" s="2188">
        <f t="shared" ref="AE243" si="521">+AE242/AD242-1</f>
        <v>-0.11592441153718647</v>
      </c>
      <c r="AF243" s="2188">
        <f t="shared" ref="AF243" si="522">+AF242/AE242-1</f>
        <v>0.1958333333333333</v>
      </c>
      <c r="AG243" s="2188">
        <f t="shared" ref="AG243" si="523">+AG242/AF242-1</f>
        <v>0.29268292682926833</v>
      </c>
      <c r="AH243" s="2188">
        <f>+AH242/AG242-1</f>
        <v>-3.2345013477088957E-2</v>
      </c>
      <c r="AI243" s="2188">
        <f>+AI242/AG242-1</f>
        <v>-0.19854447439353096</v>
      </c>
      <c r="AJ243" s="2188">
        <f t="shared" ref="AJ243" si="524">+AJ242/AI242-1</f>
        <v>-0.25132844555054823</v>
      </c>
      <c r="AK243" s="2189">
        <f>+AK242/AI242-1</f>
        <v>0.35632609134324333</v>
      </c>
      <c r="AL243" s="2188">
        <f>+AL242/AK242-1</f>
        <v>0.47536512187259783</v>
      </c>
      <c r="AM243" s="2188">
        <f t="shared" ref="AM243" si="525">+AM242/AL242-1</f>
        <v>7.5630252100840289E-2</v>
      </c>
      <c r="AN243" s="2188">
        <f t="shared" ref="AN243" si="526">+AN242/AM242-1</f>
        <v>3.2812499999999911E-2</v>
      </c>
      <c r="AO243" s="2188">
        <f t="shared" ref="AO243" si="527">+AO242/AN242-1</f>
        <v>2.8744326777609741E-2</v>
      </c>
      <c r="AP243" s="2188">
        <f t="shared" ref="AP243" si="528">+AP242/AO242-1</f>
        <v>3.2352941176470695E-2</v>
      </c>
    </row>
    <row r="244" spans="1:65" s="1449" customFormat="1" ht="12.5" thickBot="1">
      <c r="A244" s="2164"/>
      <c r="B244" s="2183" t="s">
        <v>1478</v>
      </c>
      <c r="C244" s="2184" t="s">
        <v>1478</v>
      </c>
      <c r="D244" s="2185"/>
      <c r="E244" s="2185"/>
      <c r="F244" s="2185"/>
      <c r="G244" s="2185"/>
      <c r="H244" s="2185"/>
      <c r="I244" s="2185"/>
      <c r="J244" s="2185"/>
      <c r="K244" s="2185"/>
      <c r="L244" s="2185"/>
      <c r="M244" s="2185"/>
      <c r="N244" s="2185"/>
      <c r="O244" s="2185"/>
      <c r="P244" s="2185"/>
      <c r="Q244" s="2185"/>
      <c r="R244" s="2185"/>
      <c r="S244" s="2185"/>
      <c r="T244" s="2185"/>
      <c r="U244" s="2185"/>
      <c r="V244" s="2182">
        <f t="shared" ref="V244:AP244" si="529">V242/V152</f>
        <v>9.8691241433767687E-2</v>
      </c>
      <c r="W244" s="2182">
        <f t="shared" si="529"/>
        <v>8.4374213415012861E-2</v>
      </c>
      <c r="X244" s="2182">
        <f t="shared" si="529"/>
        <v>7.9486828003888038E-2</v>
      </c>
      <c r="Y244" s="2182">
        <f t="shared" si="529"/>
        <v>8.5981650204483243E-2</v>
      </c>
      <c r="Z244" s="2182">
        <f t="shared" si="529"/>
        <v>8.2193584091599034E-2</v>
      </c>
      <c r="AA244" s="2182">
        <f t="shared" si="529"/>
        <v>6.5925910385448525E-2</v>
      </c>
      <c r="AB244" s="2182">
        <f t="shared" si="529"/>
        <v>7.2820609084912627E-2</v>
      </c>
      <c r="AC244" s="2182">
        <f t="shared" si="529"/>
        <v>7.6978820033067538E-2</v>
      </c>
      <c r="AD244" s="2182">
        <f t="shared" si="529"/>
        <v>6.9823069622450787E-2</v>
      </c>
      <c r="AE244" s="2182">
        <f t="shared" si="529"/>
        <v>5.9820538384845461E-2</v>
      </c>
      <c r="AF244" s="2182">
        <f t="shared" si="529"/>
        <v>6.8874490040796738E-2</v>
      </c>
      <c r="AG244" s="2182">
        <f t="shared" si="529"/>
        <v>8.7956377430061641E-2</v>
      </c>
      <c r="AH244" s="2182">
        <f t="shared" si="529"/>
        <v>0.10518605332552007</v>
      </c>
      <c r="AI244" s="2182">
        <f t="shared" si="529"/>
        <v>8.2251728907330568E-2</v>
      </c>
      <c r="AJ244" s="2182">
        <f t="shared" si="529"/>
        <v>6.0607133133678194E-2</v>
      </c>
      <c r="AK244" s="2186">
        <f t="shared" si="529"/>
        <v>9.254312896697002E-2</v>
      </c>
      <c r="AL244" s="2182">
        <f t="shared" si="529"/>
        <v>0.12382934443288242</v>
      </c>
      <c r="AM244" s="2182">
        <f t="shared" si="529"/>
        <v>0.12900624874017336</v>
      </c>
      <c r="AN244" s="2182">
        <f t="shared" si="529"/>
        <v>0.12935420743639922</v>
      </c>
      <c r="AO244" s="2182">
        <f t="shared" si="529"/>
        <v>0.12895884695619192</v>
      </c>
      <c r="AP244" s="2182">
        <f t="shared" si="529"/>
        <v>0.12942477876106195</v>
      </c>
      <c r="AQ244" s="2165"/>
      <c r="AR244" s="2187"/>
      <c r="AS244" s="2165"/>
      <c r="AT244" s="2187">
        <f>AT242/AT152</f>
        <v>9.2550790067720087E-2</v>
      </c>
      <c r="AU244" s="2187">
        <f>AU242/AU152</f>
        <v>9.4766619519094764E-2</v>
      </c>
      <c r="AV244" s="2165"/>
      <c r="AW244" s="2165"/>
      <c r="AX244" s="2165"/>
      <c r="AY244" s="2165"/>
      <c r="AZ244" s="2165"/>
      <c r="BA244" s="2165"/>
      <c r="BB244" s="2165"/>
      <c r="BC244" s="2165"/>
      <c r="BD244" s="2165"/>
      <c r="BE244" s="2165"/>
      <c r="BF244" s="2165"/>
      <c r="BG244" s="2165"/>
      <c r="BH244" s="2165"/>
      <c r="BI244" s="2165"/>
      <c r="BJ244" s="2165"/>
      <c r="BK244" s="2165"/>
      <c r="BL244" s="2165"/>
      <c r="BM244" s="2165"/>
    </row>
    <row r="245" spans="1:65" ht="12.5" thickTop="1">
      <c r="A245" s="1341"/>
      <c r="B245" s="1350"/>
      <c r="D245" s="1349"/>
      <c r="E245" s="1349"/>
      <c r="F245" s="1349"/>
      <c r="G245" s="1349"/>
      <c r="H245" s="1349"/>
      <c r="I245" s="1349"/>
      <c r="J245" s="1349"/>
      <c r="K245" s="1349"/>
      <c r="L245" s="1349"/>
      <c r="M245" s="1349"/>
      <c r="N245" s="1349"/>
      <c r="O245" s="1349"/>
      <c r="P245" s="1349"/>
      <c r="Q245" s="1349"/>
      <c r="R245" s="1349"/>
      <c r="S245" s="1349"/>
      <c r="T245" s="1349"/>
      <c r="U245" s="1349"/>
      <c r="V245" s="1349"/>
      <c r="W245" s="1349"/>
      <c r="X245" s="1349"/>
      <c r="Y245" s="1349"/>
      <c r="Z245" s="1349"/>
      <c r="AA245" s="1349"/>
      <c r="AB245" s="1349"/>
      <c r="AC245" s="1349"/>
      <c r="AD245" s="1349"/>
      <c r="AE245" s="1349"/>
      <c r="AF245" s="1349"/>
      <c r="AG245" s="1349"/>
      <c r="AH245" s="1944"/>
      <c r="AI245" s="1349"/>
      <c r="AJ245" s="1944"/>
      <c r="AK245" s="1355"/>
      <c r="AL245" s="61" t="e">
        <f>+AL242/#REF!-1</f>
        <v>#REF!</v>
      </c>
      <c r="AM245" s="61" t="e">
        <f>+AM242/#REF!-1</f>
        <v>#REF!</v>
      </c>
      <c r="AN245" s="61" t="e">
        <f>+AN242/#REF!-1</f>
        <v>#REF!</v>
      </c>
      <c r="AO245" s="61" t="e">
        <f>+AO242/#REF!-1</f>
        <v>#REF!</v>
      </c>
      <c r="AP245" s="61" t="e">
        <f>+AP242/#REF!-1</f>
        <v>#REF!</v>
      </c>
      <c r="AQ245" s="1349"/>
      <c r="AR245" s="1349"/>
      <c r="AS245" s="1349"/>
      <c r="AT245" s="1349"/>
      <c r="AU245" s="1349"/>
      <c r="AV245" s="1349"/>
      <c r="AW245" s="1349"/>
      <c r="AX245" s="1349"/>
      <c r="AY245" s="1349"/>
      <c r="AZ245" s="1349"/>
      <c r="BA245" s="1349"/>
      <c r="BB245" s="1349"/>
      <c r="BC245" s="1349"/>
      <c r="BD245" s="1349"/>
      <c r="BE245" s="1349"/>
      <c r="BF245" s="1349"/>
      <c r="BG245" s="1349"/>
      <c r="BH245" s="1349"/>
      <c r="BI245" s="1349"/>
      <c r="BJ245" s="1349"/>
      <c r="BK245" s="1349"/>
      <c r="BL245" s="1349"/>
      <c r="BM245" s="1349"/>
    </row>
    <row r="246" spans="1:65">
      <c r="A246" s="1341"/>
      <c r="B246" s="1350"/>
      <c r="D246" s="1349"/>
      <c r="E246" s="1349"/>
      <c r="F246" s="1349"/>
      <c r="G246" s="1349"/>
      <c r="H246" s="1349"/>
      <c r="I246" s="1349"/>
      <c r="J246" s="1349"/>
      <c r="K246" s="1349"/>
      <c r="L246" s="1349"/>
      <c r="M246" s="1349"/>
      <c r="N246" s="1349"/>
      <c r="O246" s="1349"/>
      <c r="P246" s="1349"/>
      <c r="Q246" s="1349"/>
      <c r="R246" s="1349"/>
      <c r="S246" s="1349"/>
      <c r="T246" s="1349"/>
      <c r="U246" s="1349"/>
      <c r="V246" s="1349"/>
      <c r="W246" s="1349"/>
      <c r="X246" s="1349"/>
      <c r="Y246" s="1349"/>
      <c r="Z246" s="1349"/>
      <c r="AA246" s="1349"/>
      <c r="AB246" s="1349"/>
      <c r="AC246" s="1349"/>
      <c r="AD246" s="1349"/>
      <c r="AE246" s="1349"/>
      <c r="AF246" s="1349"/>
      <c r="AG246" s="1349"/>
      <c r="AH246" s="1944"/>
      <c r="AI246" s="1349"/>
      <c r="AJ246" s="1944"/>
      <c r="AK246" s="1355"/>
      <c r="AL246" s="1349"/>
      <c r="AM246" s="1349"/>
      <c r="AN246" s="1349"/>
      <c r="AO246" s="1349"/>
      <c r="AP246" s="1349"/>
      <c r="AQ246" s="1349"/>
      <c r="AR246" s="1349"/>
      <c r="AS246" s="1349"/>
      <c r="AT246" s="1349"/>
      <c r="AU246" s="1349"/>
      <c r="AV246" s="1349"/>
      <c r="AW246" s="1349"/>
      <c r="AX246" s="1349"/>
      <c r="AY246" s="1349"/>
      <c r="AZ246" s="1349"/>
      <c r="BA246" s="1349"/>
      <c r="BB246" s="1349"/>
      <c r="BC246" s="1349"/>
      <c r="BD246" s="1349"/>
      <c r="BE246" s="1349"/>
      <c r="BF246" s="1349"/>
      <c r="BG246" s="1349"/>
      <c r="BH246" s="1349"/>
      <c r="BI246" s="1349"/>
      <c r="BJ246" s="1349"/>
      <c r="BK246" s="1349"/>
      <c r="BL246" s="1349"/>
      <c r="BM246" s="1349"/>
    </row>
    <row r="247" spans="1:65">
      <c r="A247" s="1341"/>
      <c r="B247" s="1350"/>
      <c r="D247" s="1349"/>
      <c r="E247" s="1349"/>
      <c r="F247" s="1349"/>
      <c r="G247" s="1349"/>
      <c r="H247" s="1349"/>
      <c r="I247" s="1349"/>
      <c r="J247" s="1349"/>
      <c r="K247" s="1349"/>
      <c r="L247" s="1349"/>
      <c r="M247" s="1349"/>
      <c r="N247" s="1349"/>
      <c r="O247" s="1349"/>
      <c r="P247" s="1349"/>
      <c r="Q247" s="1349"/>
      <c r="R247" s="1349"/>
      <c r="S247" s="1349"/>
      <c r="T247" s="1349"/>
      <c r="U247" s="1349"/>
      <c r="V247" s="1349"/>
      <c r="W247" s="1349"/>
      <c r="X247" s="1349"/>
      <c r="Y247" s="1349"/>
      <c r="Z247" s="1349"/>
      <c r="AA247" s="1349"/>
      <c r="AB247" s="1349"/>
      <c r="AC247" s="1349"/>
      <c r="AD247" s="1349"/>
      <c r="AE247" s="1349"/>
      <c r="AF247" s="1349"/>
      <c r="AG247" s="1349"/>
      <c r="AH247" s="1944"/>
      <c r="AI247" s="1349"/>
      <c r="AJ247" s="1944"/>
      <c r="AK247" s="1355"/>
      <c r="AL247" s="1349"/>
      <c r="AM247" s="1349"/>
      <c r="AN247" s="1349"/>
      <c r="AO247" s="1349"/>
      <c r="AP247" s="1349"/>
      <c r="AQ247" s="1349"/>
      <c r="AR247" s="1349"/>
      <c r="AS247" s="1349"/>
      <c r="AT247" s="1349"/>
      <c r="AU247" s="1349"/>
      <c r="AV247" s="1349"/>
      <c r="AW247" s="1349"/>
      <c r="AX247" s="1349"/>
      <c r="AY247" s="1349"/>
      <c r="AZ247" s="1349"/>
      <c r="BA247" s="1349"/>
      <c r="BB247" s="1349"/>
      <c r="BC247" s="1349"/>
      <c r="BD247" s="1349"/>
      <c r="BE247" s="1349"/>
      <c r="BF247" s="1349"/>
      <c r="BG247" s="1349"/>
      <c r="BH247" s="1349"/>
      <c r="BI247" s="1349"/>
      <c r="BJ247" s="1349"/>
      <c r="BK247" s="1349"/>
      <c r="BL247" s="1349"/>
      <c r="BM247" s="1349"/>
    </row>
    <row r="248" spans="1:65">
      <c r="A248" s="1341"/>
      <c r="B248" s="1350" t="s">
        <v>1161</v>
      </c>
      <c r="C248" s="1341" t="s">
        <v>434</v>
      </c>
      <c r="D248" s="1349"/>
      <c r="E248" s="1366" t="str">
        <f t="shared" ref="E248:L248" si="530">E8</f>
        <v>93/3</v>
      </c>
      <c r="F248" s="1366" t="str">
        <f t="shared" si="530"/>
        <v>94/3</v>
      </c>
      <c r="G248" s="1366" t="str">
        <f t="shared" si="530"/>
        <v>95/3</v>
      </c>
      <c r="H248" s="1366" t="str">
        <f t="shared" si="530"/>
        <v>96/3</v>
      </c>
      <c r="I248" s="1366" t="str">
        <f t="shared" si="530"/>
        <v>97/3</v>
      </c>
      <c r="J248" s="1366" t="str">
        <f t="shared" si="530"/>
        <v>98/3</v>
      </c>
      <c r="K248" s="1366" t="str">
        <f t="shared" si="530"/>
        <v>99/3</v>
      </c>
      <c r="L248" s="1497">
        <f t="shared" si="530"/>
        <v>36586</v>
      </c>
      <c r="M248" s="1497"/>
      <c r="N248" s="1497"/>
      <c r="O248" s="1497"/>
      <c r="P248" s="1497"/>
      <c r="Q248" s="1497"/>
      <c r="R248" s="1497"/>
      <c r="S248" s="1497"/>
      <c r="T248" s="1498">
        <f>16825-16330</f>
        <v>495</v>
      </c>
      <c r="U248" s="1497"/>
      <c r="V248" s="1497"/>
      <c r="W248" s="503">
        <f>W251/V251-1</f>
        <v>-3.5150847039712385E-2</v>
      </c>
      <c r="X248" s="503"/>
      <c r="Y248" s="1465"/>
      <c r="Z248" s="1465"/>
      <c r="AA248" s="1465"/>
      <c r="AB248" s="1465"/>
      <c r="AC248" s="1465"/>
      <c r="AD248" s="1465"/>
      <c r="AE248" s="1465"/>
      <c r="AF248" s="1465"/>
      <c r="AG248" s="1465"/>
      <c r="AH248" s="1938"/>
      <c r="AI248" s="1465"/>
      <c r="AJ248" s="1938"/>
      <c r="AK248" s="1499"/>
      <c r="AL248" s="1465"/>
      <c r="AM248" s="1465"/>
      <c r="AN248" s="1465"/>
      <c r="AO248" s="1465"/>
      <c r="AP248" s="1465"/>
      <c r="AQ248" s="1366"/>
      <c r="AR248" s="1366"/>
      <c r="AS248" s="1366"/>
      <c r="AT248" s="1366"/>
      <c r="AU248" s="1366"/>
      <c r="AV248" s="1366"/>
      <c r="AW248" s="1366"/>
      <c r="AX248" s="1366"/>
      <c r="AY248" s="1366"/>
      <c r="AZ248" s="1366"/>
      <c r="BA248" s="1366"/>
      <c r="BB248" s="1366"/>
      <c r="BC248" s="1366"/>
      <c r="BD248" s="1366"/>
      <c r="BE248" s="1366"/>
      <c r="BF248" s="1366"/>
      <c r="BG248" s="1366"/>
      <c r="BH248" s="1366"/>
      <c r="BI248" s="1366"/>
      <c r="BJ248" s="1366"/>
      <c r="BK248" s="1366"/>
      <c r="BL248" s="1366"/>
      <c r="BM248" s="1366"/>
    </row>
    <row r="249" spans="1:65">
      <c r="A249" s="1341"/>
      <c r="B249" s="1500" t="s">
        <v>1148</v>
      </c>
      <c r="C249" s="1395" t="s">
        <v>447</v>
      </c>
      <c r="D249" s="1501">
        <v>1584</v>
      </c>
      <c r="E249" s="1501">
        <v>990</v>
      </c>
      <c r="F249" s="1501">
        <v>816</v>
      </c>
      <c r="G249" s="1501">
        <v>766</v>
      </c>
      <c r="H249" s="1501">
        <v>-2035</v>
      </c>
      <c r="I249" s="1501">
        <v>-720</v>
      </c>
      <c r="J249" s="1501">
        <v>-1690</v>
      </c>
      <c r="K249" s="1501">
        <v>663</v>
      </c>
      <c r="L249" s="1501">
        <v>865</v>
      </c>
      <c r="M249" s="1501">
        <v>293</v>
      </c>
      <c r="N249" s="1501">
        <v>504</v>
      </c>
      <c r="O249" s="1501">
        <v>1018</v>
      </c>
      <c r="P249" s="1501">
        <v>1176</v>
      </c>
      <c r="Q249" s="1501">
        <v>1364</v>
      </c>
      <c r="R249" s="1501">
        <v>468</v>
      </c>
      <c r="S249" s="1501">
        <v>775</v>
      </c>
      <c r="T249" s="1501">
        <v>1510</v>
      </c>
      <c r="U249" s="1501">
        <v>143</v>
      </c>
      <c r="V249" s="1501">
        <v>307</v>
      </c>
      <c r="W249" s="1501">
        <v>800</v>
      </c>
      <c r="X249" s="1501">
        <v>800</v>
      </c>
      <c r="Y249" s="1501">
        <v>800</v>
      </c>
      <c r="Z249" s="1501">
        <v>800</v>
      </c>
      <c r="AA249" s="1501">
        <v>800</v>
      </c>
      <c r="AB249" s="1501">
        <v>800</v>
      </c>
      <c r="AC249" s="1502">
        <v>800</v>
      </c>
      <c r="AD249" s="1502">
        <v>800</v>
      </c>
      <c r="AE249" s="1502">
        <v>800</v>
      </c>
      <c r="AF249" s="1502">
        <v>800</v>
      </c>
      <c r="AG249" s="1502">
        <v>800</v>
      </c>
      <c r="AH249" s="1941">
        <v>800</v>
      </c>
      <c r="AI249" s="1502">
        <v>800</v>
      </c>
      <c r="AJ249" s="1941">
        <v>800</v>
      </c>
      <c r="AK249" s="1503">
        <v>800</v>
      </c>
      <c r="AL249" s="1502">
        <v>800</v>
      </c>
      <c r="AM249" s="1502">
        <v>800</v>
      </c>
      <c r="AN249" s="1502">
        <v>800</v>
      </c>
      <c r="AO249" s="1502">
        <v>800</v>
      </c>
      <c r="AP249" s="1502">
        <v>800</v>
      </c>
      <c r="AQ249" s="1349"/>
      <c r="AR249" s="1349"/>
      <c r="AS249" s="1349"/>
      <c r="AT249" s="1349"/>
      <c r="AU249" s="1349"/>
      <c r="AV249" s="1349"/>
      <c r="AW249" s="1349"/>
      <c r="AX249" s="1349"/>
      <c r="AY249" s="1349"/>
      <c r="AZ249" s="1349"/>
      <c r="BA249" s="1349"/>
      <c r="BB249" s="1349"/>
      <c r="BC249" s="1349"/>
      <c r="BD249" s="1349"/>
      <c r="BE249" s="1349"/>
      <c r="BF249" s="1349"/>
      <c r="BG249" s="1349"/>
      <c r="BH249" s="1349"/>
      <c r="BI249" s="1349"/>
      <c r="BJ249" s="1349"/>
      <c r="BK249" s="1349"/>
      <c r="BL249" s="1349"/>
      <c r="BM249" s="1349"/>
    </row>
    <row r="250" spans="1:65">
      <c r="A250" s="1341"/>
      <c r="B250" s="1350" t="s">
        <v>1149</v>
      </c>
      <c r="C250" s="1341" t="s">
        <v>527</v>
      </c>
      <c r="D250" s="1349">
        <v>13350</v>
      </c>
      <c r="E250" s="1349">
        <v>11427</v>
      </c>
      <c r="F250" s="1349">
        <v>12686</v>
      </c>
      <c r="G250" s="1349">
        <v>13180</v>
      </c>
      <c r="H250" s="1349">
        <v>12201</v>
      </c>
      <c r="I250" s="1349">
        <v>15487</v>
      </c>
      <c r="J250" s="1349">
        <v>15620</v>
      </c>
      <c r="K250" s="1349">
        <v>15496</v>
      </c>
      <c r="L250" s="1349">
        <v>19434</v>
      </c>
      <c r="M250" s="1349">
        <v>14871</v>
      </c>
      <c r="N250" s="1349">
        <v>14941</v>
      </c>
      <c r="O250" s="1349">
        <v>17097</v>
      </c>
      <c r="P250" s="1349">
        <v>15687</v>
      </c>
      <c r="Q250" s="1349">
        <v>17190</v>
      </c>
      <c r="R250" s="1349">
        <v>17630</v>
      </c>
      <c r="S250" s="1349">
        <v>16645</v>
      </c>
      <c r="T250" s="1349">
        <v>16963</v>
      </c>
      <c r="U250" s="1349">
        <v>23423</v>
      </c>
      <c r="V250" s="1349">
        <v>29582</v>
      </c>
      <c r="W250" s="1349">
        <f t="shared" ref="W250:AC250" si="531">W251+W252</f>
        <v>15851.926450000006</v>
      </c>
      <c r="X250" s="1349">
        <f t="shared" si="531"/>
        <v>16484.581770000008</v>
      </c>
      <c r="Y250" s="1349">
        <f t="shared" si="531"/>
        <v>26049.658139616015</v>
      </c>
      <c r="Z250" s="1349">
        <f t="shared" si="531"/>
        <v>27072.066842060329</v>
      </c>
      <c r="AA250" s="1349">
        <f t="shared" si="531"/>
        <v>28106.791531240058</v>
      </c>
      <c r="AB250" s="1349">
        <f t="shared" si="531"/>
        <v>29154.057205016768</v>
      </c>
      <c r="AC250" s="1349">
        <f t="shared" si="531"/>
        <v>30214.093147990527</v>
      </c>
      <c r="AD250" s="1349">
        <f t="shared" ref="AD250:AE250" si="532">AD251+AD252</f>
        <v>31287.133015102496</v>
      </c>
      <c r="AE250" s="1349">
        <f t="shared" si="532"/>
        <v>32373.414916888229</v>
      </c>
      <c r="AF250" s="1349">
        <f t="shared" ref="AF250:AH250" si="533">AF251+AF252</f>
        <v>33473.181506414505</v>
      </c>
      <c r="AG250" s="1349">
        <f t="shared" si="533"/>
        <v>34586.680067933201</v>
      </c>
      <c r="AH250" s="1944">
        <f t="shared" si="533"/>
        <v>35714.162607286169</v>
      </c>
      <c r="AI250" s="1349">
        <f t="shared" ref="AI250:AK250" si="534">AI251+AI252</f>
        <v>35714.162607286169</v>
      </c>
      <c r="AJ250" s="1944">
        <f t="shared" ref="AJ250" si="535">AJ251+AJ252</f>
        <v>36855.885944096146</v>
      </c>
      <c r="AK250" s="1355">
        <f t="shared" si="534"/>
        <v>36855.885944096146</v>
      </c>
      <c r="AL250" s="1349">
        <f t="shared" ref="AL250" si="536">AL251+AL252</f>
        <v>38012.111805778957</v>
      </c>
      <c r="AM250" s="1349">
        <f t="shared" ref="AM250:AN250" si="537">AM251+AM252</f>
        <v>39183.106923413434</v>
      </c>
      <c r="AN250" s="1349">
        <f t="shared" si="537"/>
        <v>40369.143129505799</v>
      </c>
      <c r="AO250" s="1349">
        <f t="shared" ref="AO250" si="538">AO251+AO252</f>
        <v>41570.497457686237</v>
      </c>
      <c r="AP250" s="1349">
        <f t="shared" ref="AP250" si="539">AP251+AP252</f>
        <v>42787.452244376196</v>
      </c>
      <c r="AQ250" s="1349"/>
      <c r="AR250" s="1349"/>
      <c r="AS250" s="1349"/>
      <c r="AT250" s="1349"/>
      <c r="AU250" s="1349"/>
      <c r="AV250" s="1349"/>
      <c r="AW250" s="1349"/>
      <c r="AX250" s="1349"/>
      <c r="AY250" s="1349"/>
      <c r="AZ250" s="1349"/>
      <c r="BA250" s="1349"/>
      <c r="BB250" s="1349"/>
      <c r="BC250" s="1349"/>
      <c r="BD250" s="1349"/>
      <c r="BE250" s="1349"/>
      <c r="BF250" s="1349"/>
      <c r="BG250" s="1349"/>
      <c r="BH250" s="1349"/>
      <c r="BI250" s="1349"/>
      <c r="BJ250" s="1349"/>
      <c r="BK250" s="1349"/>
      <c r="BL250" s="1349"/>
      <c r="BM250" s="1349"/>
    </row>
    <row r="251" spans="1:65">
      <c r="A251" s="1341"/>
      <c r="B251" s="1350" t="s">
        <v>1162</v>
      </c>
      <c r="C251" s="1341" t="s">
        <v>530</v>
      </c>
      <c r="D251" s="1349"/>
      <c r="E251" s="1349"/>
      <c r="F251" s="1349"/>
      <c r="G251" s="1349"/>
      <c r="H251" s="1349"/>
      <c r="I251" s="1349"/>
      <c r="J251" s="1349"/>
      <c r="K251" s="1349"/>
      <c r="L251" s="1349"/>
      <c r="M251" s="1349"/>
      <c r="N251" s="1349"/>
      <c r="O251" s="1349"/>
      <c r="P251" s="1349"/>
      <c r="Q251" s="1349"/>
      <c r="R251" s="1349"/>
      <c r="S251" s="1349">
        <f>S250-S252</f>
        <v>11857.15904</v>
      </c>
      <c r="T251" s="1349">
        <f>T250-T252</f>
        <v>12943.07663</v>
      </c>
      <c r="U251" s="1349">
        <f>U250-U252</f>
        <v>17255.334759999998</v>
      </c>
      <c r="V251" s="1349">
        <f>V250-V252</f>
        <v>17465.866450000001</v>
      </c>
      <c r="W251" s="1349">
        <f>V251+(W369-V369)*0.3-1000-400</f>
        <v>16851.926450000006</v>
      </c>
      <c r="X251" s="1349">
        <f>W251+(X369-W369)*0.2+200-1000</f>
        <v>16584.581770000008</v>
      </c>
      <c r="Y251" s="1349">
        <f t="shared" ref="Y251:AP251" si="540">X251+(Y369-X369)*0.2+300</f>
        <v>17425.800021600015</v>
      </c>
      <c r="Z251" s="1349">
        <f t="shared" si="540"/>
        <v>18275.73156168401</v>
      </c>
      <c r="AA251" s="1349">
        <f t="shared" si="540"/>
        <v>19134.52954525621</v>
      </c>
      <c r="AB251" s="1349">
        <f t="shared" si="540"/>
        <v>20002.34997931324</v>
      </c>
      <c r="AC251" s="1349">
        <f t="shared" si="540"/>
        <v>20879.351777772928</v>
      </c>
      <c r="AD251" s="1349">
        <f t="shared" si="540"/>
        <v>21765.696817480548</v>
      </c>
      <c r="AE251" s="1349">
        <f t="shared" si="540"/>
        <v>22661.549995313839</v>
      </c>
      <c r="AF251" s="1349">
        <f t="shared" si="540"/>
        <v>23567.079286408632</v>
      </c>
      <c r="AG251" s="1349">
        <f t="shared" si="540"/>
        <v>24482.455803527209</v>
      </c>
      <c r="AH251" s="1944">
        <f>AG251+(AH369-AG369)*0.2+300</f>
        <v>25407.853857592054</v>
      </c>
      <c r="AI251" s="1349">
        <f>AG251+(AI369-AG369)*0.2+300</f>
        <v>25407.853857592054</v>
      </c>
      <c r="AJ251" s="1944">
        <f>AI251+(AJ369-AI369)*0.2+300</f>
        <v>26343.451019408149</v>
      </c>
      <c r="AK251" s="1355">
        <f>AI251+(AK369-AI369)*0.2+300</f>
        <v>26343.451019408149</v>
      </c>
      <c r="AL251" s="1349">
        <f t="shared" si="540"/>
        <v>27289.428182597203</v>
      </c>
      <c r="AM251" s="1349">
        <f t="shared" si="540"/>
        <v>28245.969627768045</v>
      </c>
      <c r="AN251" s="1349">
        <f t="shared" si="540"/>
        <v>29213.263087947496</v>
      </c>
      <c r="AO251" s="1349">
        <f t="shared" si="540"/>
        <v>30191.499815296775</v>
      </c>
      <c r="AP251" s="1349">
        <f t="shared" si="540"/>
        <v>31180.874649138943</v>
      </c>
      <c r="AQ251" s="1349"/>
      <c r="AR251" s="1349"/>
      <c r="AS251" s="1349"/>
      <c r="AT251" s="1349"/>
      <c r="AU251" s="1349"/>
      <c r="AV251" s="1349"/>
      <c r="AW251" s="1349"/>
      <c r="AX251" s="1349"/>
      <c r="AY251" s="1349"/>
      <c r="AZ251" s="1349"/>
      <c r="BA251" s="1349"/>
      <c r="BB251" s="1349"/>
      <c r="BC251" s="1349"/>
      <c r="BD251" s="1349"/>
      <c r="BE251" s="1349"/>
      <c r="BF251" s="1349"/>
      <c r="BG251" s="1349"/>
      <c r="BH251" s="1349"/>
      <c r="BI251" s="1349"/>
      <c r="BJ251" s="1349"/>
      <c r="BK251" s="1349"/>
      <c r="BL251" s="1349"/>
      <c r="BM251" s="1349"/>
    </row>
    <row r="252" spans="1:65">
      <c r="A252" s="1341"/>
      <c r="B252" s="1350" t="s">
        <v>1163</v>
      </c>
      <c r="C252" s="1341" t="s">
        <v>529</v>
      </c>
      <c r="D252" s="1349"/>
      <c r="E252" s="1349"/>
      <c r="F252" s="1349"/>
      <c r="G252" s="1349"/>
      <c r="H252" s="1349"/>
      <c r="I252" s="1349"/>
      <c r="J252" s="1349"/>
      <c r="K252" s="1349"/>
      <c r="L252" s="1349"/>
      <c r="M252" s="1349"/>
      <c r="N252" s="1349"/>
      <c r="O252" s="1349"/>
      <c r="P252" s="1349"/>
      <c r="Q252" s="1349"/>
      <c r="R252" s="1349"/>
      <c r="S252" s="1349">
        <f>S277</f>
        <v>4787.8409599999995</v>
      </c>
      <c r="T252" s="1349">
        <f>T277</f>
        <v>4019.9233699999995</v>
      </c>
      <c r="U252" s="1349">
        <f>U277</f>
        <v>6167.6652400000003</v>
      </c>
      <c r="V252" s="1349">
        <f>V277</f>
        <v>12116.13355</v>
      </c>
      <c r="W252" s="1349">
        <f>W277-1000</f>
        <v>-1000</v>
      </c>
      <c r="X252" s="1349">
        <f>X277-100</f>
        <v>-100</v>
      </c>
      <c r="Y252" s="1349">
        <f t="shared" ref="Y252:AD252" si="541">Y277</f>
        <v>8623.8581180159999</v>
      </c>
      <c r="Z252" s="1349">
        <f t="shared" si="541"/>
        <v>8796.3352803763191</v>
      </c>
      <c r="AA252" s="1349">
        <f t="shared" si="541"/>
        <v>8972.2619859838487</v>
      </c>
      <c r="AB252" s="1349">
        <f t="shared" si="541"/>
        <v>9151.707225703527</v>
      </c>
      <c r="AC252" s="1349">
        <f t="shared" si="541"/>
        <v>9334.7413702175963</v>
      </c>
      <c r="AD252" s="1349">
        <f t="shared" si="541"/>
        <v>9521.4361976219498</v>
      </c>
      <c r="AE252" s="1349">
        <f t="shared" ref="AE252:AH252" si="542">AE277</f>
        <v>9711.8649215743899</v>
      </c>
      <c r="AF252" s="1349">
        <f t="shared" si="542"/>
        <v>9906.102220005876</v>
      </c>
      <c r="AG252" s="1349">
        <f t="shared" si="542"/>
        <v>10104.224264405993</v>
      </c>
      <c r="AH252" s="1944">
        <f t="shared" si="542"/>
        <v>10306.308749694112</v>
      </c>
      <c r="AI252" s="1349">
        <f t="shared" ref="AI252:AK252" si="543">AI277</f>
        <v>10306.308749694112</v>
      </c>
      <c r="AJ252" s="1944">
        <f t="shared" ref="AJ252" si="544">AJ277</f>
        <v>10512.434924687996</v>
      </c>
      <c r="AK252" s="1355">
        <f t="shared" si="543"/>
        <v>10512.434924687996</v>
      </c>
      <c r="AL252" s="1349">
        <f t="shared" ref="AL252" si="545">AL277</f>
        <v>10722.683623181754</v>
      </c>
      <c r="AM252" s="1349">
        <f t="shared" ref="AM252:AN252" si="546">AM277</f>
        <v>10937.137295645387</v>
      </c>
      <c r="AN252" s="1349">
        <f t="shared" si="546"/>
        <v>11155.880041558299</v>
      </c>
      <c r="AO252" s="1349">
        <f t="shared" ref="AO252" si="547">AO277</f>
        <v>11378.997642389462</v>
      </c>
      <c r="AP252" s="1349">
        <f t="shared" ref="AP252" si="548">AP277</f>
        <v>11606.577595237251</v>
      </c>
      <c r="AQ252" s="1349"/>
      <c r="AR252" s="1349"/>
      <c r="AS252" s="1349"/>
      <c r="AT252" s="1349"/>
      <c r="AU252" s="1349"/>
      <c r="AV252" s="1349"/>
      <c r="AW252" s="1349"/>
      <c r="AX252" s="1349"/>
      <c r="AY252" s="1349"/>
      <c r="AZ252" s="1349"/>
      <c r="BA252" s="1349"/>
      <c r="BB252" s="1349"/>
      <c r="BC252" s="1349"/>
      <c r="BD252" s="1349"/>
      <c r="BE252" s="1349"/>
      <c r="BF252" s="1349"/>
      <c r="BG252" s="1349"/>
      <c r="BH252" s="1349"/>
      <c r="BI252" s="1349"/>
      <c r="BJ252" s="1349"/>
      <c r="BK252" s="1349"/>
      <c r="BL252" s="1349"/>
      <c r="BM252" s="1349"/>
    </row>
    <row r="253" spans="1:65">
      <c r="A253" s="1341"/>
      <c r="B253" s="1350" t="s">
        <v>1043</v>
      </c>
      <c r="C253" s="1341" t="s">
        <v>445</v>
      </c>
      <c r="D253" s="1349">
        <v>1130</v>
      </c>
      <c r="E253" s="1349">
        <v>1560</v>
      </c>
      <c r="F253" s="1349">
        <v>1311</v>
      </c>
      <c r="G253" s="1349">
        <v>1430</v>
      </c>
      <c r="H253" s="1349">
        <v>1685</v>
      </c>
      <c r="I253" s="1349">
        <v>1210</v>
      </c>
      <c r="J253" s="1349">
        <v>-204</v>
      </c>
      <c r="K253" s="1349">
        <v>-214</v>
      </c>
      <c r="L253" s="1349">
        <v>73</v>
      </c>
      <c r="M253" s="1349">
        <v>-78</v>
      </c>
      <c r="N253" s="1349">
        <v>105</v>
      </c>
      <c r="O253" s="1349">
        <v>216</v>
      </c>
      <c r="P253" s="1349">
        <v>778</v>
      </c>
      <c r="Q253" s="1349">
        <v>693</v>
      </c>
      <c r="R253" s="1349">
        <v>980</v>
      </c>
      <c r="S253" s="1349">
        <v>1353</v>
      </c>
      <c r="T253" s="1349">
        <v>910</v>
      </c>
      <c r="U253" s="1349">
        <v>726</v>
      </c>
      <c r="V253" s="1349">
        <v>683</v>
      </c>
      <c r="W253" s="1349">
        <v>1000</v>
      </c>
      <c r="X253" s="1349">
        <v>1000</v>
      </c>
      <c r="Y253" s="1349">
        <v>1000</v>
      </c>
      <c r="Z253" s="1349">
        <v>1000</v>
      </c>
      <c r="AA253" s="1349">
        <v>1000</v>
      </c>
      <c r="AB253" s="1349">
        <v>1000</v>
      </c>
      <c r="AC253" s="1349">
        <v>1000</v>
      </c>
      <c r="AD253" s="1349">
        <v>1000</v>
      </c>
      <c r="AE253" s="1349">
        <v>1000</v>
      </c>
      <c r="AF253" s="1349">
        <v>1000</v>
      </c>
      <c r="AG253" s="1349">
        <v>1000</v>
      </c>
      <c r="AH253" s="1944">
        <v>1000</v>
      </c>
      <c r="AI253" s="1349">
        <v>1000</v>
      </c>
      <c r="AJ253" s="1944">
        <v>1000</v>
      </c>
      <c r="AK253" s="1355">
        <v>1000</v>
      </c>
      <c r="AL253" s="1349">
        <v>1000</v>
      </c>
      <c r="AM253" s="1349">
        <v>1000</v>
      </c>
      <c r="AN253" s="1349">
        <v>1000</v>
      </c>
      <c r="AO253" s="1349">
        <v>1000</v>
      </c>
      <c r="AP253" s="1349">
        <v>1000</v>
      </c>
      <c r="AQ253" s="1349"/>
      <c r="AR253" s="1349"/>
      <c r="AS253" s="1349"/>
      <c r="AT253" s="1349"/>
      <c r="AU253" s="1349"/>
      <c r="AV253" s="1349"/>
      <c r="AW253" s="1349"/>
      <c r="AX253" s="1349"/>
      <c r="AY253" s="1349"/>
      <c r="AZ253" s="1349"/>
      <c r="BA253" s="1349"/>
      <c r="BB253" s="1349"/>
      <c r="BC253" s="1349"/>
      <c r="BD253" s="1349"/>
      <c r="BE253" s="1349"/>
      <c r="BF253" s="1349"/>
      <c r="BG253" s="1349"/>
      <c r="BH253" s="1349"/>
      <c r="BI253" s="1349"/>
      <c r="BJ253" s="1349"/>
      <c r="BK253" s="1349"/>
      <c r="BL253" s="1349"/>
      <c r="BM253" s="1349"/>
    </row>
    <row r="254" spans="1:65">
      <c r="A254" s="1341"/>
      <c r="B254" s="1350" t="s">
        <v>1164</v>
      </c>
      <c r="C254" s="1341" t="s">
        <v>167</v>
      </c>
      <c r="D254" s="1366" t="s">
        <v>449</v>
      </c>
      <c r="E254" s="1366" t="s">
        <v>449</v>
      </c>
      <c r="F254" s="1349">
        <v>437</v>
      </c>
      <c r="G254" s="1349">
        <v>493</v>
      </c>
      <c r="H254" s="1349">
        <v>573</v>
      </c>
      <c r="I254" s="1349">
        <v>126</v>
      </c>
      <c r="J254" s="1349">
        <v>1369</v>
      </c>
      <c r="K254" s="1349">
        <v>1316</v>
      </c>
      <c r="L254" s="1349">
        <v>1051</v>
      </c>
      <c r="M254" s="1349">
        <v>1205</v>
      </c>
      <c r="N254" s="1349">
        <v>935</v>
      </c>
      <c r="O254" s="1349">
        <v>1062</v>
      </c>
      <c r="P254" s="1349">
        <v>1003</v>
      </c>
      <c r="Q254" s="1349">
        <v>993</v>
      </c>
      <c r="R254" s="1349">
        <v>848</v>
      </c>
      <c r="S254" s="1349">
        <v>798</v>
      </c>
      <c r="T254" s="1349">
        <v>839</v>
      </c>
      <c r="U254" s="1349">
        <v>699</v>
      </c>
      <c r="V254" s="1349">
        <v>579</v>
      </c>
      <c r="W254" s="1349">
        <v>500</v>
      </c>
      <c r="X254" s="1349">
        <v>500</v>
      </c>
      <c r="Y254" s="1349">
        <v>500</v>
      </c>
      <c r="Z254" s="1349">
        <v>500</v>
      </c>
      <c r="AA254" s="1349">
        <v>500</v>
      </c>
      <c r="AB254" s="1349">
        <v>500</v>
      </c>
      <c r="AC254" s="1349">
        <v>500</v>
      </c>
      <c r="AD254" s="1349">
        <v>500</v>
      </c>
      <c r="AE254" s="1349">
        <v>500</v>
      </c>
      <c r="AF254" s="1349">
        <v>500</v>
      </c>
      <c r="AG254" s="1349">
        <v>500</v>
      </c>
      <c r="AH254" s="1944">
        <v>500</v>
      </c>
      <c r="AI254" s="1349">
        <v>500</v>
      </c>
      <c r="AJ254" s="1944">
        <v>500</v>
      </c>
      <c r="AK254" s="1355">
        <v>500</v>
      </c>
      <c r="AL254" s="1349">
        <v>500</v>
      </c>
      <c r="AM254" s="1349">
        <v>500</v>
      </c>
      <c r="AN254" s="1349">
        <v>500</v>
      </c>
      <c r="AO254" s="1349">
        <v>500</v>
      </c>
      <c r="AP254" s="1349">
        <v>500</v>
      </c>
      <c r="AQ254" s="1349"/>
      <c r="AR254" s="1349"/>
      <c r="AS254" s="1349"/>
      <c r="AT254" s="1349"/>
      <c r="AU254" s="1349"/>
      <c r="AV254" s="1349"/>
      <c r="AW254" s="1349"/>
      <c r="AX254" s="1349"/>
      <c r="AY254" s="1349"/>
      <c r="AZ254" s="1349"/>
      <c r="BA254" s="1349"/>
      <c r="BB254" s="1349"/>
      <c r="BC254" s="1349"/>
      <c r="BD254" s="1349"/>
      <c r="BE254" s="1349"/>
      <c r="BF254" s="1349"/>
      <c r="BG254" s="1349"/>
      <c r="BH254" s="1349"/>
      <c r="BI254" s="1349"/>
      <c r="BJ254" s="1349"/>
      <c r="BK254" s="1349"/>
      <c r="BL254" s="1349"/>
      <c r="BM254" s="1349"/>
    </row>
    <row r="255" spans="1:65">
      <c r="A255" s="1341"/>
      <c r="B255" s="1350" t="s">
        <v>1165</v>
      </c>
      <c r="C255" s="1341" t="s">
        <v>517</v>
      </c>
      <c r="D255" s="1349">
        <v>-5350</v>
      </c>
      <c r="E255" s="1349">
        <v>-5747</v>
      </c>
      <c r="F255" s="1349">
        <v>-5885</v>
      </c>
      <c r="G255" s="1349">
        <v>-5874</v>
      </c>
      <c r="H255" s="1349">
        <v>-5938</v>
      </c>
      <c r="I255" s="1349">
        <v>-6403</v>
      </c>
      <c r="J255" s="1349">
        <v>-6330</v>
      </c>
      <c r="K255" s="1349">
        <v>-5120</v>
      </c>
      <c r="L255" s="1349">
        <v>-5433</v>
      </c>
      <c r="M255" s="1349">
        <v>3</v>
      </c>
      <c r="N255" s="1349">
        <v>11</v>
      </c>
      <c r="O255" s="1349">
        <v>0</v>
      </c>
      <c r="P255" s="1349">
        <f>P256-P249-P250-P253-P254</f>
        <v>1</v>
      </c>
      <c r="Q255" s="1349">
        <v>3</v>
      </c>
      <c r="R255" s="1349">
        <v>6</v>
      </c>
      <c r="S255" s="1349">
        <v>-2</v>
      </c>
      <c r="T255" s="1349">
        <v>-1</v>
      </c>
      <c r="U255" s="1349">
        <v>-14</v>
      </c>
      <c r="V255" s="1349">
        <v>-31</v>
      </c>
      <c r="W255" s="1349">
        <v>-700</v>
      </c>
      <c r="X255" s="1349">
        <v>-700</v>
      </c>
      <c r="Y255" s="1349">
        <v>-700</v>
      </c>
      <c r="Z255" s="1349">
        <v>-700</v>
      </c>
      <c r="AA255" s="1349">
        <v>-700</v>
      </c>
      <c r="AB255" s="1349">
        <v>-700</v>
      </c>
      <c r="AC255" s="1349">
        <v>-700</v>
      </c>
      <c r="AD255" s="1349">
        <v>-700</v>
      </c>
      <c r="AE255" s="1349">
        <v>-700</v>
      </c>
      <c r="AF255" s="1349">
        <v>-700</v>
      </c>
      <c r="AG255" s="1349">
        <v>-700</v>
      </c>
      <c r="AH255" s="1944">
        <v>-700</v>
      </c>
      <c r="AI255" s="1349">
        <v>-700</v>
      </c>
      <c r="AJ255" s="1944">
        <v>-700</v>
      </c>
      <c r="AK255" s="1355">
        <v>-700</v>
      </c>
      <c r="AL255" s="1349">
        <v>-700</v>
      </c>
      <c r="AM255" s="1349">
        <v>-700</v>
      </c>
      <c r="AN255" s="1349">
        <v>-700</v>
      </c>
      <c r="AO255" s="1349">
        <v>-700</v>
      </c>
      <c r="AP255" s="1349">
        <v>-700</v>
      </c>
      <c r="AQ255" s="1349"/>
      <c r="AR255" s="1349"/>
      <c r="AS255" s="1349"/>
      <c r="AT255" s="1349"/>
      <c r="AU255" s="1349"/>
      <c r="AV255" s="1349"/>
      <c r="AW255" s="1349"/>
      <c r="AX255" s="1349"/>
      <c r="AY255" s="1349"/>
      <c r="AZ255" s="1349"/>
      <c r="BA255" s="1349"/>
      <c r="BB255" s="1349"/>
      <c r="BC255" s="1349"/>
      <c r="BD255" s="1349"/>
      <c r="BE255" s="1349"/>
      <c r="BF255" s="1349"/>
      <c r="BG255" s="1349"/>
      <c r="BH255" s="1349"/>
      <c r="BI255" s="1349"/>
      <c r="BJ255" s="1349"/>
      <c r="BK255" s="1349"/>
      <c r="BL255" s="1349"/>
      <c r="BM255" s="1349"/>
    </row>
    <row r="256" spans="1:65">
      <c r="A256" s="1341"/>
      <c r="B256" s="1485" t="s">
        <v>1044</v>
      </c>
      <c r="C256" s="1484" t="s">
        <v>427</v>
      </c>
      <c r="D256" s="1353">
        <v>10716</v>
      </c>
      <c r="E256" s="1353">
        <v>8230</v>
      </c>
      <c r="F256" s="1353">
        <v>9366</v>
      </c>
      <c r="G256" s="1353">
        <v>9996</v>
      </c>
      <c r="H256" s="1353">
        <v>6486</v>
      </c>
      <c r="I256" s="1353">
        <v>9699</v>
      </c>
      <c r="J256" s="1353">
        <v>8765</v>
      </c>
      <c r="K256" s="1353">
        <v>12141</v>
      </c>
      <c r="L256" s="1353">
        <v>15991</v>
      </c>
      <c r="M256" s="1353">
        <v>16296</v>
      </c>
      <c r="N256" s="1353">
        <v>16498</v>
      </c>
      <c r="O256" s="1353">
        <v>19395</v>
      </c>
      <c r="P256" s="1353">
        <v>18645</v>
      </c>
      <c r="Q256" s="1353">
        <v>20245</v>
      </c>
      <c r="R256" s="1353">
        <v>19935</v>
      </c>
      <c r="S256" s="1353">
        <f>S249+S250+S253+S254-1</f>
        <v>19570</v>
      </c>
      <c r="T256" s="1353">
        <v>20222</v>
      </c>
      <c r="U256" s="1353">
        <v>24978</v>
      </c>
      <c r="V256" s="1353">
        <v>31121</v>
      </c>
      <c r="W256" s="1353">
        <f>ROUND(W249+W250+W253+W254+W255,-2)</f>
        <v>17500</v>
      </c>
      <c r="X256" s="1353">
        <f>ROUND(X249+X250+X253+X254+X255,-2)</f>
        <v>18100</v>
      </c>
      <c r="Y256" s="1353">
        <f t="shared" ref="Y256:AD256" si="549">ROUND(Y249+Y250+Y253+Y254+Y255,-2)-400</f>
        <v>27200</v>
      </c>
      <c r="Z256" s="1353">
        <f t="shared" si="549"/>
        <v>28300</v>
      </c>
      <c r="AA256" s="1353">
        <f t="shared" si="549"/>
        <v>29300</v>
      </c>
      <c r="AB256" s="1353">
        <f t="shared" si="549"/>
        <v>30400</v>
      </c>
      <c r="AC256" s="1353">
        <f t="shared" si="549"/>
        <v>31400</v>
      </c>
      <c r="AD256" s="1353">
        <f t="shared" si="549"/>
        <v>32500</v>
      </c>
      <c r="AE256" s="1353">
        <f t="shared" ref="AE256:AH256" si="550">ROUND(AE249+AE250+AE253+AE254+AE255,-2)-400</f>
        <v>33600</v>
      </c>
      <c r="AF256" s="1353">
        <f t="shared" si="550"/>
        <v>34700</v>
      </c>
      <c r="AG256" s="1353">
        <f t="shared" si="550"/>
        <v>35800</v>
      </c>
      <c r="AH256" s="1943">
        <f t="shared" si="550"/>
        <v>36900</v>
      </c>
      <c r="AI256" s="1353">
        <f t="shared" ref="AI256:AK256" si="551">ROUND(AI249+AI250+AI253+AI254+AI255,-2)-400</f>
        <v>36900</v>
      </c>
      <c r="AJ256" s="1943">
        <f t="shared" ref="AJ256" si="552">ROUND(AJ249+AJ250+AJ253+AJ254+AJ255,-2)-400</f>
        <v>38100</v>
      </c>
      <c r="AK256" s="1354">
        <f t="shared" si="551"/>
        <v>38100</v>
      </c>
      <c r="AL256" s="1353">
        <f t="shared" ref="AL256" si="553">ROUND(AL249+AL250+AL253+AL254+AL255,-2)-400</f>
        <v>39200</v>
      </c>
      <c r="AM256" s="1353">
        <f t="shared" ref="AM256:AN256" si="554">ROUND(AM249+AM250+AM253+AM254+AM255,-2)-400</f>
        <v>40400</v>
      </c>
      <c r="AN256" s="1353">
        <f t="shared" si="554"/>
        <v>41600</v>
      </c>
      <c r="AO256" s="1353">
        <f t="shared" ref="AO256" si="555">ROUND(AO249+AO250+AO253+AO254+AO255,-2)-400</f>
        <v>42800</v>
      </c>
      <c r="AP256" s="1353">
        <f t="shared" ref="AP256" si="556">ROUND(AP249+AP250+AP253+AP254+AP255,-2)-400</f>
        <v>44000</v>
      </c>
      <c r="AQ256" s="1349"/>
      <c r="AR256" s="1349"/>
      <c r="AS256" s="1349"/>
      <c r="AT256" s="1349"/>
      <c r="AU256" s="1349"/>
      <c r="AV256" s="1349"/>
      <c r="AW256" s="1349"/>
      <c r="AX256" s="1349"/>
      <c r="AY256" s="1349"/>
      <c r="AZ256" s="1349"/>
      <c r="BA256" s="1349"/>
      <c r="BB256" s="1349"/>
      <c r="BC256" s="1349"/>
      <c r="BD256" s="1349"/>
      <c r="BE256" s="1349"/>
      <c r="BF256" s="1349"/>
      <c r="BG256" s="1349"/>
      <c r="BH256" s="1349"/>
      <c r="BI256" s="1349"/>
      <c r="BJ256" s="1349"/>
      <c r="BK256" s="1349"/>
      <c r="BL256" s="1349"/>
      <c r="BM256" s="1349"/>
    </row>
    <row r="257" spans="1:65">
      <c r="A257" s="1341"/>
      <c r="B257" s="1350"/>
      <c r="C257" s="1341"/>
      <c r="D257" s="1349"/>
      <c r="E257" s="1349"/>
      <c r="F257" s="1349"/>
      <c r="G257" s="1349"/>
      <c r="H257" s="1349"/>
      <c r="I257" s="1349"/>
      <c r="J257" s="1349"/>
      <c r="K257" s="1349"/>
      <c r="L257" s="1349"/>
      <c r="M257" s="1349"/>
      <c r="N257" s="1349"/>
      <c r="O257" s="1349"/>
      <c r="P257" s="1349"/>
      <c r="Q257" s="1349"/>
      <c r="R257" s="1349"/>
      <c r="S257" s="1349"/>
      <c r="T257" s="1349"/>
      <c r="U257" s="1349"/>
      <c r="V257" s="1349"/>
      <c r="W257" s="367">
        <v>29700</v>
      </c>
      <c r="X257" s="367">
        <v>31100</v>
      </c>
      <c r="Y257" s="367">
        <v>31100</v>
      </c>
      <c r="Z257" s="367">
        <v>31100</v>
      </c>
      <c r="AA257" s="367">
        <v>31100</v>
      </c>
      <c r="AB257" s="367">
        <v>31100</v>
      </c>
      <c r="AC257" s="367">
        <v>31100</v>
      </c>
      <c r="AD257" s="367">
        <v>31100</v>
      </c>
      <c r="AE257" s="367">
        <v>31100</v>
      </c>
      <c r="AF257" s="367">
        <v>31100</v>
      </c>
      <c r="AG257" s="367">
        <v>31100</v>
      </c>
      <c r="AH257" s="1961">
        <v>31100</v>
      </c>
      <c r="AI257" s="367">
        <v>31100</v>
      </c>
      <c r="AJ257" s="1961">
        <v>31100</v>
      </c>
      <c r="AK257" s="1442">
        <v>31100</v>
      </c>
      <c r="AL257" s="367">
        <v>31100</v>
      </c>
      <c r="AM257" s="367">
        <v>31100</v>
      </c>
      <c r="AN257" s="367">
        <v>31100</v>
      </c>
      <c r="AO257" s="367">
        <v>31100</v>
      </c>
      <c r="AP257" s="367">
        <v>31100</v>
      </c>
      <c r="AQ257" s="1349"/>
      <c r="AR257" s="1349"/>
      <c r="AS257" s="1349"/>
      <c r="AT257" s="1349"/>
      <c r="AU257" s="1349"/>
      <c r="AV257" s="1349"/>
      <c r="AW257" s="1349"/>
      <c r="AX257" s="1349"/>
      <c r="AY257" s="1349"/>
      <c r="AZ257" s="1349"/>
      <c r="BA257" s="1349"/>
      <c r="BB257" s="1349"/>
      <c r="BC257" s="1349"/>
      <c r="BD257" s="1349"/>
      <c r="BE257" s="1349"/>
      <c r="BF257" s="1349"/>
      <c r="BG257" s="1349"/>
      <c r="BH257" s="1349"/>
      <c r="BI257" s="1349"/>
      <c r="BJ257" s="1349"/>
      <c r="BK257" s="1349"/>
      <c r="BL257" s="1349"/>
      <c r="BM257" s="1349"/>
    </row>
    <row r="258" spans="1:65">
      <c r="B258" s="1338"/>
      <c r="C258" s="1" t="s">
        <v>528</v>
      </c>
    </row>
    <row r="259" spans="1:65">
      <c r="A259" s="1405"/>
      <c r="B259" s="1500" t="s">
        <v>1148</v>
      </c>
      <c r="C259" s="1395" t="s">
        <v>447</v>
      </c>
      <c r="D259" s="1431">
        <f t="shared" ref="D259:AP259" si="557">D249/D168*100</f>
        <v>2.799476865434237</v>
      </c>
      <c r="E259" s="1431">
        <f t="shared" si="557"/>
        <v>1.8503635310169524</v>
      </c>
      <c r="F259" s="1431">
        <f t="shared" si="557"/>
        <v>1.4497903489446378</v>
      </c>
      <c r="G259" s="1431">
        <f t="shared" si="557"/>
        <v>1.0400119479179395</v>
      </c>
      <c r="H259" s="1431">
        <f t="shared" si="557"/>
        <v>-2.5204047509939187</v>
      </c>
      <c r="I259" s="1431">
        <f t="shared" si="557"/>
        <v>-0.71769619521336514</v>
      </c>
      <c r="J259" s="1431">
        <f t="shared" si="557"/>
        <v>-1.7403482756134987</v>
      </c>
      <c r="K259" s="1431">
        <f t="shared" si="557"/>
        <v>0.81713644822953779</v>
      </c>
      <c r="L259" s="1431">
        <f t="shared" si="557"/>
        <v>1.1635727737422652</v>
      </c>
      <c r="M259" s="1431">
        <f t="shared" si="557"/>
        <v>0.42354505767729628</v>
      </c>
      <c r="N259" s="1431">
        <f t="shared" si="557"/>
        <v>0.78677469208073803</v>
      </c>
      <c r="O259" s="1431">
        <f t="shared" si="557"/>
        <v>1.5910476220246001</v>
      </c>
      <c r="P259" s="1431">
        <f t="shared" si="557"/>
        <v>2.0466411416637662</v>
      </c>
      <c r="Q259" s="1431">
        <f t="shared" si="557"/>
        <v>2.6533351489096817</v>
      </c>
      <c r="R259" s="1431">
        <f t="shared" si="557"/>
        <v>0.99599897846258612</v>
      </c>
      <c r="S259" s="1431">
        <f t="shared" si="557"/>
        <v>1.6707987495957743</v>
      </c>
      <c r="T259" s="1431">
        <f t="shared" si="557"/>
        <v>3.6192804582823999</v>
      </c>
      <c r="U259" s="1431">
        <f t="shared" si="557"/>
        <v>0.38383079235559375</v>
      </c>
      <c r="V259" s="1431">
        <f t="shared" si="557"/>
        <v>0.91546145817802305</v>
      </c>
      <c r="W259" s="1431">
        <f t="shared" si="557"/>
        <v>2.7250740879517661</v>
      </c>
      <c r="X259" s="1431">
        <f t="shared" si="557"/>
        <v>2.6353065190895015</v>
      </c>
      <c r="Y259" s="1431">
        <f t="shared" si="557"/>
        <v>2.5512644704531686</v>
      </c>
      <c r="Z259" s="1431">
        <f t="shared" si="557"/>
        <v>2.4724170967642243</v>
      </c>
      <c r="AA259" s="1431">
        <f t="shared" si="557"/>
        <v>2.398297208981623</v>
      </c>
      <c r="AB259" s="1431">
        <f t="shared" si="557"/>
        <v>2.3284920103617894</v>
      </c>
      <c r="AC259" s="1432">
        <f t="shared" si="557"/>
        <v>2.2626354045874932</v>
      </c>
      <c r="AD259" s="1432">
        <f t="shared" si="557"/>
        <v>2.2004015732871247</v>
      </c>
      <c r="AE259" s="1432">
        <f t="shared" si="557"/>
        <v>2.1414995850844551</v>
      </c>
      <c r="AF259" s="1432">
        <f t="shared" si="557"/>
        <v>2.08566884792867</v>
      </c>
      <c r="AG259" s="1432">
        <f t="shared" si="557"/>
        <v>2.0326752547196176</v>
      </c>
      <c r="AH259" s="1959">
        <f t="shared" si="557"/>
        <v>1.9823079019748742</v>
      </c>
      <c r="AI259" s="1432">
        <f t="shared" si="557"/>
        <v>1.9823079019748742</v>
      </c>
      <c r="AJ259" s="1959">
        <f t="shared" si="557"/>
        <v>1.9343762845467516</v>
      </c>
      <c r="AK259" s="1440">
        <f t="shared" si="557"/>
        <v>1.9343762845467516</v>
      </c>
      <c r="AL259" s="1432">
        <f t="shared" si="557"/>
        <v>1.8887078877163159</v>
      </c>
      <c r="AM259" s="1432">
        <f t="shared" si="557"/>
        <v>1.8451461125077844</v>
      </c>
      <c r="AN259" s="1432">
        <f t="shared" si="557"/>
        <v>1.8035484816376222</v>
      </c>
      <c r="AO259" s="1432">
        <f t="shared" si="557"/>
        <v>1.7637850827876624</v>
      </c>
      <c r="AP259" s="1432">
        <f t="shared" si="557"/>
        <v>1.7257372133658349</v>
      </c>
      <c r="AQ259" s="1420"/>
      <c r="AR259" s="1420"/>
      <c r="AS259" s="1420"/>
      <c r="AT259" s="1420"/>
      <c r="AU259" s="1420"/>
      <c r="AV259" s="1420"/>
      <c r="AW259" s="1420"/>
      <c r="AX259" s="1420"/>
      <c r="AY259" s="1420"/>
      <c r="AZ259" s="1420"/>
      <c r="BA259" s="1420"/>
      <c r="BB259" s="1420"/>
      <c r="BC259" s="1420"/>
      <c r="BD259" s="1420"/>
      <c r="BE259" s="1420"/>
      <c r="BF259" s="1420"/>
      <c r="BG259" s="1420"/>
      <c r="BH259" s="1420"/>
      <c r="BI259" s="1420"/>
      <c r="BJ259" s="1420"/>
      <c r="BK259" s="1420"/>
      <c r="BL259" s="1420"/>
      <c r="BM259" s="1420"/>
    </row>
    <row r="260" spans="1:65">
      <c r="A260" s="1405"/>
      <c r="B260" s="1350" t="s">
        <v>1149</v>
      </c>
      <c r="C260" s="1341" t="s">
        <v>527</v>
      </c>
      <c r="D260" s="1420">
        <f t="shared" ref="D260:AP260" si="558">D250/D171*100</f>
        <v>9.3704595385662852</v>
      </c>
      <c r="E260" s="1420">
        <f t="shared" si="558"/>
        <v>7.7268977455607697</v>
      </c>
      <c r="F260" s="1420">
        <f t="shared" si="558"/>
        <v>8.2251643606468097</v>
      </c>
      <c r="G260" s="1420">
        <f t="shared" si="558"/>
        <v>8.3816113298017783</v>
      </c>
      <c r="H260" s="1420">
        <f t="shared" si="558"/>
        <v>7.5506844567665921</v>
      </c>
      <c r="I260" s="1420">
        <f t="shared" si="558"/>
        <v>8.5171558517980781</v>
      </c>
      <c r="J260" s="1420">
        <f t="shared" si="558"/>
        <v>8.17022523040872</v>
      </c>
      <c r="K260" s="1420">
        <f t="shared" si="558"/>
        <v>7.9539680013961531</v>
      </c>
      <c r="L260" s="1420">
        <f t="shared" si="558"/>
        <v>9.2802261559693058</v>
      </c>
      <c r="M260" s="1420">
        <f t="shared" si="558"/>
        <v>6.6158315501003209</v>
      </c>
      <c r="N260" s="1420">
        <f t="shared" si="558"/>
        <v>6.2956392764291698</v>
      </c>
      <c r="O260" s="1420">
        <f t="shared" si="558"/>
        <v>7.3967197795304207</v>
      </c>
      <c r="P260" s="1420">
        <f t="shared" si="558"/>
        <v>6.8610342067626258</v>
      </c>
      <c r="Q260" s="1420">
        <f t="shared" si="558"/>
        <v>7.347723872622355</v>
      </c>
      <c r="R260" s="1420">
        <f t="shared" si="558"/>
        <v>6.886664947930095</v>
      </c>
      <c r="S260" s="1420">
        <f t="shared" si="558"/>
        <v>6.5075201050899008</v>
      </c>
      <c r="T260" s="1420">
        <f t="shared" si="558"/>
        <v>6.6443920438076285</v>
      </c>
      <c r="U260" s="1420">
        <f t="shared" si="558"/>
        <v>8.7151781694516686</v>
      </c>
      <c r="V260" s="1420">
        <f t="shared" si="558"/>
        <v>11.153590926914609</v>
      </c>
      <c r="W260" s="1420">
        <f t="shared" si="558"/>
        <v>6.2136882283537123</v>
      </c>
      <c r="X260" s="1420">
        <f t="shared" si="558"/>
        <v>6.1762867305596405</v>
      </c>
      <c r="Y260" s="1420">
        <f t="shared" si="558"/>
        <v>9.8616721887416841</v>
      </c>
      <c r="Z260" s="1420">
        <f t="shared" si="558"/>
        <v>10.104902832400702</v>
      </c>
      <c r="AA260" s="1420">
        <f t="shared" si="558"/>
        <v>10.343477664771747</v>
      </c>
      <c r="AB260" s="1420">
        <f t="shared" si="558"/>
        <v>10.577459098479663</v>
      </c>
      <c r="AC260" s="1420">
        <f t="shared" si="558"/>
        <v>10.806909236154393</v>
      </c>
      <c r="AD260" s="1420">
        <f t="shared" si="558"/>
        <v>11.031889859572782</v>
      </c>
      <c r="AE260" s="1420">
        <f t="shared" si="558"/>
        <v>11.252462419108195</v>
      </c>
      <c r="AF260" s="1420">
        <f t="shared" si="558"/>
        <v>11.468688023487832</v>
      </c>
      <c r="AG260" s="1420">
        <f t="shared" si="558"/>
        <v>11.68062742985747</v>
      </c>
      <c r="AH260" s="1954">
        <f t="shared" si="558"/>
        <v>11.888341034153029</v>
      </c>
      <c r="AI260" s="1420">
        <f t="shared" si="558"/>
        <v>11.888341034153029</v>
      </c>
      <c r="AJ260" s="1954">
        <f t="shared" si="558"/>
        <v>12.091888861778301</v>
      </c>
      <c r="AK260" s="1435">
        <f t="shared" si="558"/>
        <v>12.091888861778301</v>
      </c>
      <c r="AL260" s="1420">
        <f t="shared" si="558"/>
        <v>12.291330558587923</v>
      </c>
      <c r="AM260" s="1420">
        <f t="shared" si="558"/>
        <v>12.486725382174461</v>
      </c>
      <c r="AN260" s="1420">
        <f t="shared" si="558"/>
        <v>12.678132193458344</v>
      </c>
      <c r="AO260" s="1420">
        <f t="shared" si="558"/>
        <v>12.865609448579141</v>
      </c>
      <c r="AP260" s="1420">
        <f t="shared" si="558"/>
        <v>13.049215191086642</v>
      </c>
      <c r="AQ260" s="1420"/>
      <c r="AR260" s="1420"/>
      <c r="AS260" s="1420"/>
      <c r="AT260" s="1420"/>
      <c r="AU260" s="1420"/>
      <c r="AV260" s="1420"/>
      <c r="AW260" s="1420"/>
      <c r="AX260" s="1420"/>
      <c r="AY260" s="1420"/>
      <c r="AZ260" s="1420"/>
      <c r="BA260" s="1420"/>
      <c r="BB260" s="1420"/>
      <c r="BC260" s="1420"/>
      <c r="BD260" s="1420"/>
      <c r="BE260" s="1420"/>
      <c r="BF260" s="1420"/>
      <c r="BG260" s="1420"/>
      <c r="BH260" s="1420"/>
      <c r="BI260" s="1420"/>
      <c r="BJ260" s="1420"/>
      <c r="BK260" s="1420"/>
      <c r="BL260" s="1420"/>
      <c r="BM260" s="1420"/>
    </row>
    <row r="261" spans="1:65">
      <c r="A261" s="1405"/>
      <c r="B261" s="1350" t="s">
        <v>1043</v>
      </c>
      <c r="C261" s="1341" t="s">
        <v>445</v>
      </c>
      <c r="D261" s="1420">
        <f t="shared" ref="D261:AP261" si="559">D253/D175*100</f>
        <v>18.745852687458527</v>
      </c>
      <c r="E261" s="1420">
        <f t="shared" si="559"/>
        <v>22.611972749673868</v>
      </c>
      <c r="F261" s="1420">
        <f t="shared" si="559"/>
        <v>19.529271562639654</v>
      </c>
      <c r="G261" s="1420">
        <f t="shared" si="559"/>
        <v>17.430521696733301</v>
      </c>
      <c r="H261" s="1420">
        <f t="shared" si="559"/>
        <v>18.37112952464021</v>
      </c>
      <c r="I261" s="1420">
        <f t="shared" si="559"/>
        <v>12.927350427350429</v>
      </c>
      <c r="J261" s="1420">
        <f t="shared" si="559"/>
        <v>-2.1336680263570758</v>
      </c>
      <c r="K261" s="1420">
        <f t="shared" si="559"/>
        <v>-2.0152556737922591</v>
      </c>
      <c r="L261" s="1420">
        <f t="shared" si="559"/>
        <v>0.60980703366468969</v>
      </c>
      <c r="M261" s="1420">
        <f t="shared" si="559"/>
        <v>-0.60648472125029151</v>
      </c>
      <c r="N261" s="1420">
        <f t="shared" si="559"/>
        <v>0.79030558482613289</v>
      </c>
      <c r="O261" s="1420">
        <f t="shared" si="559"/>
        <v>1.6052318668252081</v>
      </c>
      <c r="P261" s="1420">
        <f t="shared" si="559"/>
        <v>5.9511971238430359</v>
      </c>
      <c r="Q261" s="1420">
        <f t="shared" si="559"/>
        <v>5.1623957091775923</v>
      </c>
      <c r="R261" s="1420">
        <f t="shared" si="559"/>
        <v>6.7834152419187372</v>
      </c>
      <c r="S261" s="1420">
        <f t="shared" si="559"/>
        <v>9.1221682847896446</v>
      </c>
      <c r="T261" s="1420">
        <f t="shared" si="559"/>
        <v>6.3480990582490406</v>
      </c>
      <c r="U261" s="1420">
        <f t="shared" si="559"/>
        <v>5.2823050058207217</v>
      </c>
      <c r="V261" s="1420">
        <f t="shared" si="559"/>
        <v>5.2369268517098604</v>
      </c>
      <c r="W261" s="1420">
        <f t="shared" si="559"/>
        <v>7.4951281666916501</v>
      </c>
      <c r="X261" s="1420">
        <f t="shared" si="559"/>
        <v>7.2243895390839477</v>
      </c>
      <c r="Y261" s="1420">
        <f t="shared" si="559"/>
        <v>6.9725282387393674</v>
      </c>
      <c r="Z261" s="1420">
        <f t="shared" si="559"/>
        <v>6.7376364371378523</v>
      </c>
      <c r="AA261" s="1420">
        <f t="shared" si="559"/>
        <v>6.5180550123843055</v>
      </c>
      <c r="AB261" s="1420">
        <f t="shared" si="559"/>
        <v>6.3123343012245927</v>
      </c>
      <c r="AC261" s="1420">
        <f t="shared" si="559"/>
        <v>6.1192020560518907</v>
      </c>
      <c r="AD261" s="1420">
        <f t="shared" si="559"/>
        <v>5.9375371096069349</v>
      </c>
      <c r="AE261" s="1420">
        <f t="shared" si="559"/>
        <v>5.7663475954330528</v>
      </c>
      <c r="AF261" s="1420">
        <f t="shared" si="559"/>
        <v>5.6047528304001792</v>
      </c>
      <c r="AG261" s="1420">
        <f t="shared" si="559"/>
        <v>5.4519681605059427</v>
      </c>
      <c r="AH261" s="1954">
        <f t="shared" si="559"/>
        <v>5.3072922195096055</v>
      </c>
      <c r="AI261" s="1420">
        <f t="shared" si="559"/>
        <v>5.3072922195096055</v>
      </c>
      <c r="AJ261" s="1954">
        <f t="shared" si="559"/>
        <v>5.1700961637886467</v>
      </c>
      <c r="AK261" s="1435">
        <f t="shared" si="559"/>
        <v>5.1700961637886467</v>
      </c>
      <c r="AL261" s="1420">
        <f t="shared" si="559"/>
        <v>5.0398145348251182</v>
      </c>
      <c r="AM261" s="1420">
        <f t="shared" si="559"/>
        <v>4.9159374692753905</v>
      </c>
      <c r="AN261" s="1420">
        <f t="shared" si="559"/>
        <v>4.7980040303233853</v>
      </c>
      <c r="AO261" s="1420">
        <f t="shared" si="559"/>
        <v>4.6855964764314502</v>
      </c>
      <c r="AP261" s="1420">
        <f t="shared" si="559"/>
        <v>4.5783353172786372</v>
      </c>
      <c r="AQ261" s="1420"/>
      <c r="AR261" s="1420"/>
      <c r="AS261" s="1420"/>
      <c r="AT261" s="1420"/>
      <c r="AU261" s="1420"/>
      <c r="AV261" s="1420"/>
      <c r="AW261" s="1420"/>
      <c r="AX261" s="1420"/>
      <c r="AY261" s="1420"/>
      <c r="AZ261" s="1420"/>
      <c r="BA261" s="1420"/>
      <c r="BB261" s="1420"/>
      <c r="BC261" s="1420"/>
      <c r="BD261" s="1420"/>
      <c r="BE261" s="1420"/>
      <c r="BF261" s="1420"/>
      <c r="BG261" s="1420"/>
      <c r="BH261" s="1420"/>
      <c r="BI261" s="1420"/>
      <c r="BJ261" s="1420"/>
      <c r="BK261" s="1420"/>
      <c r="BL261" s="1420"/>
      <c r="BM261" s="1420"/>
    </row>
    <row r="262" spans="1:65">
      <c r="A262" s="1405"/>
      <c r="B262" s="1350" t="s">
        <v>1164</v>
      </c>
      <c r="C262" s="1341" t="s">
        <v>167</v>
      </c>
      <c r="D262" s="1366" t="s">
        <v>449</v>
      </c>
      <c r="E262" s="1366" t="s">
        <v>449</v>
      </c>
      <c r="F262" s="1420">
        <f t="shared" ref="F262:AP262" si="560">F254/F178*100</f>
        <v>16.385451818522682</v>
      </c>
      <c r="G262" s="1420">
        <f t="shared" si="560"/>
        <v>10.034602076124568</v>
      </c>
      <c r="H262" s="1420">
        <f t="shared" si="560"/>
        <v>4.8571670763753492</v>
      </c>
      <c r="I262" s="1420">
        <f t="shared" si="560"/>
        <v>0.89622305996159035</v>
      </c>
      <c r="J262" s="1420">
        <f t="shared" si="560"/>
        <v>8.3445081067901992</v>
      </c>
      <c r="K262" s="1420">
        <f t="shared" si="560"/>
        <v>8.1024504371382839</v>
      </c>
      <c r="L262" s="1420">
        <f t="shared" si="560"/>
        <v>7.4560158910329175</v>
      </c>
      <c r="M262" s="1420">
        <f t="shared" si="560"/>
        <v>9.8641126391617551</v>
      </c>
      <c r="N262" s="1420">
        <f t="shared" si="560"/>
        <v>8.0154307758251182</v>
      </c>
      <c r="O262" s="1420">
        <f t="shared" si="560"/>
        <v>9.8424467099165902</v>
      </c>
      <c r="P262" s="1420">
        <f t="shared" si="560"/>
        <v>9.0197841726618719</v>
      </c>
      <c r="Q262" s="1420">
        <f t="shared" si="560"/>
        <v>11.312371838687628</v>
      </c>
      <c r="R262" s="1420">
        <f t="shared" si="560"/>
        <v>10.290013347894673</v>
      </c>
      <c r="S262" s="1420">
        <f t="shared" si="560"/>
        <v>18.319559228650135</v>
      </c>
      <c r="T262" s="1420">
        <f t="shared" si="560"/>
        <v>24.771183938588724</v>
      </c>
      <c r="U262" s="1420">
        <f t="shared" si="560"/>
        <v>30.404523705959114</v>
      </c>
      <c r="V262" s="1420">
        <f t="shared" si="560"/>
        <v>16.379066478076378</v>
      </c>
      <c r="W262" s="1420">
        <f t="shared" si="560"/>
        <v>14.285714285714285</v>
      </c>
      <c r="X262" s="1420">
        <f t="shared" si="560"/>
        <v>12.5</v>
      </c>
      <c r="Y262" s="1420">
        <f t="shared" si="560"/>
        <v>11.111111111111111</v>
      </c>
      <c r="Z262" s="1420">
        <f t="shared" si="560"/>
        <v>10</v>
      </c>
      <c r="AA262" s="1420">
        <f t="shared" si="560"/>
        <v>9.0909090909090917</v>
      </c>
      <c r="AB262" s="1420">
        <f t="shared" si="560"/>
        <v>8.3333333333333321</v>
      </c>
      <c r="AC262" s="1420">
        <f t="shared" si="560"/>
        <v>7.6923076923076925</v>
      </c>
      <c r="AD262" s="1420">
        <f t="shared" si="560"/>
        <v>7.1428571428571423</v>
      </c>
      <c r="AE262" s="1420">
        <f t="shared" si="560"/>
        <v>6.666666666666667</v>
      </c>
      <c r="AF262" s="1420">
        <f t="shared" si="560"/>
        <v>6.25</v>
      </c>
      <c r="AG262" s="1420">
        <f t="shared" si="560"/>
        <v>5.8823529411764701</v>
      </c>
      <c r="AH262" s="1954">
        <f t="shared" si="560"/>
        <v>5.5555555555555554</v>
      </c>
      <c r="AI262" s="1420">
        <f t="shared" si="560"/>
        <v>5.5555555555555554</v>
      </c>
      <c r="AJ262" s="1954">
        <f t="shared" si="560"/>
        <v>5.2631578947368416</v>
      </c>
      <c r="AK262" s="1435">
        <f t="shared" si="560"/>
        <v>5.2631578947368416</v>
      </c>
      <c r="AL262" s="1420">
        <f t="shared" si="560"/>
        <v>5</v>
      </c>
      <c r="AM262" s="1420">
        <f t="shared" si="560"/>
        <v>4.7619047619047619</v>
      </c>
      <c r="AN262" s="1420">
        <f t="shared" si="560"/>
        <v>4.5454545454545459</v>
      </c>
      <c r="AO262" s="1420">
        <f t="shared" si="560"/>
        <v>4.3478260869565215</v>
      </c>
      <c r="AP262" s="1420">
        <f t="shared" si="560"/>
        <v>4.1666666666666661</v>
      </c>
      <c r="AQ262" s="1420"/>
      <c r="AR262" s="1420"/>
      <c r="AS262" s="1420"/>
      <c r="AT262" s="1420"/>
      <c r="AU262" s="1420"/>
      <c r="AV262" s="1420"/>
      <c r="AW262" s="1420"/>
      <c r="AX262" s="1420"/>
      <c r="AY262" s="1420"/>
      <c r="AZ262" s="1420"/>
      <c r="BA262" s="1420"/>
      <c r="BB262" s="1420"/>
      <c r="BC262" s="1420"/>
      <c r="BD262" s="1420"/>
      <c r="BE262" s="1420"/>
      <c r="BF262" s="1420"/>
      <c r="BG262" s="1420"/>
      <c r="BH262" s="1420"/>
      <c r="BI262" s="1420"/>
      <c r="BJ262" s="1420"/>
      <c r="BK262" s="1420"/>
      <c r="BL262" s="1420"/>
      <c r="BM262" s="1420"/>
    </row>
    <row r="263" spans="1:65">
      <c r="A263" s="1405"/>
      <c r="B263" s="1485" t="s">
        <v>1044</v>
      </c>
      <c r="C263" s="1484" t="s">
        <v>427</v>
      </c>
      <c r="D263" s="1438">
        <f t="shared" ref="D263:AP263" si="561">D256/D181*100</f>
        <v>5.2252779403159737</v>
      </c>
      <c r="E263" s="1438">
        <f t="shared" si="561"/>
        <v>3.9512218541456625</v>
      </c>
      <c r="F263" s="1438">
        <f t="shared" si="561"/>
        <v>4.2592281001732619</v>
      </c>
      <c r="G263" s="1438">
        <f t="shared" si="561"/>
        <v>4.0963687551481227</v>
      </c>
      <c r="H263" s="1438">
        <f t="shared" si="561"/>
        <v>2.4633497911127988</v>
      </c>
      <c r="I263" s="1438">
        <f t="shared" si="561"/>
        <v>3.1740265860315344</v>
      </c>
      <c r="J263" s="1438">
        <f t="shared" si="561"/>
        <v>2.7891184603684245</v>
      </c>
      <c r="K263" s="1438">
        <f t="shared" si="561"/>
        <v>4.0092992229733078</v>
      </c>
      <c r="L263" s="1438">
        <f t="shared" si="561"/>
        <v>5.1613507110534442</v>
      </c>
      <c r="M263" s="1438">
        <f t="shared" si="561"/>
        <v>5.107903521557196</v>
      </c>
      <c r="N263" s="1438">
        <f t="shared" si="561"/>
        <v>5.0555720690215207</v>
      </c>
      <c r="O263" s="1438">
        <f t="shared" si="561"/>
        <v>6.0728554788772966</v>
      </c>
      <c r="P263" s="1438">
        <f t="shared" si="561"/>
        <v>6.0088561741843165</v>
      </c>
      <c r="Q263" s="1438">
        <f t="shared" si="561"/>
        <v>6.5824768580987705</v>
      </c>
      <c r="R263" s="1438">
        <f t="shared" si="561"/>
        <v>6.1210766462579604</v>
      </c>
      <c r="S263" s="1438">
        <f t="shared" si="561"/>
        <v>6.0898193903334619</v>
      </c>
      <c r="T263" s="1438">
        <f t="shared" si="561"/>
        <v>6.4249040490049047</v>
      </c>
      <c r="U263" s="1438">
        <f t="shared" si="561"/>
        <v>7.7556254521630859</v>
      </c>
      <c r="V263" s="1438">
        <f t="shared" si="561"/>
        <v>9.8691241433767694</v>
      </c>
      <c r="W263" s="1438">
        <f t="shared" si="561"/>
        <v>5.7206180882675026</v>
      </c>
      <c r="X263" s="1438">
        <f t="shared" si="561"/>
        <v>5.7442050228217196</v>
      </c>
      <c r="Y263" s="1438">
        <f t="shared" si="561"/>
        <v>8.652788844638744</v>
      </c>
      <c r="Z263" s="1438">
        <f t="shared" si="561"/>
        <v>8.8407327024429243</v>
      </c>
      <c r="AA263" s="1438">
        <f t="shared" si="561"/>
        <v>8.9895653643074525</v>
      </c>
      <c r="AB263" s="1438">
        <f t="shared" si="561"/>
        <v>9.1615000149200299</v>
      </c>
      <c r="AC263" s="1438">
        <f t="shared" si="561"/>
        <v>9.2959842830570523</v>
      </c>
      <c r="AD263" s="1438">
        <f t="shared" si="561"/>
        <v>9.4530251283524542</v>
      </c>
      <c r="AE263" s="1438">
        <f t="shared" si="561"/>
        <v>9.6027514426570466</v>
      </c>
      <c r="AF263" s="1438">
        <f t="shared" si="561"/>
        <v>9.7454163012774409</v>
      </c>
      <c r="AG263" s="1438">
        <f t="shared" si="561"/>
        <v>9.8812611887391633</v>
      </c>
      <c r="AH263" s="1958">
        <f t="shared" si="561"/>
        <v>10.010516685708446</v>
      </c>
      <c r="AI263" s="1438">
        <f t="shared" si="561"/>
        <v>10.010516685708446</v>
      </c>
      <c r="AJ263" s="1958">
        <f t="shared" si="561"/>
        <v>10.160069958363776</v>
      </c>
      <c r="AK263" s="1439">
        <f t="shared" si="561"/>
        <v>10.160069958363776</v>
      </c>
      <c r="AL263" s="1438">
        <f t="shared" si="561"/>
        <v>10.276346271112887</v>
      </c>
      <c r="AM263" s="1438">
        <f t="shared" si="561"/>
        <v>10.41244897580401</v>
      </c>
      <c r="AN263" s="1438">
        <f t="shared" si="561"/>
        <v>10.541932885591871</v>
      </c>
      <c r="AO263" s="1438">
        <f t="shared" si="561"/>
        <v>10.66501031081982</v>
      </c>
      <c r="AP263" s="1438">
        <f t="shared" si="561"/>
        <v>10.781884728048645</v>
      </c>
      <c r="AQ263" s="1420"/>
      <c r="AR263" s="1420"/>
      <c r="AS263" s="1420"/>
      <c r="AT263" s="1420"/>
      <c r="AU263" s="1420"/>
      <c r="AV263" s="1420"/>
      <c r="AW263" s="1420"/>
      <c r="AX263" s="1420"/>
      <c r="AY263" s="1420"/>
      <c r="AZ263" s="1420"/>
      <c r="BA263" s="1420"/>
      <c r="BB263" s="1420"/>
      <c r="BC263" s="1420"/>
      <c r="BD263" s="1420"/>
      <c r="BE263" s="1420"/>
      <c r="BF263" s="1420"/>
      <c r="BG263" s="1420"/>
      <c r="BH263" s="1420"/>
      <c r="BI263" s="1420"/>
      <c r="BJ263" s="1420"/>
      <c r="BK263" s="1420"/>
      <c r="BL263" s="1420"/>
      <c r="BM263" s="1420"/>
    </row>
    <row r="264" spans="1:65" hidden="1" outlineLevel="1">
      <c r="B264" s="1338" t="s">
        <v>1166</v>
      </c>
      <c r="C264" s="1" t="s">
        <v>526</v>
      </c>
      <c r="D264" s="1504" t="str">
        <f t="shared" ref="D264:L264" si="562">D11</f>
        <v>92/3</v>
      </c>
      <c r="E264" s="1504" t="str">
        <f t="shared" si="562"/>
        <v>93/3</v>
      </c>
      <c r="F264" s="1504" t="str">
        <f t="shared" si="562"/>
        <v>94/3</v>
      </c>
      <c r="G264" s="1504" t="str">
        <f t="shared" si="562"/>
        <v>95/3</v>
      </c>
      <c r="H264" s="1504" t="str">
        <f t="shared" si="562"/>
        <v>96/3</v>
      </c>
      <c r="I264" s="1504" t="str">
        <f t="shared" si="562"/>
        <v>97/3</v>
      </c>
      <c r="J264" s="1504" t="str">
        <f t="shared" si="562"/>
        <v>98/3</v>
      </c>
      <c r="K264" s="1504" t="str">
        <f t="shared" si="562"/>
        <v>99/3</v>
      </c>
      <c r="L264" s="1465">
        <f t="shared" si="562"/>
        <v>36586</v>
      </c>
      <c r="M264" s="1333">
        <v>36951</v>
      </c>
      <c r="N264" s="1333">
        <v>37316</v>
      </c>
      <c r="O264" s="1333">
        <v>37681</v>
      </c>
      <c r="P264" s="1333">
        <v>38047</v>
      </c>
      <c r="Q264" s="1333">
        <v>38412</v>
      </c>
      <c r="R264" s="1333">
        <v>38777</v>
      </c>
      <c r="S264" s="1333">
        <v>39142</v>
      </c>
      <c r="T264" s="1333">
        <v>39508</v>
      </c>
      <c r="U264" s="1333">
        <v>39873</v>
      </c>
      <c r="V264" s="1333">
        <v>40238</v>
      </c>
      <c r="W264" s="1465">
        <v>40603</v>
      </c>
      <c r="X264" s="1465">
        <v>40969</v>
      </c>
      <c r="Y264" s="1465" t="s">
        <v>525</v>
      </c>
      <c r="Z264" s="1465" t="s">
        <v>525</v>
      </c>
      <c r="AA264" s="1465" t="s">
        <v>525</v>
      </c>
      <c r="AB264" s="1465" t="s">
        <v>525</v>
      </c>
      <c r="AC264" s="1465" t="s">
        <v>525</v>
      </c>
      <c r="AD264" s="1465" t="s">
        <v>525</v>
      </c>
      <c r="AE264" s="1465" t="s">
        <v>525</v>
      </c>
      <c r="AF264" s="1465" t="s">
        <v>525</v>
      </c>
      <c r="AG264" s="1465" t="s">
        <v>525</v>
      </c>
      <c r="AH264" s="1938" t="s">
        <v>1461</v>
      </c>
      <c r="AI264" s="1465" t="s">
        <v>525</v>
      </c>
      <c r="AJ264" s="1938" t="s">
        <v>1461</v>
      </c>
      <c r="AK264" s="1499" t="s">
        <v>525</v>
      </c>
      <c r="AL264" s="1465" t="s">
        <v>525</v>
      </c>
      <c r="AM264" s="1465" t="s">
        <v>525</v>
      </c>
      <c r="AN264" s="1465" t="s">
        <v>525</v>
      </c>
      <c r="AO264" s="1465" t="s">
        <v>525</v>
      </c>
      <c r="AP264" s="1465" t="s">
        <v>525</v>
      </c>
      <c r="AQ264" s="1465"/>
      <c r="AR264" s="1465"/>
      <c r="AS264" s="1465"/>
      <c r="AT264" s="1465"/>
      <c r="AU264" s="1465"/>
      <c r="AV264" s="1465"/>
      <c r="AW264" s="1465"/>
      <c r="AX264" s="1465"/>
      <c r="AY264" s="1465"/>
      <c r="AZ264" s="1465"/>
      <c r="BA264" s="1465"/>
      <c r="BB264" s="1465"/>
      <c r="BC264" s="1465"/>
      <c r="BD264" s="1465"/>
      <c r="BE264" s="1465"/>
      <c r="BF264" s="1465"/>
      <c r="BG264" s="1465"/>
      <c r="BH264" s="1465"/>
      <c r="BI264" s="1465"/>
      <c r="BJ264" s="1465"/>
      <c r="BK264" s="1465"/>
      <c r="BL264" s="1465"/>
      <c r="BM264" s="1465"/>
    </row>
    <row r="265" spans="1:65" hidden="1" outlineLevel="1">
      <c r="A265" s="1341"/>
      <c r="B265" s="1500" t="s">
        <v>1167</v>
      </c>
      <c r="C265" s="1395" t="s">
        <v>515</v>
      </c>
      <c r="D265" s="1505" t="s">
        <v>449</v>
      </c>
      <c r="E265" s="1505" t="s">
        <v>449</v>
      </c>
      <c r="F265" s="1505" t="s">
        <v>449</v>
      </c>
      <c r="G265" s="1505" t="s">
        <v>449</v>
      </c>
      <c r="H265" s="1505" t="s">
        <v>449</v>
      </c>
      <c r="I265" s="1501">
        <v>276604</v>
      </c>
      <c r="J265" s="1501">
        <v>276615</v>
      </c>
      <c r="K265" s="1501">
        <v>264457</v>
      </c>
      <c r="L265" s="1501">
        <v>270909</v>
      </c>
      <c r="M265" s="1501">
        <v>267832</v>
      </c>
      <c r="N265" s="1501">
        <v>266345</v>
      </c>
      <c r="O265" s="1501">
        <v>268857</v>
      </c>
      <c r="P265" s="1501">
        <v>264672</v>
      </c>
      <c r="Q265" s="1501">
        <v>260957</v>
      </c>
      <c r="R265" s="1501">
        <v>270245</v>
      </c>
      <c r="S265" s="1501">
        <v>266509</v>
      </c>
      <c r="T265" s="1501">
        <v>263098</v>
      </c>
      <c r="U265" s="1501">
        <v>262186</v>
      </c>
      <c r="V265" s="1501">
        <v>256112</v>
      </c>
      <c r="W265" s="1501">
        <v>255589</v>
      </c>
      <c r="X265" s="1501">
        <v>263250</v>
      </c>
      <c r="Y265" s="1501">
        <f t="shared" ref="Y265:AD265" si="563">Y270-Y268</f>
        <v>262249.51769166405</v>
      </c>
      <c r="Z265" s="1501">
        <f t="shared" si="563"/>
        <v>267009.2143887573</v>
      </c>
      <c r="AA265" s="1501">
        <f t="shared" si="563"/>
        <v>271833.4440832251</v>
      </c>
      <c r="AB265" s="1501">
        <f t="shared" si="563"/>
        <v>276623.39082564914</v>
      </c>
      <c r="AC265" s="1502">
        <f>AC270-AC268</f>
        <v>281480.26128152921</v>
      </c>
      <c r="AD265" s="1502">
        <f t="shared" si="563"/>
        <v>286405.28517292062</v>
      </c>
      <c r="AE265" s="1502">
        <f t="shared" ref="AE265:AH265" si="564">AE270-AE268</f>
        <v>291399.71572879743</v>
      </c>
      <c r="AF265" s="1502">
        <f t="shared" si="564"/>
        <v>296464.83014431596</v>
      </c>
      <c r="AG265" s="1502">
        <f t="shared" si="564"/>
        <v>301501.93004915433</v>
      </c>
      <c r="AH265" s="1941">
        <f t="shared" si="564"/>
        <v>306612.34198510885</v>
      </c>
      <c r="AI265" s="1502">
        <f t="shared" ref="AI265:AK265" si="565">AI270-AI268</f>
        <v>306612.34198510885</v>
      </c>
      <c r="AJ265" s="1941">
        <f t="shared" ref="AJ265" si="566">AJ270-AJ268</f>
        <v>311797.41789313231</v>
      </c>
      <c r="AK265" s="1503">
        <f t="shared" si="565"/>
        <v>311797.41789313231</v>
      </c>
      <c r="AL265" s="1502">
        <f t="shared" ref="AL265" si="567">AL270-AL268</f>
        <v>317058.53560999944</v>
      </c>
      <c r="AM265" s="1502">
        <f t="shared" ref="AM265:AN265" si="568">AM270-AM268</f>
        <v>322297.09937479394</v>
      </c>
      <c r="AN265" s="1502">
        <f t="shared" si="568"/>
        <v>327614.54034541023</v>
      </c>
      <c r="AO265" s="1502">
        <f t="shared" ref="AO265" si="569">AO270-AO268</f>
        <v>333012.31712527014</v>
      </c>
      <c r="AP265" s="1502">
        <f t="shared" ref="AP265" si="570">AP270-AP268</f>
        <v>338491.91630045668</v>
      </c>
      <c r="AQ265" s="1349"/>
      <c r="AR265" s="1349"/>
      <c r="AS265" s="1349"/>
      <c r="AT265" s="1349"/>
      <c r="AU265" s="1349"/>
      <c r="AV265" s="1349"/>
      <c r="AW265" s="1349"/>
      <c r="AX265" s="1349"/>
      <c r="AY265" s="1349"/>
      <c r="AZ265" s="1349"/>
      <c r="BA265" s="1349"/>
      <c r="BB265" s="1349"/>
      <c r="BC265" s="1349"/>
      <c r="BD265" s="1349"/>
      <c r="BE265" s="1349"/>
      <c r="BF265" s="1349"/>
      <c r="BG265" s="1349"/>
      <c r="BH265" s="1349"/>
      <c r="BI265" s="1349"/>
      <c r="BJ265" s="1349"/>
      <c r="BK265" s="1349"/>
      <c r="BL265" s="1349"/>
      <c r="BM265" s="1349"/>
    </row>
    <row r="266" spans="1:65" hidden="1" outlineLevel="1">
      <c r="A266" s="1341"/>
      <c r="B266" s="1350" t="s">
        <v>1053</v>
      </c>
      <c r="C266" s="1341" t="s">
        <v>521</v>
      </c>
      <c r="D266" s="1349">
        <f t="shared" ref="D266:N266" si="571">D319</f>
        <v>175747</v>
      </c>
      <c r="E266" s="1349">
        <f t="shared" si="571"/>
        <v>181210</v>
      </c>
      <c r="F266" s="1349">
        <f t="shared" si="571"/>
        <v>185141</v>
      </c>
      <c r="G266" s="1349">
        <f t="shared" si="571"/>
        <v>194697</v>
      </c>
      <c r="H266" s="1349">
        <f t="shared" si="571"/>
        <v>200795</v>
      </c>
      <c r="I266" s="1349">
        <f t="shared" si="571"/>
        <v>220431</v>
      </c>
      <c r="J266" s="1349">
        <f t="shared" si="571"/>
        <v>215648</v>
      </c>
      <c r="K266" s="1349">
        <f t="shared" si="571"/>
        <v>205700</v>
      </c>
      <c r="L266" s="1349">
        <f t="shared" si="571"/>
        <v>205213</v>
      </c>
      <c r="M266" s="1349">
        <f t="shared" si="571"/>
        <v>207816</v>
      </c>
      <c r="N266" s="1349">
        <f t="shared" si="571"/>
        <v>211352</v>
      </c>
      <c r="O266" s="1349">
        <v>217691</v>
      </c>
      <c r="P266" s="1349">
        <f t="shared" ref="P266:V266" si="572">P319</f>
        <v>212839</v>
      </c>
      <c r="Q266" s="1349">
        <f t="shared" si="572"/>
        <v>214124</v>
      </c>
      <c r="R266" s="1349">
        <f t="shared" si="572"/>
        <v>218558</v>
      </c>
      <c r="S266" s="1349">
        <f t="shared" si="572"/>
        <v>213814</v>
      </c>
      <c r="T266" s="1349">
        <f t="shared" si="572"/>
        <v>214945</v>
      </c>
      <c r="U266" s="1349">
        <f t="shared" si="572"/>
        <v>216728</v>
      </c>
      <c r="V266" s="1349">
        <f t="shared" si="572"/>
        <v>213538</v>
      </c>
      <c r="W266" s="1349"/>
      <c r="X266" s="1349"/>
      <c r="Y266" s="1349"/>
      <c r="Z266" s="1349"/>
      <c r="AA266" s="1349"/>
      <c r="AB266" s="1349"/>
      <c r="AC266" s="1349"/>
      <c r="AD266" s="1349"/>
      <c r="AE266" s="1349"/>
      <c r="AF266" s="1349"/>
      <c r="AG266" s="1349"/>
      <c r="AH266" s="1944"/>
      <c r="AI266" s="1349"/>
      <c r="AJ266" s="1944"/>
      <c r="AK266" s="1355"/>
      <c r="AL266" s="1349"/>
      <c r="AM266" s="1349"/>
      <c r="AN266" s="1349"/>
      <c r="AO266" s="1349"/>
      <c r="AP266" s="1349"/>
      <c r="AQ266" s="1349"/>
      <c r="AR266" s="1349"/>
      <c r="AS266" s="1349"/>
      <c r="AT266" s="1349"/>
      <c r="AU266" s="1349"/>
      <c r="AV266" s="1349"/>
      <c r="AW266" s="1349"/>
      <c r="AX266" s="1349"/>
      <c r="AY266" s="1349"/>
      <c r="AZ266" s="1349"/>
      <c r="BA266" s="1349"/>
      <c r="BB266" s="1349"/>
      <c r="BC266" s="1349"/>
      <c r="BD266" s="1349"/>
      <c r="BE266" s="1349"/>
      <c r="BF266" s="1349"/>
      <c r="BG266" s="1349"/>
      <c r="BH266" s="1349"/>
      <c r="BI266" s="1349"/>
      <c r="BJ266" s="1349"/>
      <c r="BK266" s="1349"/>
      <c r="BL266" s="1349"/>
      <c r="BM266" s="1349"/>
    </row>
    <row r="267" spans="1:65" hidden="1" outlineLevel="1">
      <c r="A267" s="1341"/>
      <c r="B267" s="1350" t="s">
        <v>1054</v>
      </c>
      <c r="C267" s="1341" t="s">
        <v>520</v>
      </c>
      <c r="D267" s="1402" t="s">
        <v>449</v>
      </c>
      <c r="E267" s="1402" t="s">
        <v>449</v>
      </c>
      <c r="F267" s="1402" t="s">
        <v>449</v>
      </c>
      <c r="G267" s="1402" t="s">
        <v>449</v>
      </c>
      <c r="H267" s="1402" t="s">
        <v>449</v>
      </c>
      <c r="I267" s="1349">
        <f t="shared" ref="I267:P267" si="573">I265-I266</f>
        <v>56173</v>
      </c>
      <c r="J267" s="1349">
        <f t="shared" si="573"/>
        <v>60967</v>
      </c>
      <c r="K267" s="1349">
        <f t="shared" si="573"/>
        <v>58757</v>
      </c>
      <c r="L267" s="1349">
        <f t="shared" si="573"/>
        <v>65696</v>
      </c>
      <c r="M267" s="1349">
        <f t="shared" si="573"/>
        <v>60016</v>
      </c>
      <c r="N267" s="1349">
        <f t="shared" si="573"/>
        <v>54993</v>
      </c>
      <c r="O267" s="1349">
        <f t="shared" si="573"/>
        <v>51166</v>
      </c>
      <c r="P267" s="1349">
        <f t="shared" si="573"/>
        <v>51833</v>
      </c>
      <c r="Q267" s="1349">
        <f t="shared" ref="Q267:V267" si="574">Q268-Q269</f>
        <v>955.83316000000195</v>
      </c>
      <c r="R267" s="1349">
        <f t="shared" si="574"/>
        <v>1823.1768000000011</v>
      </c>
      <c r="S267" s="1349">
        <f t="shared" si="574"/>
        <v>1762.0023000000001</v>
      </c>
      <c r="T267" s="1349">
        <f t="shared" si="574"/>
        <v>1604.3029800000004</v>
      </c>
      <c r="U267" s="1349">
        <f t="shared" si="574"/>
        <v>1604.3029800000004</v>
      </c>
      <c r="V267" s="1349">
        <f t="shared" si="574"/>
        <v>1604.3029800000004</v>
      </c>
      <c r="W267" s="1349"/>
      <c r="X267" s="1349"/>
      <c r="Y267" s="1349"/>
      <c r="Z267" s="1349"/>
      <c r="AA267" s="1349"/>
      <c r="AB267" s="1349"/>
      <c r="AC267" s="1349"/>
      <c r="AD267" s="1349"/>
      <c r="AE267" s="1349"/>
      <c r="AF267" s="1349"/>
      <c r="AG267" s="1349"/>
      <c r="AH267" s="1944"/>
      <c r="AI267" s="1349"/>
      <c r="AJ267" s="1944"/>
      <c r="AK267" s="1355"/>
      <c r="AL267" s="1349"/>
      <c r="AM267" s="1349"/>
      <c r="AN267" s="1349"/>
      <c r="AO267" s="1349"/>
      <c r="AP267" s="1349"/>
      <c r="AQ267" s="1349"/>
      <c r="AR267" s="1349"/>
      <c r="AS267" s="1349"/>
      <c r="AT267" s="1349"/>
      <c r="AU267" s="1349"/>
      <c r="AV267" s="1349"/>
      <c r="AW267" s="1349"/>
      <c r="AX267" s="1349"/>
      <c r="AY267" s="1349"/>
      <c r="AZ267" s="1349"/>
      <c r="BA267" s="1349"/>
      <c r="BB267" s="1349"/>
      <c r="BC267" s="1349"/>
      <c r="BD267" s="1349"/>
      <c r="BE267" s="1349"/>
      <c r="BF267" s="1349"/>
      <c r="BG267" s="1349"/>
      <c r="BH267" s="1349"/>
      <c r="BI267" s="1349"/>
      <c r="BJ267" s="1349"/>
      <c r="BK267" s="1349"/>
      <c r="BL267" s="1349"/>
      <c r="BM267" s="1349"/>
    </row>
    <row r="268" spans="1:65" hidden="1" outlineLevel="1">
      <c r="A268" s="1341"/>
      <c r="B268" s="1350" t="s">
        <v>1168</v>
      </c>
      <c r="C268" s="1341" t="s">
        <v>513</v>
      </c>
      <c r="D268" s="1402" t="s">
        <v>449</v>
      </c>
      <c r="E268" s="1402" t="s">
        <v>449</v>
      </c>
      <c r="F268" s="1402" t="s">
        <v>449</v>
      </c>
      <c r="G268" s="1402" t="s">
        <v>449</v>
      </c>
      <c r="H268" s="1402" t="s">
        <v>449</v>
      </c>
      <c r="I268" s="1349">
        <v>28970</v>
      </c>
      <c r="J268" s="1349">
        <v>37642</v>
      </c>
      <c r="K268" s="1349">
        <v>38364</v>
      </c>
      <c r="L268" s="1349">
        <v>38913</v>
      </c>
      <c r="M268" s="1349">
        <v>51203</v>
      </c>
      <c r="N268" s="1349">
        <f>59989</f>
        <v>59989</v>
      </c>
      <c r="O268" s="1349">
        <v>50515</v>
      </c>
      <c r="P268" s="1349">
        <v>45620</v>
      </c>
      <c r="Q268" s="1349">
        <v>46603</v>
      </c>
      <c r="R268" s="1349">
        <v>55434</v>
      </c>
      <c r="S268" s="1349">
        <v>54847</v>
      </c>
      <c r="T268" s="1349">
        <v>51645</v>
      </c>
      <c r="U268" s="1349">
        <v>59906</v>
      </c>
      <c r="V268" s="1349">
        <v>59225</v>
      </c>
      <c r="W268" s="1349">
        <v>50195</v>
      </c>
      <c r="X268" s="1349">
        <v>57563</v>
      </c>
      <c r="Y268" s="1349">
        <f t="shared" ref="Y268:AP268" si="575">ROUND(X268+Y269-X269,-2)</f>
        <v>52100</v>
      </c>
      <c r="Z268" s="1349">
        <f t="shared" si="575"/>
        <v>53100</v>
      </c>
      <c r="AA268" s="1349">
        <f t="shared" si="575"/>
        <v>54100</v>
      </c>
      <c r="AB268" s="1349">
        <f t="shared" si="575"/>
        <v>55200</v>
      </c>
      <c r="AC268" s="1349">
        <f>ROUND(AB268+AC269-AB269,-2)</f>
        <v>56300</v>
      </c>
      <c r="AD268" s="1349">
        <f t="shared" si="575"/>
        <v>57400</v>
      </c>
      <c r="AE268" s="1349">
        <f t="shared" si="575"/>
        <v>58500</v>
      </c>
      <c r="AF268" s="1349">
        <f t="shared" si="575"/>
        <v>59600</v>
      </c>
      <c r="AG268" s="1349">
        <f t="shared" si="575"/>
        <v>60800</v>
      </c>
      <c r="AH268" s="1944">
        <f>ROUND(AG268+AH269-AG269,-2)</f>
        <v>62000</v>
      </c>
      <c r="AI268" s="1349">
        <f>ROUND(AG268+AI269-AG269,-2)</f>
        <v>62000</v>
      </c>
      <c r="AJ268" s="1944">
        <f>ROUND(AI268+AJ269-AI269,-2)</f>
        <v>63200</v>
      </c>
      <c r="AK268" s="1355">
        <f>ROUND(AI268+AK269-AI269,-2)</f>
        <v>63200</v>
      </c>
      <c r="AL268" s="1349">
        <f t="shared" si="575"/>
        <v>64400</v>
      </c>
      <c r="AM268" s="1349">
        <f t="shared" si="575"/>
        <v>65700</v>
      </c>
      <c r="AN268" s="1349">
        <f t="shared" si="575"/>
        <v>67000</v>
      </c>
      <c r="AO268" s="1349">
        <f t="shared" si="575"/>
        <v>68300</v>
      </c>
      <c r="AP268" s="1349">
        <f t="shared" si="575"/>
        <v>69600</v>
      </c>
      <c r="AQ268" s="1349"/>
      <c r="AR268" s="1349"/>
      <c r="AS268" s="1349"/>
      <c r="AT268" s="1349"/>
      <c r="AU268" s="1349"/>
      <c r="AV268" s="1349"/>
      <c r="AW268" s="1349"/>
      <c r="AX268" s="1349"/>
      <c r="AY268" s="1349"/>
      <c r="AZ268" s="1349"/>
      <c r="BA268" s="1349"/>
      <c r="BB268" s="1349"/>
      <c r="BC268" s="1349"/>
      <c r="BD268" s="1349"/>
      <c r="BE268" s="1349"/>
      <c r="BF268" s="1349"/>
      <c r="BG268" s="1349"/>
      <c r="BH268" s="1349"/>
      <c r="BI268" s="1349"/>
      <c r="BJ268" s="1349"/>
      <c r="BK268" s="1349"/>
      <c r="BL268" s="1349"/>
      <c r="BM268" s="1349"/>
    </row>
    <row r="269" spans="1:65" hidden="1" outlineLevel="1">
      <c r="A269" s="1341"/>
      <c r="B269" s="1350" t="s">
        <v>1169</v>
      </c>
      <c r="C269" s="1341" t="s">
        <v>524</v>
      </c>
      <c r="D269" s="1402" t="s">
        <v>449</v>
      </c>
      <c r="E269" s="1402" t="s">
        <v>449</v>
      </c>
      <c r="F269" s="1402" t="s">
        <v>449</v>
      </c>
      <c r="G269" s="1402" t="s">
        <v>449</v>
      </c>
      <c r="H269" s="1402" t="s">
        <v>449</v>
      </c>
      <c r="I269" s="1366" t="s">
        <v>518</v>
      </c>
      <c r="J269" s="1366" t="s">
        <v>518</v>
      </c>
      <c r="K269" s="1366" t="s">
        <v>518</v>
      </c>
      <c r="L269" s="1366" t="s">
        <v>518</v>
      </c>
      <c r="M269" s="1349">
        <v>43600</v>
      </c>
      <c r="N269" s="1349">
        <v>58630</v>
      </c>
      <c r="O269" s="367">
        <f>407*120</f>
        <v>48840</v>
      </c>
      <c r="P269" s="367">
        <f>420*105.69</f>
        <v>44389.799999999996</v>
      </c>
      <c r="Q269" s="367">
        <f>425.337*Q271</f>
        <v>45647.166839999998</v>
      </c>
      <c r="R269" s="367">
        <f>456.34*R271</f>
        <v>53610.823199999999</v>
      </c>
      <c r="S269" s="367">
        <f>449.53*S271</f>
        <v>53084.9977</v>
      </c>
      <c r="T269" s="367">
        <f>499.458*T271</f>
        <v>50040.69702</v>
      </c>
      <c r="U269" s="367">
        <f>U268-(T268-T269)</f>
        <v>58301.69702</v>
      </c>
      <c r="V269" s="367">
        <f>V268-(U268-U269)</f>
        <v>57620.69702</v>
      </c>
      <c r="W269" s="367">
        <f>W268-(V268-V269)</f>
        <v>48590.69702</v>
      </c>
      <c r="X269" s="367">
        <f>X268-(W268-W269)</f>
        <v>55958.69702</v>
      </c>
      <c r="Y269" s="1506">
        <f t="shared" ref="Y269:AD269" si="576">Y288/1000*Y271</f>
        <v>50501.949833664003</v>
      </c>
      <c r="Z269" s="1506">
        <f t="shared" si="576"/>
        <v>51511.988830337286</v>
      </c>
      <c r="AA269" s="1506">
        <f t="shared" si="576"/>
        <v>52542.228606944031</v>
      </c>
      <c r="AB269" s="1506">
        <f t="shared" si="576"/>
        <v>53593.073179082923</v>
      </c>
      <c r="AC269" s="1506">
        <f>AC288/1000*AC271</f>
        <v>54664.934642664579</v>
      </c>
      <c r="AD269" s="1506">
        <f t="shared" si="576"/>
        <v>55758.233335517871</v>
      </c>
      <c r="AE269" s="1506">
        <f t="shared" ref="AE269:AH269" si="577">AE288/1000*AE271</f>
        <v>56873.398002228234</v>
      </c>
      <c r="AF269" s="1506">
        <f t="shared" si="577"/>
        <v>58010.865962272794</v>
      </c>
      <c r="AG269" s="1506">
        <f t="shared" si="577"/>
        <v>59171.083281518251</v>
      </c>
      <c r="AH269" s="1948">
        <f t="shared" si="577"/>
        <v>60354.504947148605</v>
      </c>
      <c r="AI269" s="1506">
        <f t="shared" ref="AI269:AK269" si="578">AI288/1000*AI271</f>
        <v>60354.504947148605</v>
      </c>
      <c r="AJ269" s="1948">
        <f t="shared" ref="AJ269" si="579">AJ288/1000*AJ271</f>
        <v>61561.595046091577</v>
      </c>
      <c r="AK269" s="1507">
        <f t="shared" si="578"/>
        <v>61561.595046091577</v>
      </c>
      <c r="AL269" s="1506">
        <f t="shared" ref="AL269" si="580">AL288/1000*AL271</f>
        <v>62792.826947013418</v>
      </c>
      <c r="AM269" s="1506">
        <f t="shared" ref="AM269:AN269" si="581">AM288/1000*AM271</f>
        <v>64048.683485953676</v>
      </c>
      <c r="AN269" s="1506">
        <f t="shared" si="581"/>
        <v>65329.657155672758</v>
      </c>
      <c r="AO269" s="1506">
        <f t="shared" ref="AO269" si="582">AO288/1000*AO271</f>
        <v>66636.25029878621</v>
      </c>
      <c r="AP269" s="1506">
        <f t="shared" ref="AP269" si="583">AP288/1000*AP271</f>
        <v>67968.975304761931</v>
      </c>
      <c r="AQ269" s="367"/>
      <c r="AR269" s="367"/>
      <c r="AS269" s="367"/>
      <c r="AT269" s="367"/>
      <c r="AU269" s="367"/>
      <c r="AV269" s="367"/>
      <c r="AW269" s="367"/>
      <c r="AX269" s="367"/>
      <c r="AY269" s="367"/>
      <c r="AZ269" s="367"/>
      <c r="BA269" s="367"/>
      <c r="BB269" s="367"/>
      <c r="BC269" s="367"/>
      <c r="BD269" s="367"/>
      <c r="BE269" s="367"/>
      <c r="BF269" s="367"/>
      <c r="BG269" s="367"/>
      <c r="BH269" s="367"/>
      <c r="BI269" s="367"/>
      <c r="BJ269" s="367"/>
      <c r="BK269" s="367"/>
      <c r="BL269" s="367"/>
      <c r="BM269" s="367"/>
    </row>
    <row r="270" spans="1:65" hidden="1" outlineLevel="1">
      <c r="A270" s="1341"/>
      <c r="B270" s="1485" t="s">
        <v>1044</v>
      </c>
      <c r="C270" s="1484" t="s">
        <v>427</v>
      </c>
      <c r="D270" s="1508">
        <f>D12</f>
        <v>205080</v>
      </c>
      <c r="E270" s="1508">
        <f>E12</f>
        <v>208290</v>
      </c>
      <c r="F270" s="1508">
        <f>F12</f>
        <v>219899</v>
      </c>
      <c r="G270" s="1508">
        <f>G12</f>
        <v>244021</v>
      </c>
      <c r="H270" s="1508">
        <f>H12</f>
        <v>263300</v>
      </c>
      <c r="I270" s="1353">
        <v>305574</v>
      </c>
      <c r="J270" s="1353">
        <v>314257</v>
      </c>
      <c r="K270" s="1353">
        <v>302821</v>
      </c>
      <c r="L270" s="1353">
        <v>309822</v>
      </c>
      <c r="M270" s="1353">
        <v>319035</v>
      </c>
      <c r="N270" s="1353">
        <v>326334</v>
      </c>
      <c r="O270" s="1353">
        <v>319372</v>
      </c>
      <c r="P270" s="1353">
        <v>310292</v>
      </c>
      <c r="Q270" s="1353">
        <v>307561</v>
      </c>
      <c r="R270" s="1353">
        <v>325679</v>
      </c>
      <c r="S270" s="1353">
        <f>S268+S265</f>
        <v>321356</v>
      </c>
      <c r="T270" s="1353">
        <f>T268+T265+1</f>
        <v>314744</v>
      </c>
      <c r="U270" s="1353">
        <f>U268+U265+1</f>
        <v>322093</v>
      </c>
      <c r="V270" s="1353">
        <f>V268+V265</f>
        <v>315337</v>
      </c>
      <c r="W270" s="1353">
        <f>W268+W265</f>
        <v>305784</v>
      </c>
      <c r="X270" s="1353">
        <v>320988</v>
      </c>
      <c r="Y270" s="1353">
        <f t="shared" ref="Y270:AP270" si="584">Y181</f>
        <v>314349.51769166405</v>
      </c>
      <c r="Z270" s="1353">
        <f t="shared" si="584"/>
        <v>320109.2143887573</v>
      </c>
      <c r="AA270" s="1353">
        <f t="shared" si="584"/>
        <v>325933.4440832251</v>
      </c>
      <c r="AB270" s="1353">
        <f t="shared" si="584"/>
        <v>331823.39082564914</v>
      </c>
      <c r="AC270" s="1353">
        <f t="shared" si="584"/>
        <v>337780.26128152921</v>
      </c>
      <c r="AD270" s="1353">
        <f t="shared" si="584"/>
        <v>343805.28517292062</v>
      </c>
      <c r="AE270" s="1353">
        <f t="shared" si="584"/>
        <v>349899.71572879743</v>
      </c>
      <c r="AF270" s="1353">
        <f t="shared" si="584"/>
        <v>356064.83014431596</v>
      </c>
      <c r="AG270" s="1353">
        <f t="shared" si="584"/>
        <v>362301.93004915433</v>
      </c>
      <c r="AH270" s="1943">
        <f t="shared" si="584"/>
        <v>368612.34198510885</v>
      </c>
      <c r="AI270" s="1353">
        <f t="shared" si="584"/>
        <v>368612.34198510885</v>
      </c>
      <c r="AJ270" s="1943">
        <f t="shared" si="584"/>
        <v>374997.41789313231</v>
      </c>
      <c r="AK270" s="1354">
        <f t="shared" si="584"/>
        <v>374997.41789313231</v>
      </c>
      <c r="AL270" s="1353">
        <f t="shared" si="584"/>
        <v>381458.53560999944</v>
      </c>
      <c r="AM270" s="1353">
        <f t="shared" si="584"/>
        <v>387997.09937479394</v>
      </c>
      <c r="AN270" s="1353">
        <f t="shared" si="584"/>
        <v>394614.54034541023</v>
      </c>
      <c r="AO270" s="1353">
        <f t="shared" si="584"/>
        <v>401312.31712527014</v>
      </c>
      <c r="AP270" s="1353">
        <f t="shared" si="584"/>
        <v>408091.91630045668</v>
      </c>
      <c r="AQ270" s="1349"/>
      <c r="AR270" s="1349"/>
      <c r="AS270" s="1349"/>
      <c r="AT270" s="1349"/>
      <c r="AU270" s="1349"/>
      <c r="AV270" s="1349"/>
      <c r="AW270" s="1349"/>
      <c r="AX270" s="1349"/>
      <c r="AY270" s="1349"/>
      <c r="AZ270" s="1349"/>
      <c r="BA270" s="1349"/>
      <c r="BB270" s="1349"/>
      <c r="BC270" s="1349"/>
      <c r="BD270" s="1349"/>
      <c r="BE270" s="1349"/>
      <c r="BF270" s="1349"/>
      <c r="BG270" s="1349"/>
      <c r="BH270" s="1349"/>
      <c r="BI270" s="1349"/>
      <c r="BJ270" s="1349"/>
      <c r="BK270" s="1349"/>
      <c r="BL270" s="1349"/>
      <c r="BM270" s="1349"/>
    </row>
    <row r="271" spans="1:65" hidden="1" outlineLevel="1">
      <c r="A271" s="1341"/>
      <c r="B271" s="1509" t="s">
        <v>1170</v>
      </c>
      <c r="C271" s="1510" t="s">
        <v>523</v>
      </c>
      <c r="D271" s="1351"/>
      <c r="E271" s="1351"/>
      <c r="F271" s="1351"/>
      <c r="G271" s="1351"/>
      <c r="H271" s="1510"/>
      <c r="I271" s="1351"/>
      <c r="J271" s="1351"/>
      <c r="K271" s="1351"/>
      <c r="L271" s="1351"/>
      <c r="M271" s="1351"/>
      <c r="N271" s="1351"/>
      <c r="O271" s="1351"/>
      <c r="P271" s="1351"/>
      <c r="Q271" s="1511">
        <v>107.32</v>
      </c>
      <c r="R271" s="1511">
        <v>117.48</v>
      </c>
      <c r="S271" s="1511">
        <v>118.09</v>
      </c>
      <c r="T271" s="1511">
        <v>100.19</v>
      </c>
      <c r="U271" s="1511">
        <v>98.23</v>
      </c>
      <c r="V271" s="1511">
        <v>93.05</v>
      </c>
      <c r="W271" s="1512">
        <v>80</v>
      </c>
      <c r="X271" s="1512">
        <v>80</v>
      </c>
      <c r="Y271" s="1512">
        <v>80</v>
      </c>
      <c r="Z271" s="1512">
        <v>80</v>
      </c>
      <c r="AA271" s="1512">
        <v>80</v>
      </c>
      <c r="AB271" s="1512">
        <v>80</v>
      </c>
      <c r="AC271" s="1512">
        <v>80</v>
      </c>
      <c r="AD271" s="1512">
        <v>80</v>
      </c>
      <c r="AE271" s="1512">
        <v>80</v>
      </c>
      <c r="AF271" s="1512">
        <v>80</v>
      </c>
      <c r="AG271" s="1512">
        <v>80</v>
      </c>
      <c r="AH271" s="1965">
        <v>80</v>
      </c>
      <c r="AI271" s="1512">
        <v>80</v>
      </c>
      <c r="AJ271" s="1965">
        <v>80</v>
      </c>
      <c r="AK271" s="1513">
        <v>80</v>
      </c>
      <c r="AL271" s="1512">
        <v>80</v>
      </c>
      <c r="AM271" s="1512">
        <v>80</v>
      </c>
      <c r="AN271" s="1512">
        <v>80</v>
      </c>
      <c r="AO271" s="1512">
        <v>80</v>
      </c>
      <c r="AP271" s="1512">
        <v>80</v>
      </c>
      <c r="AQ271" s="1349"/>
      <c r="AR271" s="1349"/>
      <c r="AS271" s="1349"/>
      <c r="AT271" s="1349"/>
      <c r="AU271" s="1349"/>
      <c r="AV271" s="1349"/>
      <c r="AW271" s="1349"/>
      <c r="AX271" s="1349"/>
      <c r="AY271" s="1349"/>
      <c r="AZ271" s="1349"/>
      <c r="BA271" s="1349"/>
      <c r="BB271" s="1349"/>
      <c r="BC271" s="1349"/>
      <c r="BD271" s="1349"/>
      <c r="BE271" s="1349"/>
      <c r="BF271" s="1349"/>
      <c r="BG271" s="1349"/>
      <c r="BH271" s="1349"/>
      <c r="BI271" s="1349"/>
      <c r="BJ271" s="1349"/>
      <c r="BK271" s="1349"/>
      <c r="BL271" s="1349"/>
      <c r="BM271" s="1349"/>
    </row>
    <row r="272" spans="1:65" hidden="1" outlineLevel="1">
      <c r="A272" s="1341"/>
      <c r="B272" s="1350" t="s">
        <v>1166</v>
      </c>
      <c r="C272" s="1341" t="s">
        <v>522</v>
      </c>
      <c r="D272" s="1349"/>
      <c r="E272" s="1349"/>
      <c r="F272" s="1349"/>
      <c r="G272" s="1349"/>
      <c r="H272" s="1341"/>
      <c r="I272" s="1349"/>
      <c r="J272" s="1349"/>
      <c r="K272" s="1349"/>
      <c r="L272" s="1349"/>
      <c r="M272" s="1349"/>
      <c r="N272" s="1349"/>
      <c r="O272" s="1349"/>
      <c r="P272" s="1349"/>
      <c r="Q272" s="1349"/>
      <c r="R272" s="1349"/>
      <c r="S272" s="1349"/>
      <c r="T272" s="1349"/>
      <c r="U272" s="1349"/>
      <c r="V272" s="1349"/>
      <c r="W272" s="288"/>
      <c r="X272" s="1349"/>
      <c r="Y272" s="1349"/>
      <c r="Z272" s="1349"/>
      <c r="AA272" s="1349"/>
      <c r="AB272" s="1349"/>
      <c r="AC272" s="1349"/>
      <c r="AD272" s="1349"/>
      <c r="AE272" s="1349"/>
      <c r="AF272" s="1349"/>
      <c r="AG272" s="1349"/>
      <c r="AH272" s="1944"/>
      <c r="AI272" s="1349"/>
      <c r="AJ272" s="1944"/>
      <c r="AK272" s="1355"/>
      <c r="AL272" s="1349"/>
      <c r="AM272" s="1349"/>
      <c r="AN272" s="1349"/>
      <c r="AO272" s="1349"/>
      <c r="AP272" s="1349"/>
      <c r="AQ272" s="1349"/>
      <c r="AR272" s="1349"/>
      <c r="AS272" s="1349"/>
      <c r="AT272" s="1349"/>
      <c r="AU272" s="1349"/>
      <c r="AV272" s="1349"/>
      <c r="AW272" s="1349"/>
      <c r="AX272" s="1349"/>
      <c r="AY272" s="1349"/>
      <c r="AZ272" s="1349"/>
      <c r="BA272" s="1349"/>
      <c r="BB272" s="1349"/>
      <c r="BC272" s="1349"/>
      <c r="BD272" s="1349"/>
      <c r="BE272" s="1349"/>
      <c r="BF272" s="1349"/>
      <c r="BG272" s="1349"/>
      <c r="BH272" s="1349"/>
      <c r="BI272" s="1349"/>
      <c r="BJ272" s="1349"/>
      <c r="BK272" s="1349"/>
      <c r="BL272" s="1349"/>
      <c r="BM272" s="1349"/>
    </row>
    <row r="273" spans="1:65" hidden="1" outlineLevel="1">
      <c r="A273" s="1341"/>
      <c r="B273" s="1500" t="s">
        <v>1171</v>
      </c>
      <c r="C273" s="1395" t="s">
        <v>515</v>
      </c>
      <c r="D273" s="1505" t="s">
        <v>449</v>
      </c>
      <c r="E273" s="1505" t="s">
        <v>449</v>
      </c>
      <c r="F273" s="1505" t="s">
        <v>449</v>
      </c>
      <c r="G273" s="1505" t="s">
        <v>449</v>
      </c>
      <c r="H273" s="1505" t="s">
        <v>449</v>
      </c>
      <c r="I273" s="1501">
        <v>14201</v>
      </c>
      <c r="J273" s="1501">
        <v>12003</v>
      </c>
      <c r="K273" s="1501">
        <v>13365</v>
      </c>
      <c r="L273" s="1501">
        <v>10491</v>
      </c>
      <c r="M273" s="1501">
        <v>10484</v>
      </c>
      <c r="N273" s="1501">
        <v>9445</v>
      </c>
      <c r="O273" s="1501">
        <v>12454</v>
      </c>
      <c r="P273" s="1501">
        <v>13519</v>
      </c>
      <c r="Q273" s="1501">
        <v>14294</v>
      </c>
      <c r="R273" s="1501">
        <v>13767</v>
      </c>
      <c r="S273" s="1501">
        <v>14274</v>
      </c>
      <c r="T273" s="1501">
        <v>15132</v>
      </c>
      <c r="U273" s="1501">
        <v>18142</v>
      </c>
      <c r="V273" s="1501">
        <v>18651</v>
      </c>
      <c r="W273" s="1501"/>
      <c r="X273" s="1501"/>
      <c r="Y273" s="1501">
        <f t="shared" ref="Y273:AD273" si="585">Y279-Y276</f>
        <v>20999.141881984</v>
      </c>
      <c r="Z273" s="1501">
        <f t="shared" si="585"/>
        <v>21798.664719623681</v>
      </c>
      <c r="AA273" s="1501">
        <f t="shared" si="585"/>
        <v>16166.738014016151</v>
      </c>
      <c r="AB273" s="1501">
        <f t="shared" si="585"/>
        <v>18779.292774296475</v>
      </c>
      <c r="AC273" s="1502">
        <f t="shared" si="585"/>
        <v>20090.258629782402</v>
      </c>
      <c r="AD273" s="1502">
        <f t="shared" si="585"/>
        <v>17625.563802378048</v>
      </c>
      <c r="AE273" s="1502">
        <f t="shared" ref="AE273:AH273" si="586">AE279-AE276</f>
        <v>14288.13507842561</v>
      </c>
      <c r="AF273" s="1502">
        <f t="shared" si="586"/>
        <v>18793.897779994124</v>
      </c>
      <c r="AG273" s="1502">
        <f t="shared" si="586"/>
        <v>26995.775735594005</v>
      </c>
      <c r="AH273" s="1941">
        <f t="shared" si="586"/>
        <v>25593.691250305888</v>
      </c>
      <c r="AI273" s="1502">
        <f t="shared" ref="AI273:AK273" si="587">AI279-AI276</f>
        <v>19427.691250305888</v>
      </c>
      <c r="AJ273" s="1941">
        <f t="shared" ref="AJ273" si="588">AJ279-AJ276</f>
        <v>11748.565075312004</v>
      </c>
      <c r="AK273" s="1503">
        <f t="shared" si="587"/>
        <v>29816.565075312006</v>
      </c>
      <c r="AL273" s="1502">
        <f t="shared" ref="AL273" si="589">AL279-AL276</f>
        <v>48777.316376818242</v>
      </c>
      <c r="AM273" s="1502">
        <f t="shared" ref="AM273:AN273" si="590">AM279-AM276</f>
        <v>53062.862704354615</v>
      </c>
      <c r="AN273" s="1502">
        <f t="shared" si="590"/>
        <v>54944.119958441705</v>
      </c>
      <c r="AO273" s="1502">
        <f t="shared" ref="AO273" si="591">AO279-AO276</f>
        <v>56621.002357610538</v>
      </c>
      <c r="AP273" s="1502">
        <f t="shared" ref="AP273" si="592">AP279-AP276</f>
        <v>58593.42240476275</v>
      </c>
      <c r="AQ273" s="1349"/>
      <c r="AR273" s="1349"/>
      <c r="AS273" s="1349"/>
      <c r="AT273" s="1349"/>
      <c r="AU273" s="1349"/>
      <c r="AV273" s="1349"/>
      <c r="AW273" s="1349"/>
      <c r="AX273" s="1349"/>
      <c r="AY273" s="1349"/>
      <c r="AZ273" s="1349"/>
      <c r="BA273" s="1349"/>
      <c r="BB273" s="1349"/>
      <c r="BC273" s="1349"/>
      <c r="BD273" s="1349"/>
      <c r="BE273" s="1349"/>
      <c r="BF273" s="1349"/>
      <c r="BG273" s="1349"/>
      <c r="BH273" s="1349"/>
      <c r="BI273" s="1349"/>
      <c r="BJ273" s="1349"/>
      <c r="BK273" s="1349"/>
      <c r="BL273" s="1349"/>
      <c r="BM273" s="1349"/>
    </row>
    <row r="274" spans="1:65" hidden="1" outlineLevel="1">
      <c r="A274" s="1341"/>
      <c r="B274" s="1350" t="s">
        <v>1053</v>
      </c>
      <c r="C274" s="1341" t="s">
        <v>521</v>
      </c>
      <c r="D274" s="1366">
        <f t="shared" ref="D274:N274" si="593">D327</f>
        <v>7291</v>
      </c>
      <c r="E274" s="1366">
        <f t="shared" si="593"/>
        <v>5815</v>
      </c>
      <c r="F274" s="1366">
        <f t="shared" si="593"/>
        <v>6308</v>
      </c>
      <c r="G274" s="1366">
        <f t="shared" si="593"/>
        <v>6392</v>
      </c>
      <c r="H274" s="1366">
        <f t="shared" si="593"/>
        <v>5425</v>
      </c>
      <c r="I274" s="1349">
        <f t="shared" si="593"/>
        <v>6886</v>
      </c>
      <c r="J274" s="1349">
        <f t="shared" si="593"/>
        <v>5198</v>
      </c>
      <c r="K274" s="1349">
        <f t="shared" si="593"/>
        <v>7775</v>
      </c>
      <c r="L274" s="1349">
        <f t="shared" si="593"/>
        <v>8009</v>
      </c>
      <c r="M274" s="1349">
        <f t="shared" si="593"/>
        <v>6816</v>
      </c>
      <c r="N274" s="1349">
        <f t="shared" si="593"/>
        <v>5782</v>
      </c>
      <c r="O274" s="1349">
        <v>7812</v>
      </c>
      <c r="P274" s="1349">
        <f>P327</f>
        <v>7244</v>
      </c>
      <c r="Q274" s="1349">
        <f>Q327</f>
        <v>7989</v>
      </c>
      <c r="R274" s="1349">
        <f>R327</f>
        <v>8092</v>
      </c>
      <c r="S274" s="1349">
        <f>S327</f>
        <v>8742</v>
      </c>
      <c r="T274" s="1349">
        <v>9511</v>
      </c>
      <c r="U274" s="1349">
        <v>14225</v>
      </c>
      <c r="V274" s="1349">
        <f>V327</f>
        <v>12997</v>
      </c>
      <c r="W274" s="1349"/>
      <c r="X274" s="1349"/>
      <c r="Y274" s="1349"/>
      <c r="Z274" s="1349"/>
      <c r="AA274" s="1349"/>
      <c r="AB274" s="1349"/>
      <c r="AC274" s="1349"/>
      <c r="AD274" s="1349"/>
      <c r="AE274" s="1349"/>
      <c r="AF274" s="1349"/>
      <c r="AG274" s="1349"/>
      <c r="AH274" s="1944"/>
      <c r="AI274" s="1349"/>
      <c r="AJ274" s="1944"/>
      <c r="AK274" s="1355"/>
      <c r="AL274" s="1349"/>
      <c r="AM274" s="1349"/>
      <c r="AN274" s="1349"/>
      <c r="AO274" s="1349"/>
      <c r="AP274" s="1349"/>
      <c r="AQ274" s="1349"/>
      <c r="AR274" s="1349"/>
      <c r="AS274" s="1349"/>
      <c r="AT274" s="1349"/>
      <c r="AU274" s="1349"/>
      <c r="AV274" s="1349"/>
      <c r="AW274" s="1349"/>
      <c r="AX274" s="1349"/>
      <c r="AY274" s="1349"/>
      <c r="AZ274" s="1349"/>
      <c r="BA274" s="1349"/>
      <c r="BB274" s="1349"/>
      <c r="BC274" s="1349"/>
      <c r="BD274" s="1349"/>
      <c r="BE274" s="1349"/>
      <c r="BF274" s="1349"/>
      <c r="BG274" s="1349"/>
      <c r="BH274" s="1349"/>
      <c r="BI274" s="1349"/>
      <c r="BJ274" s="1349"/>
      <c r="BK274" s="1349"/>
      <c r="BL274" s="1349"/>
      <c r="BM274" s="1349"/>
    </row>
    <row r="275" spans="1:65" hidden="1" outlineLevel="1">
      <c r="A275" s="1341"/>
      <c r="B275" s="1350" t="s">
        <v>1054</v>
      </c>
      <c r="C275" s="1341" t="s">
        <v>520</v>
      </c>
      <c r="D275" s="1402" t="s">
        <v>449</v>
      </c>
      <c r="E275" s="1402" t="s">
        <v>449</v>
      </c>
      <c r="F275" s="1402" t="s">
        <v>449</v>
      </c>
      <c r="G275" s="1402" t="s">
        <v>449</v>
      </c>
      <c r="H275" s="1402" t="s">
        <v>449</v>
      </c>
      <c r="I275" s="1349">
        <f t="shared" ref="I275:V275" si="594">I273-I274</f>
        <v>7315</v>
      </c>
      <c r="J275" s="1349">
        <f t="shared" si="594"/>
        <v>6805</v>
      </c>
      <c r="K275" s="1349">
        <f t="shared" si="594"/>
        <v>5590</v>
      </c>
      <c r="L275" s="1349">
        <f t="shared" si="594"/>
        <v>2482</v>
      </c>
      <c r="M275" s="1349">
        <f t="shared" si="594"/>
        <v>3668</v>
      </c>
      <c r="N275" s="1349">
        <f t="shared" si="594"/>
        <v>3663</v>
      </c>
      <c r="O275" s="1349">
        <f t="shared" si="594"/>
        <v>4642</v>
      </c>
      <c r="P275" s="1349">
        <f t="shared" si="594"/>
        <v>6275</v>
      </c>
      <c r="Q275" s="1349">
        <f t="shared" si="594"/>
        <v>6305</v>
      </c>
      <c r="R275" s="1349">
        <f t="shared" si="594"/>
        <v>5675</v>
      </c>
      <c r="S275" s="1349">
        <f t="shared" si="594"/>
        <v>5532</v>
      </c>
      <c r="T275" s="1349">
        <f t="shared" si="594"/>
        <v>5621</v>
      </c>
      <c r="U275" s="1349">
        <f t="shared" si="594"/>
        <v>3917</v>
      </c>
      <c r="V275" s="1349">
        <f t="shared" si="594"/>
        <v>5654</v>
      </c>
      <c r="W275" s="1349"/>
      <c r="X275" s="1349"/>
      <c r="Y275" s="1349"/>
      <c r="Z275" s="1349"/>
      <c r="AA275" s="1349"/>
      <c r="AB275" s="1349"/>
      <c r="AC275" s="1349"/>
      <c r="AD275" s="1349"/>
      <c r="AE275" s="1349"/>
      <c r="AF275" s="1349"/>
      <c r="AG275" s="1349"/>
      <c r="AH275" s="1944"/>
      <c r="AI275" s="1349"/>
      <c r="AJ275" s="1944"/>
      <c r="AK275" s="1355"/>
      <c r="AL275" s="1349"/>
      <c r="AM275" s="1349"/>
      <c r="AN275" s="1349"/>
      <c r="AO275" s="1349"/>
      <c r="AP275" s="1349"/>
      <c r="AQ275" s="1349"/>
      <c r="AR275" s="1349"/>
      <c r="AS275" s="1349"/>
      <c r="AT275" s="1349"/>
      <c r="AU275" s="1349"/>
      <c r="AV275" s="1349"/>
      <c r="AW275" s="1349"/>
      <c r="AX275" s="1349"/>
      <c r="AY275" s="1349"/>
      <c r="AZ275" s="1349"/>
      <c r="BA275" s="1349"/>
      <c r="BB275" s="1349"/>
      <c r="BC275" s="1349"/>
      <c r="BD275" s="1349"/>
      <c r="BE275" s="1349"/>
      <c r="BF275" s="1349"/>
      <c r="BG275" s="1349"/>
      <c r="BH275" s="1349"/>
      <c r="BI275" s="1349"/>
      <c r="BJ275" s="1349"/>
      <c r="BK275" s="1349"/>
      <c r="BL275" s="1349"/>
      <c r="BM275" s="1349"/>
    </row>
    <row r="276" spans="1:65" hidden="1" outlineLevel="1">
      <c r="A276" s="1341"/>
      <c r="B276" s="1350" t="s">
        <v>1168</v>
      </c>
      <c r="C276" s="1341" t="s">
        <v>513</v>
      </c>
      <c r="D276" s="1402" t="s">
        <v>449</v>
      </c>
      <c r="E276" s="1402" t="s">
        <v>449</v>
      </c>
      <c r="F276" s="1402" t="s">
        <v>449</v>
      </c>
      <c r="G276" s="1402" t="s">
        <v>449</v>
      </c>
      <c r="H276" s="1402" t="s">
        <v>449</v>
      </c>
      <c r="I276" s="1349">
        <v>1886</v>
      </c>
      <c r="J276" s="1349">
        <v>3107</v>
      </c>
      <c r="K276" s="1349">
        <v>3894</v>
      </c>
      <c r="L276" s="1349">
        <v>5508</v>
      </c>
      <c r="M276" s="1349">
        <v>5793</v>
      </c>
      <c r="N276" s="1349">
        <v>7042</v>
      </c>
      <c r="O276" s="1349">
        <v>6936</v>
      </c>
      <c r="P276" s="1349">
        <v>5101</v>
      </c>
      <c r="Q276" s="1349">
        <v>5937</v>
      </c>
      <c r="R276" s="1349">
        <v>6178</v>
      </c>
      <c r="S276" s="1349">
        <v>5282</v>
      </c>
      <c r="T276" s="1349">
        <v>5086</v>
      </c>
      <c r="U276" s="1349">
        <v>6850</v>
      </c>
      <c r="V276" s="1349">
        <v>12445</v>
      </c>
      <c r="W276" s="1349"/>
      <c r="X276" s="1349"/>
      <c r="Y276" s="1349">
        <f t="shared" ref="Y276:AP276" si="595">X276-X277+Y277</f>
        <v>8623.8581180159999</v>
      </c>
      <c r="Z276" s="1349">
        <f t="shared" si="595"/>
        <v>8796.3352803763191</v>
      </c>
      <c r="AA276" s="1349">
        <f t="shared" si="595"/>
        <v>8972.2619859838487</v>
      </c>
      <c r="AB276" s="1349">
        <f t="shared" si="595"/>
        <v>9151.707225703527</v>
      </c>
      <c r="AC276" s="1349">
        <f t="shared" si="595"/>
        <v>9334.7413702175963</v>
      </c>
      <c r="AD276" s="1349">
        <f t="shared" si="595"/>
        <v>9521.4361976219498</v>
      </c>
      <c r="AE276" s="1349">
        <f t="shared" si="595"/>
        <v>9711.8649215743899</v>
      </c>
      <c r="AF276" s="1349">
        <f t="shared" si="595"/>
        <v>9906.102220005876</v>
      </c>
      <c r="AG276" s="1349">
        <f t="shared" si="595"/>
        <v>10104.224264405993</v>
      </c>
      <c r="AH276" s="1944">
        <f>AG276-AG277+AH277</f>
        <v>10306.308749694112</v>
      </c>
      <c r="AI276" s="1349">
        <f>AG276-AG277+AI277</f>
        <v>10306.308749694112</v>
      </c>
      <c r="AJ276" s="1944">
        <f>AI276-AI277+AJ277</f>
        <v>10512.434924687996</v>
      </c>
      <c r="AK276" s="1355">
        <f>AI276-AI277+AK277</f>
        <v>10512.434924687996</v>
      </c>
      <c r="AL276" s="1349">
        <f t="shared" si="595"/>
        <v>10722.683623181754</v>
      </c>
      <c r="AM276" s="1349">
        <f t="shared" si="595"/>
        <v>10937.137295645387</v>
      </c>
      <c r="AN276" s="1349">
        <f t="shared" si="595"/>
        <v>11155.880041558299</v>
      </c>
      <c r="AO276" s="1349">
        <f t="shared" si="595"/>
        <v>11378.997642389462</v>
      </c>
      <c r="AP276" s="1349">
        <f t="shared" si="595"/>
        <v>11606.577595237251</v>
      </c>
      <c r="AQ276" s="1349"/>
      <c r="AR276" s="1349"/>
      <c r="AS276" s="1349"/>
      <c r="AT276" s="1349"/>
      <c r="AU276" s="1349"/>
      <c r="AV276" s="1349"/>
      <c r="AW276" s="1349"/>
      <c r="AX276" s="1349"/>
      <c r="AY276" s="1349"/>
      <c r="AZ276" s="1349"/>
      <c r="BA276" s="1349"/>
      <c r="BB276" s="1349"/>
      <c r="BC276" s="1349"/>
      <c r="BD276" s="1349"/>
      <c r="BE276" s="1349"/>
      <c r="BF276" s="1349"/>
      <c r="BG276" s="1349"/>
      <c r="BH276" s="1349"/>
      <c r="BI276" s="1349"/>
      <c r="BJ276" s="1349"/>
      <c r="BK276" s="1349"/>
      <c r="BL276" s="1349"/>
      <c r="BM276" s="1349"/>
    </row>
    <row r="277" spans="1:65" hidden="1" outlineLevel="1">
      <c r="A277" s="1341"/>
      <c r="B277" s="1350" t="s">
        <v>1169</v>
      </c>
      <c r="C277" s="1341" t="s">
        <v>519</v>
      </c>
      <c r="D277" s="1402" t="s">
        <v>449</v>
      </c>
      <c r="E277" s="1402" t="s">
        <v>449</v>
      </c>
      <c r="F277" s="1402" t="s">
        <v>449</v>
      </c>
      <c r="G277" s="1402" t="s">
        <v>449</v>
      </c>
      <c r="H277" s="1402" t="s">
        <v>449</v>
      </c>
      <c r="I277" s="1366" t="s">
        <v>518</v>
      </c>
      <c r="J277" s="1366" t="s">
        <v>518</v>
      </c>
      <c r="K277" s="1366" t="s">
        <v>518</v>
      </c>
      <c r="L277" s="1366" t="s">
        <v>518</v>
      </c>
      <c r="M277" s="1349">
        <f>108*43.5</f>
        <v>4698</v>
      </c>
      <c r="N277" s="1349">
        <v>6400</v>
      </c>
      <c r="O277" s="1349">
        <f>51*120</f>
        <v>6120</v>
      </c>
      <c r="P277" s="1349">
        <f>45*105.69</f>
        <v>4756.05</v>
      </c>
      <c r="Q277" s="1349">
        <f>48.702*Q271</f>
        <v>5226.6986399999996</v>
      </c>
      <c r="R277" s="1349">
        <f>45.788*R271</f>
        <v>5379.1742399999994</v>
      </c>
      <c r="S277" s="367">
        <f>S294/1000*S271</f>
        <v>4787.8409599999995</v>
      </c>
      <c r="T277" s="367">
        <f>T294/1000*T271</f>
        <v>4019.9233699999995</v>
      </c>
      <c r="U277" s="367">
        <f>U294/1000*U271</f>
        <v>6167.6652400000003</v>
      </c>
      <c r="V277" s="367">
        <f>V294/1000*V271</f>
        <v>12116.13355</v>
      </c>
      <c r="W277" s="367"/>
      <c r="X277" s="367"/>
      <c r="Y277" s="367">
        <f t="shared" ref="Y277:AD277" si="596">Y294/1000*Y271</f>
        <v>8623.8581180159999</v>
      </c>
      <c r="Z277" s="367">
        <f t="shared" si="596"/>
        <v>8796.3352803763191</v>
      </c>
      <c r="AA277" s="367">
        <f t="shared" si="596"/>
        <v>8972.2619859838487</v>
      </c>
      <c r="AB277" s="367">
        <f t="shared" si="596"/>
        <v>9151.707225703527</v>
      </c>
      <c r="AC277" s="367">
        <f t="shared" si="596"/>
        <v>9334.7413702175963</v>
      </c>
      <c r="AD277" s="367">
        <f t="shared" si="596"/>
        <v>9521.4361976219498</v>
      </c>
      <c r="AE277" s="367">
        <f t="shared" ref="AE277:AH277" si="597">AE294/1000*AE271</f>
        <v>9711.8649215743899</v>
      </c>
      <c r="AF277" s="367">
        <f t="shared" si="597"/>
        <v>9906.102220005876</v>
      </c>
      <c r="AG277" s="367">
        <f t="shared" si="597"/>
        <v>10104.224264405993</v>
      </c>
      <c r="AH277" s="1961">
        <f t="shared" si="597"/>
        <v>10306.308749694112</v>
      </c>
      <c r="AI277" s="367">
        <f t="shared" ref="AI277:AK277" si="598">AI294/1000*AI271</f>
        <v>10306.308749694112</v>
      </c>
      <c r="AJ277" s="1961">
        <f t="shared" ref="AJ277" si="599">AJ294/1000*AJ271</f>
        <v>10512.434924687996</v>
      </c>
      <c r="AK277" s="1442">
        <f t="shared" si="598"/>
        <v>10512.434924687996</v>
      </c>
      <c r="AL277" s="367">
        <f t="shared" ref="AL277" si="600">AL294/1000*AL271</f>
        <v>10722.683623181754</v>
      </c>
      <c r="AM277" s="367">
        <f t="shared" ref="AM277:AN277" si="601">AM294/1000*AM271</f>
        <v>10937.137295645387</v>
      </c>
      <c r="AN277" s="367">
        <f t="shared" si="601"/>
        <v>11155.880041558299</v>
      </c>
      <c r="AO277" s="367">
        <f t="shared" ref="AO277" si="602">AO294/1000*AO271</f>
        <v>11378.997642389462</v>
      </c>
      <c r="AP277" s="367">
        <f t="shared" ref="AP277" si="603">AP294/1000*AP271</f>
        <v>11606.577595237251</v>
      </c>
      <c r="AQ277" s="1349"/>
      <c r="AR277" s="1349"/>
      <c r="AS277" s="1349"/>
      <c r="AT277" s="1349"/>
      <c r="AU277" s="1349"/>
      <c r="AV277" s="1349"/>
      <c r="AW277" s="1349"/>
      <c r="AX277" s="1349"/>
      <c r="AY277" s="1349"/>
      <c r="AZ277" s="1349"/>
      <c r="BA277" s="1349"/>
      <c r="BB277" s="1349"/>
      <c r="BC277" s="1349"/>
      <c r="BD277" s="1349"/>
      <c r="BE277" s="1349"/>
      <c r="BF277" s="1349"/>
      <c r="BG277" s="1349"/>
      <c r="BH277" s="1349"/>
      <c r="BI277" s="1349"/>
      <c r="BJ277" s="1349"/>
      <c r="BK277" s="1349"/>
      <c r="BL277" s="1349"/>
      <c r="BM277" s="1349"/>
    </row>
    <row r="278" spans="1:65" hidden="1" outlineLevel="1">
      <c r="A278" s="1341"/>
      <c r="B278" s="1350" t="s">
        <v>1165</v>
      </c>
      <c r="C278" s="1341" t="s">
        <v>517</v>
      </c>
      <c r="D278" s="1402" t="s">
        <v>449</v>
      </c>
      <c r="E278" s="1402" t="s">
        <v>449</v>
      </c>
      <c r="F278" s="1402" t="s">
        <v>449</v>
      </c>
      <c r="G278" s="1402" t="s">
        <v>449</v>
      </c>
      <c r="H278" s="1402" t="s">
        <v>449</v>
      </c>
      <c r="I278" s="1349">
        <v>-6388</v>
      </c>
      <c r="J278" s="1349">
        <v>-6345</v>
      </c>
      <c r="K278" s="1349">
        <v>-5119</v>
      </c>
      <c r="L278" s="1349">
        <v>-7</v>
      </c>
      <c r="M278" s="1349">
        <v>19</v>
      </c>
      <c r="N278" s="1349">
        <v>9</v>
      </c>
      <c r="O278" s="1349">
        <v>4</v>
      </c>
      <c r="P278" s="1349">
        <v>24</v>
      </c>
      <c r="Q278" s="1349">
        <v>12</v>
      </c>
      <c r="R278" s="1349">
        <v>-9</v>
      </c>
      <c r="S278" s="1349">
        <v>13</v>
      </c>
      <c r="T278" s="1349">
        <v>3</v>
      </c>
      <c r="U278" s="1349">
        <v>-15</v>
      </c>
      <c r="V278" s="1349">
        <v>24</v>
      </c>
      <c r="W278" s="1349"/>
      <c r="X278" s="1349"/>
      <c r="Y278" s="1349"/>
      <c r="Z278" s="1349"/>
      <c r="AA278" s="1349"/>
      <c r="AB278" s="1349"/>
      <c r="AC278" s="1349"/>
      <c r="AD278" s="1349"/>
      <c r="AE278" s="1349"/>
      <c r="AF278" s="1349"/>
      <c r="AG278" s="1349"/>
      <c r="AH278" s="1944"/>
      <c r="AI278" s="1349"/>
      <c r="AJ278" s="1944"/>
      <c r="AK278" s="1355"/>
      <c r="AL278" s="1349"/>
      <c r="AM278" s="1349"/>
      <c r="AN278" s="1349"/>
      <c r="AO278" s="1349"/>
      <c r="AP278" s="1349"/>
      <c r="AQ278" s="1349"/>
      <c r="AR278" s="1349"/>
      <c r="AS278" s="1349"/>
      <c r="AT278" s="1349"/>
      <c r="AU278" s="1349"/>
      <c r="AV278" s="1349"/>
      <c r="AW278" s="1349"/>
      <c r="AX278" s="1349"/>
      <c r="AY278" s="1349"/>
      <c r="AZ278" s="1349"/>
      <c r="BA278" s="1349"/>
      <c r="BB278" s="1349"/>
      <c r="BC278" s="1349"/>
      <c r="BD278" s="1349"/>
      <c r="BE278" s="1349"/>
      <c r="BF278" s="1349"/>
      <c r="BG278" s="1349"/>
      <c r="BH278" s="1349"/>
      <c r="BI278" s="1349"/>
      <c r="BJ278" s="1349"/>
      <c r="BK278" s="1349"/>
      <c r="BL278" s="1349"/>
      <c r="BM278" s="1349"/>
    </row>
    <row r="279" spans="1:65" hidden="1" outlineLevel="1">
      <c r="A279" s="1341"/>
      <c r="B279" s="1485" t="s">
        <v>1044</v>
      </c>
      <c r="C279" s="1484" t="s">
        <v>427</v>
      </c>
      <c r="D279" s="1484">
        <f>D23</f>
        <v>10716</v>
      </c>
      <c r="E279" s="1484">
        <f>E23</f>
        <v>8230</v>
      </c>
      <c r="F279" s="1484">
        <f>F23</f>
        <v>9366</v>
      </c>
      <c r="G279" s="1484">
        <f>G23</f>
        <v>9996</v>
      </c>
      <c r="H279" s="1484">
        <f>H23</f>
        <v>6486</v>
      </c>
      <c r="I279" s="1353">
        <v>9699</v>
      </c>
      <c r="J279" s="1353">
        <v>8765</v>
      </c>
      <c r="K279" s="1353">
        <v>12141</v>
      </c>
      <c r="L279" s="1353">
        <v>15991</v>
      </c>
      <c r="M279" s="1353">
        <v>16296</v>
      </c>
      <c r="N279" s="1353">
        <v>16498</v>
      </c>
      <c r="O279" s="1353">
        <v>19395</v>
      </c>
      <c r="P279" s="1353">
        <v>18645</v>
      </c>
      <c r="Q279" s="1353">
        <v>20245</v>
      </c>
      <c r="R279" s="1353">
        <v>19935</v>
      </c>
      <c r="S279" s="1353">
        <f>S273+S276+S278+1</f>
        <v>19570</v>
      </c>
      <c r="T279" s="1353">
        <f>T273+T276+T278+1</f>
        <v>20222</v>
      </c>
      <c r="U279" s="1353">
        <f>U273+U276+U278+1</f>
        <v>24978</v>
      </c>
      <c r="V279" s="1353">
        <f>V273+V276+V278+1</f>
        <v>31121</v>
      </c>
      <c r="W279" s="1353"/>
      <c r="X279" s="1353"/>
      <c r="Y279" s="1353">
        <f t="shared" ref="Y279:AP279" si="604">Y23</f>
        <v>29623</v>
      </c>
      <c r="Z279" s="1353">
        <f t="shared" si="604"/>
        <v>30595</v>
      </c>
      <c r="AA279" s="1353">
        <f t="shared" si="604"/>
        <v>25139</v>
      </c>
      <c r="AB279" s="1353">
        <f t="shared" si="604"/>
        <v>27931</v>
      </c>
      <c r="AC279" s="1353">
        <f t="shared" si="604"/>
        <v>29425</v>
      </c>
      <c r="AD279" s="1353">
        <f t="shared" si="604"/>
        <v>27147</v>
      </c>
      <c r="AE279" s="1353">
        <f t="shared" si="604"/>
        <v>24000</v>
      </c>
      <c r="AF279" s="1353">
        <f t="shared" si="604"/>
        <v>28700</v>
      </c>
      <c r="AG279" s="1353">
        <f t="shared" si="604"/>
        <v>37100</v>
      </c>
      <c r="AH279" s="1943">
        <f t="shared" si="604"/>
        <v>35900</v>
      </c>
      <c r="AI279" s="1353">
        <f t="shared" si="604"/>
        <v>29734</v>
      </c>
      <c r="AJ279" s="1943">
        <f t="shared" si="604"/>
        <v>22261</v>
      </c>
      <c r="AK279" s="1354">
        <f t="shared" si="604"/>
        <v>40329</v>
      </c>
      <c r="AL279" s="1353">
        <f t="shared" si="604"/>
        <v>59500</v>
      </c>
      <c r="AM279" s="1353">
        <f t="shared" si="604"/>
        <v>64000</v>
      </c>
      <c r="AN279" s="1353">
        <f t="shared" si="604"/>
        <v>66100</v>
      </c>
      <c r="AO279" s="1353">
        <f t="shared" si="604"/>
        <v>68000</v>
      </c>
      <c r="AP279" s="1353">
        <f t="shared" si="604"/>
        <v>70200</v>
      </c>
      <c r="AQ279" s="1349"/>
      <c r="AR279" s="1349"/>
      <c r="AS279" s="1349"/>
      <c r="AT279" s="1349"/>
      <c r="AU279" s="1349"/>
      <c r="AV279" s="1349"/>
      <c r="AW279" s="1349"/>
      <c r="AX279" s="1349"/>
      <c r="AY279" s="1349"/>
      <c r="AZ279" s="1349"/>
      <c r="BA279" s="1349"/>
      <c r="BB279" s="1349"/>
      <c r="BC279" s="1349"/>
      <c r="BD279" s="1349"/>
      <c r="BE279" s="1349"/>
      <c r="BF279" s="1349"/>
      <c r="BG279" s="1349"/>
      <c r="BH279" s="1349"/>
      <c r="BI279" s="1349"/>
      <c r="BJ279" s="1349"/>
      <c r="BK279" s="1349"/>
      <c r="BL279" s="1349"/>
      <c r="BM279" s="1349"/>
    </row>
    <row r="280" spans="1:65" hidden="1" outlineLevel="1">
      <c r="A280" s="1341"/>
      <c r="B280" s="1350"/>
      <c r="C280" s="1341"/>
      <c r="D280" s="1349"/>
      <c r="E280" s="1349"/>
      <c r="F280" s="1349"/>
      <c r="G280" s="1349"/>
      <c r="H280" s="1349"/>
      <c r="I280" s="1349"/>
      <c r="J280" s="1349"/>
      <c r="K280" s="1349"/>
      <c r="L280" s="1349"/>
      <c r="M280" s="1349"/>
      <c r="N280" s="1349"/>
      <c r="O280" s="1349"/>
      <c r="P280" s="1407"/>
      <c r="Q280" s="1407"/>
      <c r="R280" s="1407"/>
      <c r="S280" s="1407"/>
      <c r="T280" s="1407"/>
      <c r="U280" s="1407"/>
      <c r="V280" s="1407"/>
      <c r="W280" s="288"/>
      <c r="X280" s="1407"/>
      <c r="Y280" s="1407"/>
      <c r="Z280" s="1407"/>
      <c r="AA280" s="1407"/>
      <c r="AB280" s="1407"/>
      <c r="AC280" s="1407"/>
      <c r="AD280" s="1407"/>
      <c r="AE280" s="1407"/>
      <c r="AF280" s="1407"/>
      <c r="AG280" s="1407"/>
      <c r="AH280" s="1955"/>
      <c r="AI280" s="1407"/>
      <c r="AJ280" s="1955"/>
      <c r="AK280" s="1514"/>
      <c r="AL280" s="1407"/>
      <c r="AM280" s="1407"/>
      <c r="AN280" s="1407"/>
      <c r="AO280" s="1407"/>
      <c r="AP280" s="1407"/>
      <c r="AQ280" s="1407"/>
      <c r="AR280" s="1407"/>
      <c r="AS280" s="1407"/>
      <c r="AT280" s="1407"/>
      <c r="AU280" s="1407"/>
      <c r="AV280" s="1407"/>
      <c r="AW280" s="1407"/>
      <c r="AX280" s="1407"/>
      <c r="AY280" s="1407"/>
      <c r="AZ280" s="1407"/>
      <c r="BA280" s="1407"/>
      <c r="BB280" s="1407"/>
      <c r="BC280" s="1407"/>
      <c r="BD280" s="1407"/>
      <c r="BE280" s="1407"/>
      <c r="BF280" s="1407"/>
      <c r="BG280" s="1407"/>
      <c r="BH280" s="1407"/>
      <c r="BI280" s="1407"/>
      <c r="BJ280" s="1407"/>
      <c r="BK280" s="1407"/>
      <c r="BL280" s="1407"/>
      <c r="BM280" s="1407"/>
    </row>
    <row r="281" spans="1:65" hidden="1" outlineLevel="1">
      <c r="A281" s="1341"/>
      <c r="B281" s="1350" t="s">
        <v>1055</v>
      </c>
      <c r="C281" s="1341" t="s">
        <v>516</v>
      </c>
      <c r="D281" s="1349"/>
      <c r="E281" s="1349"/>
      <c r="F281" s="1349"/>
      <c r="G281" s="1349"/>
      <c r="H281" s="1349"/>
      <c r="I281" s="1349"/>
      <c r="J281" s="1349"/>
      <c r="K281" s="1349"/>
      <c r="L281" s="1349"/>
      <c r="M281" s="1349"/>
      <c r="N281" s="1349"/>
      <c r="O281" s="1349"/>
      <c r="P281" s="1349"/>
      <c r="Q281" s="1349"/>
      <c r="R281" s="1349"/>
      <c r="S281" s="1349"/>
      <c r="T281" s="1349"/>
      <c r="U281" s="288"/>
      <c r="V281" s="288"/>
      <c r="W281" s="1349"/>
      <c r="X281" s="1349"/>
      <c r="Y281" s="1349"/>
      <c r="Z281" s="1349"/>
      <c r="AA281" s="1349"/>
      <c r="AB281" s="1349"/>
      <c r="AC281" s="1349"/>
      <c r="AD281" s="1349"/>
      <c r="AE281" s="1349"/>
      <c r="AF281" s="1349"/>
      <c r="AG281" s="1349"/>
      <c r="AH281" s="1944"/>
      <c r="AI281" s="1349"/>
      <c r="AJ281" s="1944"/>
      <c r="AK281" s="1355"/>
      <c r="AL281" s="1349"/>
      <c r="AM281" s="1349"/>
      <c r="AN281" s="1349"/>
      <c r="AO281" s="1349"/>
      <c r="AP281" s="1349"/>
      <c r="AQ281" s="1349"/>
      <c r="AR281" s="1349"/>
      <c r="AS281" s="1349"/>
      <c r="AT281" s="1349"/>
      <c r="AU281" s="1349"/>
      <c r="AV281" s="1349"/>
      <c r="AW281" s="1349"/>
      <c r="AX281" s="1349"/>
      <c r="AY281" s="1349"/>
      <c r="AZ281" s="1349"/>
      <c r="BA281" s="1349"/>
      <c r="BB281" s="1349"/>
      <c r="BC281" s="1349"/>
      <c r="BD281" s="1349"/>
      <c r="BE281" s="1349"/>
      <c r="BF281" s="1349"/>
      <c r="BG281" s="1349"/>
      <c r="BH281" s="1349"/>
      <c r="BI281" s="1349"/>
      <c r="BJ281" s="1349"/>
      <c r="BK281" s="1349"/>
      <c r="BL281" s="1349"/>
      <c r="BM281" s="1349"/>
    </row>
    <row r="282" spans="1:65" hidden="1" outlineLevel="1">
      <c r="A282" s="1341"/>
      <c r="B282" s="1500" t="s">
        <v>1056</v>
      </c>
      <c r="C282" s="1395" t="s">
        <v>515</v>
      </c>
      <c r="D282" s="1515" t="s">
        <v>449</v>
      </c>
      <c r="E282" s="1515" t="s">
        <v>449</v>
      </c>
      <c r="F282" s="1515" t="s">
        <v>449</v>
      </c>
      <c r="G282" s="1515" t="s">
        <v>449</v>
      </c>
      <c r="H282" s="1515" t="s">
        <v>449</v>
      </c>
      <c r="I282" s="1516">
        <f t="shared" ref="I282:T282" si="605">I273/I265*100</f>
        <v>5.1340544605284091</v>
      </c>
      <c r="J282" s="1516">
        <f t="shared" si="605"/>
        <v>4.3392440757008846</v>
      </c>
      <c r="K282" s="1516">
        <f t="shared" si="605"/>
        <v>5.0537516496065518</v>
      </c>
      <c r="L282" s="1516">
        <f t="shared" si="605"/>
        <v>3.8725180780262005</v>
      </c>
      <c r="M282" s="1516">
        <f t="shared" si="605"/>
        <v>3.9143940977926466</v>
      </c>
      <c r="N282" s="1516">
        <f t="shared" si="605"/>
        <v>3.546152546509227</v>
      </c>
      <c r="O282" s="1516">
        <f t="shared" si="605"/>
        <v>4.632202248779091</v>
      </c>
      <c r="P282" s="1516">
        <f t="shared" si="605"/>
        <v>5.1078315802200454</v>
      </c>
      <c r="Q282" s="1516">
        <f t="shared" si="605"/>
        <v>5.4775307809332574</v>
      </c>
      <c r="R282" s="1516">
        <f t="shared" si="605"/>
        <v>5.0942663139003495</v>
      </c>
      <c r="S282" s="1516">
        <f t="shared" si="605"/>
        <v>5.3559166857404437</v>
      </c>
      <c r="T282" s="1516">
        <f t="shared" si="605"/>
        <v>5.7514690343522181</v>
      </c>
      <c r="U282" s="1516">
        <v>1</v>
      </c>
      <c r="V282" s="1516">
        <f t="shared" ref="V282:AC282" si="606">V273/V265*100</f>
        <v>7.2823608421315678</v>
      </c>
      <c r="W282" s="1516">
        <f t="shared" si="606"/>
        <v>0</v>
      </c>
      <c r="X282" s="1516">
        <f t="shared" si="606"/>
        <v>0</v>
      </c>
      <c r="Y282" s="1516">
        <f t="shared" si="606"/>
        <v>8.0073138234227095</v>
      </c>
      <c r="Z282" s="1516">
        <f t="shared" si="606"/>
        <v>8.1640121557323813</v>
      </c>
      <c r="AA282" s="1516">
        <f t="shared" si="606"/>
        <v>5.9472954361960362</v>
      </c>
      <c r="AB282" s="1516">
        <f t="shared" si="606"/>
        <v>6.7887580722097125</v>
      </c>
      <c r="AC282" s="1517">
        <f t="shared" si="606"/>
        <v>7.1373596636279402</v>
      </c>
      <c r="AD282" s="1517">
        <f t="shared" ref="AD282:AE282" si="607">AD273/AD265*100</f>
        <v>6.1540637393393087</v>
      </c>
      <c r="AE282" s="1517">
        <f t="shared" si="607"/>
        <v>4.9032769447597619</v>
      </c>
      <c r="AF282" s="1517">
        <f t="shared" ref="AF282:AH282" si="608">AF273/AF265*100</f>
        <v>6.3393346761723643</v>
      </c>
      <c r="AG282" s="1517">
        <f t="shared" si="608"/>
        <v>8.953765480437502</v>
      </c>
      <c r="AH282" s="1966">
        <f t="shared" si="608"/>
        <v>8.347247564988395</v>
      </c>
      <c r="AI282" s="1517">
        <f t="shared" ref="AI282:AK282" si="609">AI273/AI265*100</f>
        <v>6.3362391495804262</v>
      </c>
      <c r="AJ282" s="1966">
        <f t="shared" ref="AJ282" si="610">AJ273/AJ265*100</f>
        <v>3.7680123057782318</v>
      </c>
      <c r="AK282" s="1518">
        <f t="shared" si="609"/>
        <v>9.5628005122003774</v>
      </c>
      <c r="AL282" s="1517">
        <f t="shared" ref="AL282" si="611">AL273/AL265*100</f>
        <v>15.384325258102244</v>
      </c>
      <c r="AM282" s="1517">
        <f t="shared" ref="AM282:AN282" si="612">AM273/AM265*100</f>
        <v>16.463959125691261</v>
      </c>
      <c r="AN282" s="1517">
        <f t="shared" si="612"/>
        <v>16.770965018986359</v>
      </c>
      <c r="AO282" s="1517">
        <f t="shared" ref="AO282" si="613">AO273/AO265*100</f>
        <v>17.002675110155536</v>
      </c>
      <c r="AP282" s="1517">
        <f t="shared" ref="AP282" si="614">AP273/AP265*100</f>
        <v>17.310139351379156</v>
      </c>
      <c r="AQ282" s="1376"/>
      <c r="AR282" s="1376"/>
      <c r="AS282" s="1376"/>
      <c r="AT282" s="1376"/>
      <c r="AU282" s="1376"/>
      <c r="AV282" s="1376"/>
      <c r="AW282" s="1376"/>
      <c r="AX282" s="1376"/>
      <c r="AY282" s="1376"/>
      <c r="AZ282" s="1376"/>
      <c r="BA282" s="1376"/>
      <c r="BB282" s="1376"/>
      <c r="BC282" s="1376"/>
      <c r="BD282" s="1376"/>
      <c r="BE282" s="1376"/>
      <c r="BF282" s="1376"/>
      <c r="BG282" s="1376"/>
      <c r="BH282" s="1376"/>
      <c r="BI282" s="1376"/>
      <c r="BJ282" s="1376"/>
      <c r="BK282" s="1376"/>
      <c r="BL282" s="1376"/>
      <c r="BM282" s="1376"/>
    </row>
    <row r="283" spans="1:65" hidden="1" outlineLevel="1">
      <c r="A283" s="1341"/>
      <c r="B283" s="1350" t="s">
        <v>1057</v>
      </c>
      <c r="C283" s="1341" t="s">
        <v>514</v>
      </c>
      <c r="D283" s="1366"/>
      <c r="E283" s="1366"/>
      <c r="F283" s="1366"/>
      <c r="G283" s="1366"/>
      <c r="H283" s="1376">
        <f t="shared" ref="H283:P283" si="615">H274/H266*100</f>
        <v>2.7017605020045319</v>
      </c>
      <c r="I283" s="1376">
        <f t="shared" si="615"/>
        <v>3.1238800350222973</v>
      </c>
      <c r="J283" s="1376">
        <f t="shared" si="615"/>
        <v>2.4104095563139931</v>
      </c>
      <c r="K283" s="1376">
        <f t="shared" si="615"/>
        <v>3.7797763733592609</v>
      </c>
      <c r="L283" s="1376">
        <f t="shared" si="615"/>
        <v>3.9027741907189113</v>
      </c>
      <c r="M283" s="1376">
        <f t="shared" si="615"/>
        <v>3.2798244600993183</v>
      </c>
      <c r="N283" s="1376">
        <f t="shared" si="615"/>
        <v>2.7357205041825958</v>
      </c>
      <c r="O283" s="1376">
        <f t="shared" si="615"/>
        <v>3.5885727935468159</v>
      </c>
      <c r="P283" s="1376">
        <f t="shared" si="615"/>
        <v>3.4035115744764823</v>
      </c>
      <c r="Q283" s="1376"/>
      <c r="R283" s="1376"/>
      <c r="S283" s="1376"/>
      <c r="T283" s="1376"/>
      <c r="U283" s="1376"/>
      <c r="V283" s="1376"/>
      <c r="W283" s="1376"/>
      <c r="X283" s="1376"/>
      <c r="Y283" s="1376"/>
      <c r="Z283" s="1376"/>
      <c r="AA283" s="1376"/>
      <c r="AB283" s="1376"/>
      <c r="AC283" s="1376"/>
      <c r="AD283" s="1376"/>
      <c r="AE283" s="1376"/>
      <c r="AF283" s="1376"/>
      <c r="AG283" s="1376"/>
      <c r="AH283" s="1947"/>
      <c r="AI283" s="1376"/>
      <c r="AJ283" s="1947"/>
      <c r="AK283" s="1495"/>
      <c r="AL283" s="1376"/>
      <c r="AM283" s="1376"/>
      <c r="AN283" s="1376"/>
      <c r="AO283" s="1376"/>
      <c r="AP283" s="1376"/>
      <c r="AQ283" s="1376"/>
      <c r="AR283" s="1376"/>
      <c r="AS283" s="1376"/>
      <c r="AT283" s="1376"/>
      <c r="AU283" s="1376"/>
      <c r="AV283" s="1376"/>
      <c r="AW283" s="1376"/>
      <c r="AX283" s="1376"/>
      <c r="AY283" s="1376"/>
      <c r="AZ283" s="1376"/>
      <c r="BA283" s="1376"/>
      <c r="BB283" s="1376"/>
      <c r="BC283" s="1376"/>
      <c r="BD283" s="1376"/>
      <c r="BE283" s="1376"/>
      <c r="BF283" s="1376"/>
      <c r="BG283" s="1376"/>
      <c r="BH283" s="1376"/>
      <c r="BI283" s="1376"/>
      <c r="BJ283" s="1376"/>
      <c r="BK283" s="1376"/>
      <c r="BL283" s="1376"/>
      <c r="BM283" s="1376"/>
    </row>
    <row r="284" spans="1:65" hidden="1" outlineLevel="1">
      <c r="A284" s="1341"/>
      <c r="B284" s="1350" t="s">
        <v>1037</v>
      </c>
      <c r="C284" s="1341" t="s">
        <v>513</v>
      </c>
      <c r="D284" s="1366" t="s">
        <v>449</v>
      </c>
      <c r="E284" s="1366" t="s">
        <v>449</v>
      </c>
      <c r="F284" s="1366" t="s">
        <v>449</v>
      </c>
      <c r="G284" s="1366" t="s">
        <v>449</v>
      </c>
      <c r="H284" s="1366" t="s">
        <v>449</v>
      </c>
      <c r="I284" s="1376">
        <f t="shared" ref="I284:AC284" si="616">I276/I268*100</f>
        <v>6.5101829478771149</v>
      </c>
      <c r="J284" s="1376">
        <f t="shared" si="616"/>
        <v>8.2540778917166993</v>
      </c>
      <c r="K284" s="1376">
        <f t="shared" si="616"/>
        <v>10.150140756959649</v>
      </c>
      <c r="L284" s="1376">
        <f t="shared" si="616"/>
        <v>14.154652686762779</v>
      </c>
      <c r="M284" s="1376">
        <f t="shared" si="616"/>
        <v>11.313790207605024</v>
      </c>
      <c r="N284" s="1376">
        <f t="shared" si="616"/>
        <v>11.738818783443632</v>
      </c>
      <c r="O284" s="1376">
        <f t="shared" si="616"/>
        <v>13.730575076709888</v>
      </c>
      <c r="P284" s="1376">
        <f t="shared" si="616"/>
        <v>11.181499342393687</v>
      </c>
      <c r="Q284" s="1376">
        <f t="shared" si="616"/>
        <v>12.739523206660516</v>
      </c>
      <c r="R284" s="1376">
        <f t="shared" si="616"/>
        <v>11.144784789118592</v>
      </c>
      <c r="S284" s="1376">
        <f t="shared" si="616"/>
        <v>9.6304264590588371</v>
      </c>
      <c r="T284" s="1376">
        <f t="shared" si="616"/>
        <v>9.8480007745183471</v>
      </c>
      <c r="U284" s="1376">
        <f t="shared" si="616"/>
        <v>11.434580843321204</v>
      </c>
      <c r="V284" s="1376">
        <f t="shared" si="616"/>
        <v>21.013085690164626</v>
      </c>
      <c r="W284" s="1376">
        <f t="shared" si="616"/>
        <v>0</v>
      </c>
      <c r="X284" s="1376">
        <f t="shared" si="616"/>
        <v>0</v>
      </c>
      <c r="Y284" s="1376">
        <f t="shared" si="616"/>
        <v>16.552510783140114</v>
      </c>
      <c r="Z284" s="1376">
        <f t="shared" si="616"/>
        <v>16.565603164550506</v>
      </c>
      <c r="AA284" s="1376">
        <f t="shared" si="616"/>
        <v>16.584587774461827</v>
      </c>
      <c r="AB284" s="1376">
        <f t="shared" si="616"/>
        <v>16.579179756709291</v>
      </c>
      <c r="AC284" s="1376">
        <f t="shared" si="616"/>
        <v>16.580357673565889</v>
      </c>
      <c r="AD284" s="1376">
        <f t="shared" ref="AD284:AE284" si="617">AD276/AD268*100</f>
        <v>16.587867940107927</v>
      </c>
      <c r="AE284" s="1376">
        <f t="shared" si="617"/>
        <v>16.601478498417759</v>
      </c>
      <c r="AF284" s="1376">
        <f t="shared" ref="AF284:AH284" si="618">AF276/AF268*100</f>
        <v>16.620976879204491</v>
      </c>
      <c r="AG284" s="1376">
        <f t="shared" si="618"/>
        <v>16.618789908562491</v>
      </c>
      <c r="AH284" s="1947">
        <f t="shared" si="618"/>
        <v>16.623078628538892</v>
      </c>
      <c r="AI284" s="1376">
        <f t="shared" ref="AI284:AK284" si="619">AI276/AI268*100</f>
        <v>16.623078628538892</v>
      </c>
      <c r="AJ284" s="1947">
        <f t="shared" ref="AJ284" si="620">AJ276/AJ268*100</f>
        <v>16.63359956437974</v>
      </c>
      <c r="AK284" s="1495">
        <f t="shared" si="619"/>
        <v>16.63359956437974</v>
      </c>
      <c r="AL284" s="1376">
        <f t="shared" ref="AL284" si="621">AL276/AL268*100</f>
        <v>16.650129849661109</v>
      </c>
      <c r="AM284" s="1376">
        <f t="shared" ref="AM284:AN284" si="622">AM276/AM268*100</f>
        <v>16.647088730053859</v>
      </c>
      <c r="AN284" s="1376">
        <f t="shared" si="622"/>
        <v>16.650567226206416</v>
      </c>
      <c r="AO284" s="1376">
        <f t="shared" ref="AO284" si="623">AO276/AO268*100</f>
        <v>16.660318656499946</v>
      </c>
      <c r="AP284" s="1376">
        <f t="shared" ref="AP284" si="624">AP276/AP268*100</f>
        <v>16.676117234536282</v>
      </c>
      <c r="AQ284" s="1376"/>
      <c r="AR284" s="1376"/>
      <c r="AS284" s="1376"/>
      <c r="AT284" s="1376"/>
      <c r="AU284" s="1376"/>
      <c r="AV284" s="1376"/>
      <c r="AW284" s="1376"/>
      <c r="AX284" s="1376"/>
      <c r="AY284" s="1376"/>
      <c r="AZ284" s="1376"/>
      <c r="BA284" s="1376"/>
      <c r="BB284" s="1376"/>
      <c r="BC284" s="1376"/>
      <c r="BD284" s="1376"/>
      <c r="BE284" s="1376"/>
      <c r="BF284" s="1376"/>
      <c r="BG284" s="1376"/>
      <c r="BH284" s="1376"/>
      <c r="BI284" s="1376"/>
      <c r="BJ284" s="1376"/>
      <c r="BK284" s="1376"/>
      <c r="BL284" s="1376"/>
      <c r="BM284" s="1376"/>
    </row>
    <row r="285" spans="1:65" hidden="1" outlineLevel="1">
      <c r="A285" s="1341"/>
      <c r="B285" s="1485" t="s">
        <v>268</v>
      </c>
      <c r="C285" s="1484" t="s">
        <v>427</v>
      </c>
      <c r="D285" s="1519">
        <f t="shared" ref="D285:AC285" si="625">D279/D270*100</f>
        <v>5.2252779403159737</v>
      </c>
      <c r="E285" s="1519">
        <f t="shared" si="625"/>
        <v>3.9512218541456625</v>
      </c>
      <c r="F285" s="1519">
        <f t="shared" si="625"/>
        <v>4.2592281001732619</v>
      </c>
      <c r="G285" s="1519">
        <f t="shared" si="625"/>
        <v>4.0963687551481227</v>
      </c>
      <c r="H285" s="1519">
        <f t="shared" si="625"/>
        <v>2.4633497911127988</v>
      </c>
      <c r="I285" s="1519">
        <f t="shared" si="625"/>
        <v>3.1740265860315344</v>
      </c>
      <c r="J285" s="1519">
        <f t="shared" si="625"/>
        <v>2.7891184603684245</v>
      </c>
      <c r="K285" s="1519">
        <f t="shared" si="625"/>
        <v>4.0092992229733078</v>
      </c>
      <c r="L285" s="1519">
        <f t="shared" si="625"/>
        <v>5.1613507110534442</v>
      </c>
      <c r="M285" s="1519">
        <f t="shared" si="625"/>
        <v>5.107903521557196</v>
      </c>
      <c r="N285" s="1519">
        <f t="shared" si="625"/>
        <v>5.0555565770039284</v>
      </c>
      <c r="O285" s="1519">
        <f t="shared" si="625"/>
        <v>6.0728554788772966</v>
      </c>
      <c r="P285" s="1519">
        <f t="shared" si="625"/>
        <v>6.0088561741843165</v>
      </c>
      <c r="Q285" s="1519">
        <f t="shared" si="625"/>
        <v>6.5824340537324302</v>
      </c>
      <c r="R285" s="1519">
        <f t="shared" si="625"/>
        <v>6.1210578514426777</v>
      </c>
      <c r="S285" s="1519">
        <f t="shared" si="625"/>
        <v>6.0898193903334619</v>
      </c>
      <c r="T285" s="1519">
        <f t="shared" si="625"/>
        <v>6.4249040490049047</v>
      </c>
      <c r="U285" s="1519">
        <f t="shared" si="625"/>
        <v>7.7549030869966131</v>
      </c>
      <c r="V285" s="1519">
        <f t="shared" si="625"/>
        <v>9.8691241433767694</v>
      </c>
      <c r="W285" s="1519">
        <f t="shared" si="625"/>
        <v>0</v>
      </c>
      <c r="X285" s="1519">
        <f t="shared" si="625"/>
        <v>0</v>
      </c>
      <c r="Y285" s="1519">
        <f t="shared" si="625"/>
        <v>9.4235869097328493</v>
      </c>
      <c r="Z285" s="1519">
        <f t="shared" si="625"/>
        <v>9.5576755134714233</v>
      </c>
      <c r="AA285" s="1519">
        <f t="shared" si="625"/>
        <v>7.7129243581339599</v>
      </c>
      <c r="AB285" s="1519">
        <f t="shared" si="625"/>
        <v>8.4174295038398483</v>
      </c>
      <c r="AC285" s="1519">
        <f t="shared" si="625"/>
        <v>8.7112846346800552</v>
      </c>
      <c r="AD285" s="1519">
        <f t="shared" ref="AD285:AE285" si="626">AD279/AD270*100</f>
        <v>7.896039174134895</v>
      </c>
      <c r="AE285" s="1519">
        <f t="shared" si="626"/>
        <v>6.8591081733264616</v>
      </c>
      <c r="AF285" s="1519">
        <f t="shared" ref="AF285:AH285" si="627">AF279/AF270*100</f>
        <v>8.0603299091257234</v>
      </c>
      <c r="AG285" s="1519">
        <f t="shared" si="627"/>
        <v>10.240077935816284</v>
      </c>
      <c r="AH285" s="1967">
        <f t="shared" si="627"/>
        <v>9.7392289706485968</v>
      </c>
      <c r="AI285" s="1519">
        <f t="shared" ref="AI285:AK285" si="628">AI279/AI270*100</f>
        <v>8.066468919589564</v>
      </c>
      <c r="AJ285" s="1967">
        <f t="shared" ref="AJ285" si="629">AJ279/AJ270*100</f>
        <v>5.9363075418145925</v>
      </c>
      <c r="AK285" s="1520">
        <f t="shared" si="628"/>
        <v>10.754474051203482</v>
      </c>
      <c r="AL285" s="1519">
        <f t="shared" ref="AL285" si="630">AL279/AL270*100</f>
        <v>15.598025590082059</v>
      </c>
      <c r="AM285" s="1519">
        <f t="shared" ref="AM285:AN285" si="631">AM279/AM270*100</f>
        <v>16.494968674541006</v>
      </c>
      <c r="AN285" s="1519">
        <f t="shared" si="631"/>
        <v>16.750523166769774</v>
      </c>
      <c r="AO285" s="1519">
        <f t="shared" ref="AO285" si="632">AO279/AO270*100</f>
        <v>16.944408905040838</v>
      </c>
      <c r="AP285" s="1519">
        <f t="shared" ref="AP285" si="633">AP279/AP270*100</f>
        <v>17.202006997932155</v>
      </c>
      <c r="AQ285" s="1376"/>
      <c r="AR285" s="1376"/>
      <c r="AS285" s="1376"/>
      <c r="AT285" s="1376"/>
      <c r="AU285" s="1376"/>
      <c r="AV285" s="1376"/>
      <c r="AW285" s="1376"/>
      <c r="AX285" s="1376"/>
      <c r="AY285" s="1376"/>
      <c r="AZ285" s="1376"/>
      <c r="BA285" s="1376"/>
      <c r="BB285" s="1376"/>
      <c r="BC285" s="1376"/>
      <c r="BD285" s="1376"/>
      <c r="BE285" s="1376"/>
      <c r="BF285" s="1376"/>
      <c r="BG285" s="1376"/>
      <c r="BH285" s="1376"/>
      <c r="BI285" s="1376"/>
      <c r="BJ285" s="1376"/>
      <c r="BK285" s="1376"/>
      <c r="BL285" s="1376"/>
      <c r="BM285" s="1376"/>
    </row>
    <row r="286" spans="1:65" hidden="1" outlineLevel="1">
      <c r="B286" s="1338"/>
    </row>
    <row r="287" spans="1:65" hidden="1" outlineLevel="1">
      <c r="B287" s="1521" t="s">
        <v>1041</v>
      </c>
      <c r="C287" s="1" t="s">
        <v>512</v>
      </c>
      <c r="W287" s="288"/>
      <c r="X287" s="288"/>
      <c r="Y287" s="288"/>
      <c r="Z287" s="288"/>
      <c r="AA287" s="288"/>
      <c r="AB287" s="288"/>
      <c r="AC287" s="288"/>
      <c r="AD287" s="288"/>
      <c r="AE287" s="288"/>
      <c r="AF287" s="288"/>
      <c r="AG287" s="288"/>
      <c r="AH287" s="1946"/>
      <c r="AI287" s="288"/>
      <c r="AJ287" s="1946"/>
      <c r="AK287" s="672"/>
      <c r="AL287" s="288"/>
      <c r="AM287" s="288"/>
      <c r="AN287" s="288"/>
      <c r="AO287" s="288"/>
      <c r="AP287" s="288"/>
    </row>
    <row r="288" spans="1:65" hidden="1" outlineLevel="1">
      <c r="B288" s="1522" t="s">
        <v>1172</v>
      </c>
      <c r="C288" s="1523" t="s">
        <v>503</v>
      </c>
      <c r="D288" s="1523"/>
      <c r="E288" s="1523"/>
      <c r="F288" s="1523"/>
      <c r="G288" s="1523"/>
      <c r="H288" s="1523"/>
      <c r="I288" s="1523"/>
      <c r="J288" s="1523"/>
      <c r="K288" s="1523"/>
      <c r="L288" s="1523"/>
      <c r="M288" s="1523"/>
      <c r="N288" s="1523"/>
      <c r="O288" s="1523"/>
      <c r="P288" s="1523"/>
      <c r="Q288" s="1523"/>
      <c r="R288" s="1523"/>
      <c r="S288" s="1524">
        <v>449537</v>
      </c>
      <c r="T288" s="1524">
        <v>499458</v>
      </c>
      <c r="U288" s="1524">
        <v>596273</v>
      </c>
      <c r="V288" s="1524">
        <v>636489</v>
      </c>
      <c r="W288" s="1524">
        <f t="shared" ref="W288:AC288" si="634">W289+W290</f>
        <v>572840.1</v>
      </c>
      <c r="X288" s="1524">
        <f t="shared" si="634"/>
        <v>618896.44403999997</v>
      </c>
      <c r="Y288" s="1524">
        <f t="shared" si="634"/>
        <v>631274.3729208</v>
      </c>
      <c r="Z288" s="1524">
        <f t="shared" si="634"/>
        <v>643899.86037921603</v>
      </c>
      <c r="AA288" s="1524">
        <f t="shared" si="634"/>
        <v>656777.85758680035</v>
      </c>
      <c r="AB288" s="1524">
        <f t="shared" si="634"/>
        <v>669913.41473853646</v>
      </c>
      <c r="AC288" s="1524">
        <f t="shared" si="634"/>
        <v>683311.6830333072</v>
      </c>
      <c r="AD288" s="1524">
        <f t="shared" ref="AD288:AE288" si="635">AD289+AD290</f>
        <v>696977.91669397335</v>
      </c>
      <c r="AE288" s="1524">
        <f t="shared" si="635"/>
        <v>710917.47502785292</v>
      </c>
      <c r="AF288" s="1524">
        <f t="shared" ref="AF288:AH288" si="636">AF289+AF290</f>
        <v>725135.82452840987</v>
      </c>
      <c r="AG288" s="1524">
        <f t="shared" si="636"/>
        <v>739638.54101897811</v>
      </c>
      <c r="AH288" s="1968">
        <f t="shared" si="636"/>
        <v>754431.3118393576</v>
      </c>
      <c r="AI288" s="1524">
        <f t="shared" ref="AI288:AK288" si="637">AI289+AI290</f>
        <v>754431.3118393576</v>
      </c>
      <c r="AJ288" s="1968">
        <f t="shared" ref="AJ288" si="638">AJ289+AJ290</f>
        <v>769519.93807614478</v>
      </c>
      <c r="AK288" s="1525">
        <f t="shared" si="637"/>
        <v>769519.93807614478</v>
      </c>
      <c r="AL288" s="1524">
        <f t="shared" ref="AL288" si="639">AL289+AL290</f>
        <v>784910.33683766774</v>
      </c>
      <c r="AM288" s="1524">
        <f t="shared" ref="AM288:AN288" si="640">AM289+AM290</f>
        <v>800608.54357442097</v>
      </c>
      <c r="AN288" s="1524">
        <f t="shared" si="640"/>
        <v>816620.71444590949</v>
      </c>
      <c r="AO288" s="1524">
        <f t="shared" ref="AO288" si="641">AO289+AO290</f>
        <v>832953.12873482762</v>
      </c>
      <c r="AP288" s="1524">
        <f t="shared" ref="AP288" si="642">AP289+AP290</f>
        <v>849612.19130952412</v>
      </c>
    </row>
    <row r="289" spans="2:42" hidden="1" outlineLevel="1">
      <c r="B289" s="1521" t="s">
        <v>1173</v>
      </c>
      <c r="C289" s="1" t="s">
        <v>511</v>
      </c>
      <c r="S289" s="367"/>
      <c r="T289" s="367"/>
      <c r="U289" s="367">
        <f>U288*0.7</f>
        <v>417391.1</v>
      </c>
      <c r="V289" s="367">
        <f>V288*0.72</f>
        <v>458272.07999999996</v>
      </c>
      <c r="W289" s="367">
        <f>V289*0.9</f>
        <v>412444.87199999997</v>
      </c>
      <c r="X289" s="367">
        <f>W289*1.1</f>
        <v>453689.35920000001</v>
      </c>
      <c r="Y289" s="367">
        <f t="shared" ref="Y289:AP290" si="643">X289*1.02</f>
        <v>462763.14638400002</v>
      </c>
      <c r="Z289" s="367">
        <f t="shared" si="643"/>
        <v>472018.40931168001</v>
      </c>
      <c r="AA289" s="367">
        <f t="shared" si="643"/>
        <v>481458.77749791363</v>
      </c>
      <c r="AB289" s="367">
        <f t="shared" si="643"/>
        <v>491087.95304787194</v>
      </c>
      <c r="AC289" s="367">
        <f t="shared" si="643"/>
        <v>500909.71210882941</v>
      </c>
      <c r="AD289" s="367">
        <f t="shared" si="643"/>
        <v>510927.90635100601</v>
      </c>
      <c r="AE289" s="367">
        <f t="shared" si="643"/>
        <v>521146.46447802614</v>
      </c>
      <c r="AF289" s="367">
        <f t="shared" si="643"/>
        <v>531569.39376758668</v>
      </c>
      <c r="AG289" s="367">
        <f t="shared" si="643"/>
        <v>542200.78164293838</v>
      </c>
      <c r="AH289" s="1961">
        <f>AG289*1.02</f>
        <v>553044.79727579711</v>
      </c>
      <c r="AI289" s="367">
        <f>AG289*1.02</f>
        <v>553044.79727579711</v>
      </c>
      <c r="AJ289" s="1961">
        <f>AI289*1.02</f>
        <v>564105.69322131306</v>
      </c>
      <c r="AK289" s="1442">
        <f>AI289*1.02</f>
        <v>564105.69322131306</v>
      </c>
      <c r="AL289" s="367">
        <f t="shared" si="643"/>
        <v>575387.80708573933</v>
      </c>
      <c r="AM289" s="367">
        <f t="shared" si="643"/>
        <v>586895.56322745408</v>
      </c>
      <c r="AN289" s="367">
        <f t="shared" si="643"/>
        <v>598633.47449200321</v>
      </c>
      <c r="AO289" s="367">
        <f t="shared" si="643"/>
        <v>610606.14398184326</v>
      </c>
      <c r="AP289" s="367">
        <f t="shared" si="643"/>
        <v>622818.26686148008</v>
      </c>
    </row>
    <row r="290" spans="2:42" hidden="1" outlineLevel="1">
      <c r="B290" s="1521" t="s">
        <v>1174</v>
      </c>
      <c r="C290" s="1" t="s">
        <v>510</v>
      </c>
      <c r="S290" s="367"/>
      <c r="T290" s="367"/>
      <c r="U290" s="367">
        <f>U288-U289</f>
        <v>178881.90000000002</v>
      </c>
      <c r="V290" s="367">
        <f>V288-V289</f>
        <v>178216.92000000004</v>
      </c>
      <c r="W290" s="378">
        <f>V290*0.9</f>
        <v>160395.22800000003</v>
      </c>
      <c r="X290" s="378">
        <f>W290*1.03</f>
        <v>165207.08484000002</v>
      </c>
      <c r="Y290" s="378">
        <f t="shared" si="643"/>
        <v>168511.22653680004</v>
      </c>
      <c r="Z290" s="378">
        <f t="shared" si="643"/>
        <v>171881.45106753605</v>
      </c>
      <c r="AA290" s="378">
        <f t="shared" si="643"/>
        <v>175319.08008888678</v>
      </c>
      <c r="AB290" s="378">
        <f t="shared" si="643"/>
        <v>178825.46169066452</v>
      </c>
      <c r="AC290" s="378">
        <f t="shared" si="643"/>
        <v>182401.97092447782</v>
      </c>
      <c r="AD290" s="378">
        <f t="shared" si="643"/>
        <v>186050.01034296738</v>
      </c>
      <c r="AE290" s="378">
        <f t="shared" si="643"/>
        <v>189771.01054982672</v>
      </c>
      <c r="AF290" s="378">
        <f t="shared" si="643"/>
        <v>193566.43076082325</v>
      </c>
      <c r="AG290" s="378">
        <f t="shared" si="643"/>
        <v>197437.75937603973</v>
      </c>
      <c r="AH290" s="1969">
        <f>AG290*1.02</f>
        <v>201386.51456356051</v>
      </c>
      <c r="AI290" s="378">
        <f>AG290*1.02</f>
        <v>201386.51456356051</v>
      </c>
      <c r="AJ290" s="1969">
        <f>AI290*1.02</f>
        <v>205414.24485483172</v>
      </c>
      <c r="AK290" s="1526">
        <f>AI290*1.02</f>
        <v>205414.24485483172</v>
      </c>
      <c r="AL290" s="378">
        <f t="shared" si="643"/>
        <v>209522.52975192835</v>
      </c>
      <c r="AM290" s="378">
        <f t="shared" si="643"/>
        <v>213712.98034696691</v>
      </c>
      <c r="AN290" s="378">
        <f t="shared" si="643"/>
        <v>217987.23995390625</v>
      </c>
      <c r="AO290" s="378">
        <f t="shared" si="643"/>
        <v>222346.98475298437</v>
      </c>
      <c r="AP290" s="378">
        <f t="shared" si="643"/>
        <v>226793.92444804407</v>
      </c>
    </row>
    <row r="291" spans="2:42" hidden="1" outlineLevel="1">
      <c r="B291" s="1521" t="s">
        <v>1175</v>
      </c>
      <c r="C291" s="1" t="s">
        <v>509</v>
      </c>
      <c r="S291" s="367">
        <v>338746</v>
      </c>
      <c r="T291" s="367">
        <v>387472</v>
      </c>
      <c r="U291" s="367">
        <f>U288-U292</f>
        <v>453374</v>
      </c>
      <c r="V291" s="367">
        <f>V288-V292</f>
        <v>422585</v>
      </c>
      <c r="W291" s="367">
        <f>V291/V288*W288+15000</f>
        <v>395326.5</v>
      </c>
      <c r="X291" s="367">
        <f>W291/W288*X288+25000</f>
        <v>452110.75059999997</v>
      </c>
      <c r="Y291" s="367">
        <f t="shared" ref="Y291:AP291" si="644">X291/X288*Y288-10000</f>
        <v>451152.96561199997</v>
      </c>
      <c r="Z291" s="367">
        <f t="shared" si="644"/>
        <v>450176.02492423996</v>
      </c>
      <c r="AA291" s="367">
        <f t="shared" si="644"/>
        <v>449179.5454227248</v>
      </c>
      <c r="AB291" s="367">
        <f t="shared" si="644"/>
        <v>448163.13633117935</v>
      </c>
      <c r="AC291" s="367">
        <f t="shared" si="644"/>
        <v>447126.39905780292</v>
      </c>
      <c r="AD291" s="367">
        <f t="shared" si="644"/>
        <v>446068.92703895899</v>
      </c>
      <c r="AE291" s="367">
        <f t="shared" si="644"/>
        <v>444990.30557973823</v>
      </c>
      <c r="AF291" s="367">
        <f t="shared" si="644"/>
        <v>443890.11169133295</v>
      </c>
      <c r="AG291" s="367">
        <f t="shared" si="644"/>
        <v>442767.91392515961</v>
      </c>
      <c r="AH291" s="1961">
        <f>AG291/AG288*AH288-10000</f>
        <v>441623.27220366278</v>
      </c>
      <c r="AI291" s="367">
        <f>AG291/AG288*AI288-10000</f>
        <v>441623.27220366278</v>
      </c>
      <c r="AJ291" s="1961">
        <f>AI291/AI288*AJ288-10000</f>
        <v>440455.73764773604</v>
      </c>
      <c r="AK291" s="1442">
        <f>AI291/AI288*AK288-10000</f>
        <v>440455.73764773604</v>
      </c>
      <c r="AL291" s="367">
        <f t="shared" si="644"/>
        <v>439264.85240069078</v>
      </c>
      <c r="AM291" s="367">
        <f t="shared" si="644"/>
        <v>438050.1494487045</v>
      </c>
      <c r="AN291" s="367">
        <f t="shared" si="644"/>
        <v>436811.1524376786</v>
      </c>
      <c r="AO291" s="367">
        <f t="shared" si="644"/>
        <v>435547.37548643211</v>
      </c>
      <c r="AP291" s="367">
        <f t="shared" si="644"/>
        <v>434258.32299616071</v>
      </c>
    </row>
    <row r="292" spans="2:42" hidden="1" outlineLevel="1">
      <c r="B292" s="1521" t="s">
        <v>1005</v>
      </c>
      <c r="C292" s="1" t="s">
        <v>508</v>
      </c>
      <c r="S292" s="367">
        <v>110791</v>
      </c>
      <c r="T292" s="367">
        <v>111986</v>
      </c>
      <c r="U292" s="367">
        <v>142899</v>
      </c>
      <c r="V292" s="367">
        <v>213904</v>
      </c>
      <c r="W292" s="378">
        <f>W288-W291</f>
        <v>177513.59999999998</v>
      </c>
      <c r="X292" s="378">
        <f>X288-X291</f>
        <v>166785.69344</v>
      </c>
      <c r="Y292" s="378">
        <f t="shared" ref="Y292:AP292" si="645">X292/X288*Y288</f>
        <v>170121.4073088</v>
      </c>
      <c r="Z292" s="378">
        <f t="shared" si="645"/>
        <v>173523.83545497601</v>
      </c>
      <c r="AA292" s="378">
        <f t="shared" si="645"/>
        <v>176994.31216407556</v>
      </c>
      <c r="AB292" s="378">
        <f t="shared" si="645"/>
        <v>180534.19840735709</v>
      </c>
      <c r="AC292" s="378">
        <f t="shared" si="645"/>
        <v>184144.88237550421</v>
      </c>
      <c r="AD292" s="378">
        <f t="shared" si="645"/>
        <v>187827.78002301432</v>
      </c>
      <c r="AE292" s="378">
        <f t="shared" si="645"/>
        <v>191584.33562347462</v>
      </c>
      <c r="AF292" s="378">
        <f t="shared" si="645"/>
        <v>195416.02233594409</v>
      </c>
      <c r="AG292" s="378">
        <f t="shared" si="645"/>
        <v>199324.34278266298</v>
      </c>
      <c r="AH292" s="1969">
        <f>AG292/AG288*AH288</f>
        <v>203310.82963831621</v>
      </c>
      <c r="AI292" s="378">
        <f>AG292/AG288*AI288</f>
        <v>203310.82963831621</v>
      </c>
      <c r="AJ292" s="1969">
        <f>AI292/AI288*AJ288</f>
        <v>207377.04623108255</v>
      </c>
      <c r="AK292" s="1526">
        <f>AI292/AI288*AK288</f>
        <v>207377.04623108255</v>
      </c>
      <c r="AL292" s="378">
        <f t="shared" si="645"/>
        <v>211524.58715570421</v>
      </c>
      <c r="AM292" s="378">
        <f t="shared" si="645"/>
        <v>215755.07889881826</v>
      </c>
      <c r="AN292" s="378">
        <f t="shared" si="645"/>
        <v>220070.18047679466</v>
      </c>
      <c r="AO292" s="378">
        <f t="shared" si="645"/>
        <v>224471.58408633055</v>
      </c>
      <c r="AP292" s="378">
        <f t="shared" si="645"/>
        <v>228961.01576805714</v>
      </c>
    </row>
    <row r="293" spans="2:42" hidden="1" outlineLevel="1">
      <c r="B293" s="1521" t="s">
        <v>1176</v>
      </c>
      <c r="C293" s="1" t="s">
        <v>507</v>
      </c>
      <c r="S293" s="367">
        <v>70631</v>
      </c>
      <c r="T293" s="367">
        <v>71874</v>
      </c>
      <c r="U293" s="367">
        <v>80166</v>
      </c>
      <c r="V293" s="367">
        <v>83784</v>
      </c>
      <c r="W293" s="367">
        <f>V293/V288*W288</f>
        <v>75405.600000000006</v>
      </c>
      <c r="X293" s="367">
        <f>W293/W288*X288*0.75</f>
        <v>61101.157680000004</v>
      </c>
      <c r="Y293" s="367">
        <f t="shared" ref="Y293:AP293" si="646">X293/X288*Y288</f>
        <v>62323.180833600003</v>
      </c>
      <c r="Z293" s="367">
        <f t="shared" si="646"/>
        <v>63569.644450272011</v>
      </c>
      <c r="AA293" s="367">
        <f t="shared" si="646"/>
        <v>64841.037339277449</v>
      </c>
      <c r="AB293" s="367">
        <f t="shared" si="646"/>
        <v>66137.858086063003</v>
      </c>
      <c r="AC293" s="367">
        <f t="shared" si="646"/>
        <v>67460.615247784255</v>
      </c>
      <c r="AD293" s="367">
        <f t="shared" si="646"/>
        <v>68809.827552739938</v>
      </c>
      <c r="AE293" s="367">
        <f t="shared" si="646"/>
        <v>70186.024103794742</v>
      </c>
      <c r="AF293" s="367">
        <f t="shared" si="646"/>
        <v>71589.744585870634</v>
      </c>
      <c r="AG293" s="367">
        <f t="shared" si="646"/>
        <v>73021.539477588056</v>
      </c>
      <c r="AH293" s="1961">
        <f>AG293/AG288*AH288</f>
        <v>74481.970267139812</v>
      </c>
      <c r="AI293" s="367">
        <f>AG293/AG288*AI288</f>
        <v>74481.970267139812</v>
      </c>
      <c r="AJ293" s="1961">
        <f>AI293/AI288*AJ288</f>
        <v>75971.609672482606</v>
      </c>
      <c r="AK293" s="1442">
        <f>AI293/AI288*AK288</f>
        <v>75971.609672482606</v>
      </c>
      <c r="AL293" s="367">
        <f t="shared" si="646"/>
        <v>77491.041865932275</v>
      </c>
      <c r="AM293" s="367">
        <f t="shared" si="646"/>
        <v>79040.86270325091</v>
      </c>
      <c r="AN293" s="367">
        <f t="shared" si="646"/>
        <v>80621.679957315937</v>
      </c>
      <c r="AO293" s="367">
        <f t="shared" si="646"/>
        <v>82234.113556462253</v>
      </c>
      <c r="AP293" s="367">
        <f t="shared" si="646"/>
        <v>83878.795827591486</v>
      </c>
    </row>
    <row r="294" spans="2:42" hidden="1" outlineLevel="1">
      <c r="B294" s="1522" t="s">
        <v>1007</v>
      </c>
      <c r="C294" s="1523" t="s">
        <v>386</v>
      </c>
      <c r="D294" s="1523"/>
      <c r="E294" s="1523"/>
      <c r="F294" s="1523"/>
      <c r="G294" s="1523"/>
      <c r="H294" s="1523"/>
      <c r="I294" s="1523"/>
      <c r="J294" s="1523"/>
      <c r="K294" s="1523"/>
      <c r="L294" s="1523"/>
      <c r="M294" s="1523"/>
      <c r="N294" s="1523"/>
      <c r="O294" s="1523"/>
      <c r="P294" s="1523"/>
      <c r="Q294" s="1523"/>
      <c r="R294" s="1523"/>
      <c r="S294" s="1524">
        <v>40544</v>
      </c>
      <c r="T294" s="1524">
        <v>40123</v>
      </c>
      <c r="U294" s="1524">
        <v>62788</v>
      </c>
      <c r="V294" s="1524">
        <v>130211</v>
      </c>
      <c r="W294" s="1527">
        <f t="shared" ref="W294:AC294" si="647">W292-W293</f>
        <v>102107.99999999997</v>
      </c>
      <c r="X294" s="1527">
        <f t="shared" si="647"/>
        <v>105684.53576</v>
      </c>
      <c r="Y294" s="1527">
        <f t="shared" si="647"/>
        <v>107798.2264752</v>
      </c>
      <c r="Z294" s="1527">
        <f t="shared" si="647"/>
        <v>109954.191004704</v>
      </c>
      <c r="AA294" s="1527">
        <f t="shared" si="647"/>
        <v>112153.27482479811</v>
      </c>
      <c r="AB294" s="1527">
        <f t="shared" si="647"/>
        <v>114396.34032129409</v>
      </c>
      <c r="AC294" s="1527">
        <f t="shared" si="647"/>
        <v>116684.26712771996</v>
      </c>
      <c r="AD294" s="1527">
        <f t="shared" ref="AD294:AE294" si="648">AD292-AD293</f>
        <v>119017.95247027438</v>
      </c>
      <c r="AE294" s="1527">
        <f t="shared" si="648"/>
        <v>121398.31151967988</v>
      </c>
      <c r="AF294" s="1527">
        <f t="shared" ref="AF294:AH294" si="649">AF292-AF293</f>
        <v>123826.27775007345</v>
      </c>
      <c r="AG294" s="1527">
        <f t="shared" si="649"/>
        <v>126302.80330507492</v>
      </c>
      <c r="AH294" s="1970">
        <f t="shared" si="649"/>
        <v>128828.8593711764</v>
      </c>
      <c r="AI294" s="1527">
        <f t="shared" ref="AI294:AK294" si="650">AI292-AI293</f>
        <v>128828.8593711764</v>
      </c>
      <c r="AJ294" s="1970">
        <f t="shared" ref="AJ294" si="651">AJ292-AJ293</f>
        <v>131405.43655859993</v>
      </c>
      <c r="AK294" s="1528">
        <f t="shared" si="650"/>
        <v>131405.43655859993</v>
      </c>
      <c r="AL294" s="1527">
        <f t="shared" ref="AL294" si="652">AL292-AL293</f>
        <v>134033.54528977192</v>
      </c>
      <c r="AM294" s="1527">
        <f t="shared" ref="AM294:AN294" si="653">AM292-AM293</f>
        <v>136714.21619556734</v>
      </c>
      <c r="AN294" s="1527">
        <f t="shared" si="653"/>
        <v>139448.50051947872</v>
      </c>
      <c r="AO294" s="1527">
        <f t="shared" ref="AO294" si="654">AO292-AO293</f>
        <v>142237.4705298683</v>
      </c>
      <c r="AP294" s="1527">
        <f t="shared" ref="AP294" si="655">AP292-AP293</f>
        <v>145082.21994046564</v>
      </c>
    </row>
    <row r="295" spans="2:42" hidden="1" outlineLevel="1">
      <c r="B295" s="1521" t="s">
        <v>1177</v>
      </c>
      <c r="C295" s="1" t="s">
        <v>380</v>
      </c>
      <c r="S295" s="367">
        <v>10713</v>
      </c>
      <c r="T295" s="367">
        <v>12425</v>
      </c>
      <c r="U295" s="367">
        <v>8098</v>
      </c>
      <c r="V295" s="367">
        <v>5211</v>
      </c>
    </row>
    <row r="296" spans="2:42" hidden="1" outlineLevel="1">
      <c r="B296" s="1521" t="s">
        <v>1145</v>
      </c>
      <c r="C296" s="1" t="s">
        <v>506</v>
      </c>
      <c r="S296" s="367">
        <v>51257</v>
      </c>
      <c r="T296" s="367">
        <v>52548</v>
      </c>
      <c r="U296" s="367">
        <v>70886</v>
      </c>
      <c r="V296" s="367">
        <v>135422</v>
      </c>
    </row>
    <row r="297" spans="2:42" hidden="1" outlineLevel="1">
      <c r="B297" s="1522" t="s">
        <v>1008</v>
      </c>
      <c r="C297" s="1523" t="s">
        <v>505</v>
      </c>
      <c r="D297" s="1523"/>
      <c r="E297" s="1523"/>
      <c r="F297" s="1523"/>
      <c r="G297" s="1523"/>
      <c r="H297" s="1523"/>
      <c r="I297" s="1523"/>
      <c r="J297" s="1523"/>
      <c r="K297" s="1523"/>
      <c r="L297" s="1523"/>
      <c r="M297" s="1523"/>
      <c r="N297" s="1523"/>
      <c r="O297" s="1523"/>
      <c r="P297" s="1523"/>
      <c r="Q297" s="1523"/>
      <c r="R297" s="1523"/>
      <c r="S297" s="1524">
        <v>29384</v>
      </c>
      <c r="T297" s="1524">
        <v>32545</v>
      </c>
      <c r="U297" s="1524">
        <v>44369</v>
      </c>
      <c r="V297" s="1524">
        <v>84800</v>
      </c>
      <c r="W297" s="1523"/>
      <c r="X297" s="1523"/>
      <c r="Y297" s="1523"/>
      <c r="Z297" s="1523"/>
      <c r="AA297" s="1523"/>
      <c r="AB297" s="1523"/>
      <c r="AC297" s="1523"/>
      <c r="AD297" s="1523"/>
      <c r="AE297" s="1523"/>
      <c r="AF297" s="1523"/>
      <c r="AG297" s="1523"/>
      <c r="AH297" s="1971"/>
      <c r="AI297" s="1523"/>
      <c r="AJ297" s="1971"/>
      <c r="AK297" s="1529"/>
      <c r="AL297" s="1523"/>
      <c r="AM297" s="1523"/>
      <c r="AN297" s="1523"/>
      <c r="AO297" s="1523"/>
      <c r="AP297" s="1523"/>
    </row>
    <row r="298" spans="2:42" hidden="1" outlineLevel="1">
      <c r="B298" s="1521"/>
      <c r="V298" s="1341">
        <f t="shared" ref="V298:AC298" si="656">V288-V291</f>
        <v>213904</v>
      </c>
      <c r="W298" s="1341">
        <f t="shared" si="656"/>
        <v>177513.59999999998</v>
      </c>
      <c r="X298" s="1341">
        <f t="shared" si="656"/>
        <v>166785.69344</v>
      </c>
      <c r="Y298" s="1341">
        <f t="shared" si="656"/>
        <v>180121.40730880003</v>
      </c>
      <c r="Z298" s="1341">
        <f t="shared" si="656"/>
        <v>193723.83545497607</v>
      </c>
      <c r="AA298" s="1341">
        <f t="shared" si="656"/>
        <v>207598.31216407556</v>
      </c>
      <c r="AB298" s="1341">
        <f t="shared" si="656"/>
        <v>221750.27840735711</v>
      </c>
      <c r="AC298" s="1341">
        <f t="shared" si="656"/>
        <v>236185.28397550428</v>
      </c>
      <c r="AD298" s="1341">
        <f t="shared" ref="AD298:AE298" si="657">AD288-AD291</f>
        <v>250908.98965501436</v>
      </c>
      <c r="AE298" s="1341">
        <f t="shared" si="657"/>
        <v>265927.1694481147</v>
      </c>
      <c r="AF298" s="1341">
        <f t="shared" ref="AF298:AH298" si="658">AF288-AF291</f>
        <v>281245.71283707692</v>
      </c>
      <c r="AG298" s="1341">
        <f t="shared" si="658"/>
        <v>296870.6270938185</v>
      </c>
      <c r="AH298" s="1950">
        <f t="shared" si="658"/>
        <v>312808.03963569482</v>
      </c>
      <c r="AI298" s="1341">
        <f t="shared" ref="AI298:AK298" si="659">AI288-AI291</f>
        <v>312808.03963569482</v>
      </c>
      <c r="AJ298" s="1950">
        <f t="shared" ref="AJ298" si="660">AJ288-AJ291</f>
        <v>329064.20042840875</v>
      </c>
      <c r="AK298" s="1399">
        <f t="shared" si="659"/>
        <v>329064.20042840875</v>
      </c>
      <c r="AL298" s="1341">
        <f t="shared" ref="AL298" si="661">AL288-AL291</f>
        <v>345645.48443697696</v>
      </c>
      <c r="AM298" s="1341">
        <f t="shared" ref="AM298:AN298" si="662">AM288-AM291</f>
        <v>362558.39412571647</v>
      </c>
      <c r="AN298" s="1341">
        <f t="shared" si="662"/>
        <v>379809.56200823089</v>
      </c>
      <c r="AO298" s="1341">
        <f t="shared" ref="AO298" si="663">AO288-AO291</f>
        <v>397405.75324839551</v>
      </c>
      <c r="AP298" s="1341">
        <f t="shared" ref="AP298" si="664">AP288-AP291</f>
        <v>415353.8683133634</v>
      </c>
    </row>
    <row r="299" spans="2:42" hidden="1" outlineLevel="1">
      <c r="B299" s="1521" t="s">
        <v>1010</v>
      </c>
      <c r="C299" s="1" t="s">
        <v>504</v>
      </c>
    </row>
    <row r="300" spans="2:42" hidden="1" outlineLevel="1">
      <c r="B300" s="1530" t="str">
        <f>B288</f>
        <v>Net sales</v>
      </c>
      <c r="C300" s="1443" t="s">
        <v>503</v>
      </c>
      <c r="D300" s="1443"/>
      <c r="E300" s="1443"/>
      <c r="F300" s="1443"/>
      <c r="G300" s="1443"/>
      <c r="H300" s="1443"/>
      <c r="I300" s="1443"/>
      <c r="J300" s="1443"/>
      <c r="K300" s="1443"/>
      <c r="L300" s="1443"/>
      <c r="M300" s="1443"/>
      <c r="N300" s="1443"/>
      <c r="O300" s="1443"/>
      <c r="P300" s="1443"/>
      <c r="Q300" s="1443"/>
      <c r="R300" s="1443"/>
      <c r="S300" s="1443"/>
      <c r="T300" s="1446">
        <f t="shared" ref="T300:AP300" si="665">T288/S288-1</f>
        <v>0.11104981347475285</v>
      </c>
      <c r="U300" s="1446">
        <f t="shared" si="665"/>
        <v>0.19384012269299911</v>
      </c>
      <c r="V300" s="1446">
        <f t="shared" si="665"/>
        <v>6.7445616353583038E-2</v>
      </c>
      <c r="W300" s="1446">
        <f t="shared" si="665"/>
        <v>-0.10000000000000009</v>
      </c>
      <c r="X300" s="1446">
        <f t="shared" si="665"/>
        <v>8.0400000000000027E-2</v>
      </c>
      <c r="Y300" s="1446">
        <f t="shared" si="665"/>
        <v>2.0000000000000018E-2</v>
      </c>
      <c r="Z300" s="1446">
        <f t="shared" si="665"/>
        <v>2.0000000000000018E-2</v>
      </c>
      <c r="AA300" s="1446">
        <f t="shared" si="665"/>
        <v>2.0000000000000018E-2</v>
      </c>
      <c r="AB300" s="1446">
        <f t="shared" si="665"/>
        <v>2.000000000000024E-2</v>
      </c>
      <c r="AC300" s="1447">
        <f t="shared" si="665"/>
        <v>2.0000000000000018E-2</v>
      </c>
      <c r="AD300" s="1447">
        <f t="shared" si="665"/>
        <v>2.0000000000000018E-2</v>
      </c>
      <c r="AE300" s="1447">
        <f t="shared" si="665"/>
        <v>2.000000000000024E-2</v>
      </c>
      <c r="AF300" s="1447">
        <f t="shared" si="665"/>
        <v>1.9999999999999796E-2</v>
      </c>
      <c r="AG300" s="1447">
        <f t="shared" si="665"/>
        <v>2.0000000000000018E-2</v>
      </c>
      <c r="AH300" s="1963">
        <f>AH288/AG288-1</f>
        <v>1.9999999999999796E-2</v>
      </c>
      <c r="AI300" s="1447">
        <f>AI288/AG288-1</f>
        <v>1.9999999999999796E-2</v>
      </c>
      <c r="AJ300" s="1963">
        <f>AJ288/AI288-1</f>
        <v>2.0000000000000018E-2</v>
      </c>
      <c r="AK300" s="1448">
        <f>AK288/AI288-1</f>
        <v>2.0000000000000018E-2</v>
      </c>
      <c r="AL300" s="1447">
        <f t="shared" si="665"/>
        <v>2.0000000000000018E-2</v>
      </c>
      <c r="AM300" s="1447">
        <f t="shared" si="665"/>
        <v>1.9999999999999796E-2</v>
      </c>
      <c r="AN300" s="1447">
        <f t="shared" si="665"/>
        <v>2.0000000000000018E-2</v>
      </c>
      <c r="AO300" s="1447">
        <f t="shared" si="665"/>
        <v>2.0000000000000018E-2</v>
      </c>
      <c r="AP300" s="1447">
        <f t="shared" si="665"/>
        <v>2.0000000000000018E-2</v>
      </c>
    </row>
    <row r="301" spans="2:42" hidden="1" outlineLevel="1">
      <c r="B301" s="1531" t="str">
        <f>B294</f>
        <v>Operating profits</v>
      </c>
      <c r="C301" s="380" t="s">
        <v>386</v>
      </c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1532">
        <f t="shared" ref="T301:AP301" si="666">T294/S294-1</f>
        <v>-1.0383780584056868E-2</v>
      </c>
      <c r="U301" s="1532">
        <f t="shared" si="666"/>
        <v>0.56488796949380649</v>
      </c>
      <c r="V301" s="1532">
        <f t="shared" si="666"/>
        <v>1.0738198381856408</v>
      </c>
      <c r="W301" s="1532">
        <f t="shared" si="666"/>
        <v>-0.2158266198708253</v>
      </c>
      <c r="X301" s="1532">
        <f t="shared" si="666"/>
        <v>3.5026988678654281E-2</v>
      </c>
      <c r="Y301" s="1532">
        <f t="shared" si="666"/>
        <v>2.0000000000000018E-2</v>
      </c>
      <c r="Z301" s="1532">
        <f t="shared" si="666"/>
        <v>2.0000000000000018E-2</v>
      </c>
      <c r="AA301" s="1532">
        <f t="shared" si="666"/>
        <v>2.000000000000024E-2</v>
      </c>
      <c r="AB301" s="1532">
        <f t="shared" si="666"/>
        <v>2.000000000000024E-2</v>
      </c>
      <c r="AC301" s="1532">
        <f t="shared" si="666"/>
        <v>1.9999999999999796E-2</v>
      </c>
      <c r="AD301" s="1532">
        <f t="shared" si="666"/>
        <v>2.000000000000024E-2</v>
      </c>
      <c r="AE301" s="1532">
        <f t="shared" si="666"/>
        <v>2.0000000000000018E-2</v>
      </c>
      <c r="AF301" s="1532">
        <f t="shared" si="666"/>
        <v>1.9999999999999796E-2</v>
      </c>
      <c r="AG301" s="1532">
        <f t="shared" si="666"/>
        <v>2.0000000000000018E-2</v>
      </c>
      <c r="AH301" s="1972">
        <f>AH294/AG294-1</f>
        <v>1.9999999999999796E-2</v>
      </c>
      <c r="AI301" s="1532">
        <f>AI294/AG294-1</f>
        <v>1.9999999999999796E-2</v>
      </c>
      <c r="AJ301" s="1972">
        <f>AJ294/AI294-1</f>
        <v>2.0000000000000018E-2</v>
      </c>
      <c r="AK301" s="1533">
        <f>AK294/AI294-1</f>
        <v>2.0000000000000018E-2</v>
      </c>
      <c r="AL301" s="1532">
        <f t="shared" si="666"/>
        <v>2.0000000000000018E-2</v>
      </c>
      <c r="AM301" s="1532">
        <f t="shared" si="666"/>
        <v>1.9999999999999796E-2</v>
      </c>
      <c r="AN301" s="1532">
        <f t="shared" si="666"/>
        <v>2.000000000000024E-2</v>
      </c>
      <c r="AO301" s="1532">
        <f t="shared" si="666"/>
        <v>2.0000000000000018E-2</v>
      </c>
      <c r="AP301" s="1532">
        <f t="shared" si="666"/>
        <v>1.9999999999999796E-2</v>
      </c>
    </row>
    <row r="302" spans="2:42" hidden="1" outlineLevel="1">
      <c r="B302" s="1521"/>
    </row>
    <row r="303" spans="2:42" hidden="1" outlineLevel="1">
      <c r="B303" s="1521" t="s">
        <v>1178</v>
      </c>
      <c r="C303" s="1" t="s">
        <v>502</v>
      </c>
    </row>
    <row r="304" spans="2:42" hidden="1" outlineLevel="1">
      <c r="B304" s="1530" t="str">
        <f>B291</f>
        <v>Cost of sales</v>
      </c>
      <c r="C304" s="1443" t="s">
        <v>501</v>
      </c>
      <c r="D304" s="1443"/>
      <c r="E304" s="1443"/>
      <c r="F304" s="1443"/>
      <c r="G304" s="1443"/>
      <c r="H304" s="1443"/>
      <c r="I304" s="1443"/>
      <c r="J304" s="1443"/>
      <c r="K304" s="1443"/>
      <c r="L304" s="1443"/>
      <c r="M304" s="1443"/>
      <c r="N304" s="1443"/>
      <c r="O304" s="1443"/>
      <c r="P304" s="1443"/>
      <c r="Q304" s="1443"/>
      <c r="R304" s="1443"/>
      <c r="S304" s="1534">
        <f t="shared" ref="S304:AC304" si="667">S291/S288</f>
        <v>0.75354420214576334</v>
      </c>
      <c r="T304" s="1534">
        <f t="shared" si="667"/>
        <v>0.77578495088676125</v>
      </c>
      <c r="U304" s="1534">
        <f t="shared" si="667"/>
        <v>0.76034635141956786</v>
      </c>
      <c r="V304" s="1534">
        <f t="shared" si="667"/>
        <v>0.66393134838151169</v>
      </c>
      <c r="W304" s="1534">
        <f t="shared" si="667"/>
        <v>0.69011666606440436</v>
      </c>
      <c r="X304" s="1534">
        <f t="shared" si="667"/>
        <v>0.73051114601456579</v>
      </c>
      <c r="Y304" s="1534">
        <f t="shared" si="667"/>
        <v>0.71467017348509065</v>
      </c>
      <c r="Z304" s="1534">
        <f t="shared" si="667"/>
        <v>0.69913980826011513</v>
      </c>
      <c r="AA304" s="1534">
        <f t="shared" si="667"/>
        <v>0.68391396000033511</v>
      </c>
      <c r="AB304" s="1534">
        <f t="shared" si="667"/>
        <v>0.66898665778486455</v>
      </c>
      <c r="AC304" s="1535">
        <f t="shared" si="667"/>
        <v>0.65435204776969735</v>
      </c>
      <c r="AD304" s="1535">
        <f t="shared" ref="AD304:AE304" si="668">AD291/AD288</f>
        <v>0.64000439089208239</v>
      </c>
      <c r="AE304" s="1535">
        <f t="shared" si="668"/>
        <v>0.62593806061991097</v>
      </c>
      <c r="AF304" s="1535">
        <f t="shared" ref="AF304:AH304" si="669">AF291/AF288</f>
        <v>0.61214754074523303</v>
      </c>
      <c r="AG304" s="1535">
        <f t="shared" si="669"/>
        <v>0.59862742322103901</v>
      </c>
      <c r="AH304" s="1973">
        <f t="shared" si="669"/>
        <v>0.58537240604045659</v>
      </c>
      <c r="AI304" s="1535">
        <f t="shared" ref="AI304:AK304" si="670">AI291/AI288</f>
        <v>0.58537240604045659</v>
      </c>
      <c r="AJ304" s="1973">
        <f t="shared" ref="AJ304" si="671">AJ291/AJ288</f>
        <v>0.57237729115753266</v>
      </c>
      <c r="AK304" s="1536">
        <f t="shared" si="670"/>
        <v>0.57237729115753266</v>
      </c>
      <c r="AL304" s="1535">
        <f t="shared" ref="AL304" si="672">AL291/AL288</f>
        <v>0.55963698244878368</v>
      </c>
      <c r="AM304" s="1535">
        <f t="shared" ref="AM304:AN304" si="673">AM291/AM288</f>
        <v>0.54714648371471608</v>
      </c>
      <c r="AN304" s="1535">
        <f t="shared" si="673"/>
        <v>0.53490089672053209</v>
      </c>
      <c r="AO304" s="1535">
        <f t="shared" ref="AO304" si="674">AO291/AO288</f>
        <v>0.52289541927525374</v>
      </c>
      <c r="AP304" s="1535">
        <f t="shared" ref="AP304" si="675">AP291/AP288</f>
        <v>0.51112534334851023</v>
      </c>
    </row>
    <row r="305" spans="1:65" hidden="1" outlineLevel="1">
      <c r="B305" s="1521" t="str">
        <f>B293</f>
        <v>SG&amp;A expense</v>
      </c>
      <c r="C305" s="1" t="s">
        <v>500</v>
      </c>
      <c r="S305" s="288">
        <f t="shared" ref="S305:AC305" si="676">S293/S288</f>
        <v>0.15711943621993296</v>
      </c>
      <c r="T305" s="288">
        <f t="shared" si="676"/>
        <v>0.14390399192724915</v>
      </c>
      <c r="U305" s="288">
        <f t="shared" si="676"/>
        <v>0.13444512832209407</v>
      </c>
      <c r="V305" s="288">
        <f t="shared" si="676"/>
        <v>0.13163463940460873</v>
      </c>
      <c r="W305" s="288">
        <f t="shared" si="676"/>
        <v>0.13163463940460873</v>
      </c>
      <c r="X305" s="288">
        <f t="shared" si="676"/>
        <v>9.872597955345655E-2</v>
      </c>
      <c r="Y305" s="288">
        <f t="shared" si="676"/>
        <v>9.872597955345655E-2</v>
      </c>
      <c r="Z305" s="288">
        <f t="shared" si="676"/>
        <v>9.872597955345655E-2</v>
      </c>
      <c r="AA305" s="288">
        <f t="shared" si="676"/>
        <v>9.872597955345655E-2</v>
      </c>
      <c r="AB305" s="288">
        <f t="shared" si="676"/>
        <v>9.8725979553456536E-2</v>
      </c>
      <c r="AC305" s="288">
        <f t="shared" si="676"/>
        <v>9.8725979553456522E-2</v>
      </c>
      <c r="AD305" s="288">
        <f t="shared" ref="AD305:AE305" si="677">AD293/AD288</f>
        <v>9.8725979553456522E-2</v>
      </c>
      <c r="AE305" s="288">
        <f t="shared" si="677"/>
        <v>9.8725979553456522E-2</v>
      </c>
      <c r="AF305" s="288">
        <f t="shared" ref="AF305:AH305" si="678">AF293/AF288</f>
        <v>9.8725979553456536E-2</v>
      </c>
      <c r="AG305" s="288">
        <f t="shared" si="678"/>
        <v>9.8725979553456536E-2</v>
      </c>
      <c r="AH305" s="1946">
        <f t="shared" si="678"/>
        <v>9.8725979553456536E-2</v>
      </c>
      <c r="AI305" s="288">
        <f t="shared" ref="AI305:AK305" si="679">AI293/AI288</f>
        <v>9.8725979553456536E-2</v>
      </c>
      <c r="AJ305" s="1946">
        <f t="shared" ref="AJ305" si="680">AJ293/AJ288</f>
        <v>9.8725979553456536E-2</v>
      </c>
      <c r="AK305" s="672">
        <f t="shared" si="679"/>
        <v>9.8725979553456536E-2</v>
      </c>
      <c r="AL305" s="288">
        <f t="shared" ref="AL305" si="681">AL293/AL288</f>
        <v>9.872597955345655E-2</v>
      </c>
      <c r="AM305" s="288">
        <f t="shared" ref="AM305:AN305" si="682">AM293/AM288</f>
        <v>9.872597955345655E-2</v>
      </c>
      <c r="AN305" s="288">
        <f t="shared" si="682"/>
        <v>9.872597955345655E-2</v>
      </c>
      <c r="AO305" s="288">
        <f t="shared" ref="AO305" si="683">AO293/AO288</f>
        <v>9.872597955345655E-2</v>
      </c>
      <c r="AP305" s="288">
        <f t="shared" ref="AP305" si="684">AP293/AP288</f>
        <v>9.8725979553456536E-2</v>
      </c>
    </row>
    <row r="306" spans="1:65" hidden="1" outlineLevel="1">
      <c r="B306" s="1531" t="str">
        <f>B294</f>
        <v>Operating profits</v>
      </c>
      <c r="C306" s="380" t="s">
        <v>499</v>
      </c>
      <c r="D306" s="380"/>
      <c r="E306" s="380"/>
      <c r="F306" s="380"/>
      <c r="G306" s="380"/>
      <c r="H306" s="380"/>
      <c r="I306" s="380"/>
      <c r="J306" s="380"/>
      <c r="K306" s="380"/>
      <c r="L306" s="380"/>
      <c r="M306" s="380"/>
      <c r="N306" s="380"/>
      <c r="O306" s="380"/>
      <c r="P306" s="380"/>
      <c r="Q306" s="380"/>
      <c r="R306" s="380"/>
      <c r="S306" s="1532">
        <f t="shared" ref="S306:AC306" si="685">S294/S288</f>
        <v>9.0190573857101858E-2</v>
      </c>
      <c r="T306" s="1532">
        <f t="shared" si="685"/>
        <v>8.0333081059868902E-2</v>
      </c>
      <c r="U306" s="1532">
        <f t="shared" si="685"/>
        <v>0.10530075988683037</v>
      </c>
      <c r="V306" s="1532">
        <f t="shared" si="685"/>
        <v>0.20457698404842817</v>
      </c>
      <c r="W306" s="1532">
        <f t="shared" si="685"/>
        <v>0.17824869453098688</v>
      </c>
      <c r="X306" s="1532">
        <f t="shared" si="685"/>
        <v>0.17076287443197766</v>
      </c>
      <c r="Y306" s="1532">
        <f t="shared" si="685"/>
        <v>0.17076287443197766</v>
      </c>
      <c r="Z306" s="1532">
        <f t="shared" si="685"/>
        <v>0.17076287443197763</v>
      </c>
      <c r="AA306" s="1532">
        <f t="shared" si="685"/>
        <v>0.17076287443197768</v>
      </c>
      <c r="AB306" s="1532">
        <f t="shared" si="685"/>
        <v>0.17076287443197768</v>
      </c>
      <c r="AC306" s="1532">
        <f t="shared" si="685"/>
        <v>0.17076287443197766</v>
      </c>
      <c r="AD306" s="1532">
        <f t="shared" ref="AD306:AE306" si="686">AD294/AD288</f>
        <v>0.17076287443197768</v>
      </c>
      <c r="AE306" s="1532">
        <f t="shared" si="686"/>
        <v>0.17076287443197768</v>
      </c>
      <c r="AF306" s="1532">
        <f t="shared" ref="AF306:AH306" si="687">AF294/AF288</f>
        <v>0.17076287443197768</v>
      </c>
      <c r="AG306" s="1532">
        <f t="shared" si="687"/>
        <v>0.17076287443197766</v>
      </c>
      <c r="AH306" s="1972">
        <f t="shared" si="687"/>
        <v>0.17076287443197766</v>
      </c>
      <c r="AI306" s="1532">
        <f t="shared" ref="AI306:AK306" si="688">AI294/AI288</f>
        <v>0.17076287443197766</v>
      </c>
      <c r="AJ306" s="1972">
        <f t="shared" ref="AJ306" si="689">AJ294/AJ288</f>
        <v>0.17076287443197766</v>
      </c>
      <c r="AK306" s="1533">
        <f t="shared" si="688"/>
        <v>0.17076287443197766</v>
      </c>
      <c r="AL306" s="1532">
        <f t="shared" ref="AL306" si="690">AL294/AL288</f>
        <v>0.17076287443197763</v>
      </c>
      <c r="AM306" s="1532">
        <f t="shared" ref="AM306:AN306" si="691">AM294/AM288</f>
        <v>0.17076287443197763</v>
      </c>
      <c r="AN306" s="1532">
        <f t="shared" si="691"/>
        <v>0.17076287443197766</v>
      </c>
      <c r="AO306" s="1532">
        <f t="shared" ref="AO306" si="692">AO294/AO288</f>
        <v>0.17076287443197766</v>
      </c>
      <c r="AP306" s="1532">
        <f t="shared" ref="AP306" si="693">AP294/AP288</f>
        <v>0.17076287443197766</v>
      </c>
    </row>
    <row r="307" spans="1:65" hidden="1" outlineLevel="1">
      <c r="B307" s="1521"/>
      <c r="S307" s="288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1946"/>
      <c r="AI307" s="288"/>
      <c r="AJ307" s="1946"/>
      <c r="AK307" s="672"/>
      <c r="AL307" s="288"/>
      <c r="AM307" s="288"/>
      <c r="AN307" s="288"/>
      <c r="AO307" s="288"/>
      <c r="AP307" s="288"/>
    </row>
    <row r="308" spans="1:65" hidden="1" outlineLevel="1">
      <c r="B308" s="1521" t="s">
        <v>1041</v>
      </c>
      <c r="C308" s="1" t="s">
        <v>498</v>
      </c>
      <c r="S308" s="288"/>
      <c r="T308" s="288"/>
      <c r="U308" s="288"/>
      <c r="V308" s="288"/>
      <c r="W308" s="288"/>
      <c r="X308" s="288"/>
      <c r="Y308" s="288"/>
      <c r="Z308" s="288"/>
      <c r="AA308" s="288"/>
      <c r="AB308" s="288"/>
      <c r="AC308" s="288"/>
      <c r="AD308" s="288"/>
      <c r="AE308" s="288"/>
      <c r="AF308" s="288"/>
      <c r="AG308" s="288"/>
      <c r="AH308" s="1946"/>
      <c r="AI308" s="288"/>
      <c r="AJ308" s="1946"/>
      <c r="AK308" s="672"/>
      <c r="AL308" s="288"/>
      <c r="AM308" s="288"/>
      <c r="AN308" s="288"/>
      <c r="AO308" s="288"/>
      <c r="AP308" s="288"/>
    </row>
    <row r="309" spans="1:65" hidden="1" outlineLevel="1">
      <c r="B309" s="1530" t="s">
        <v>1179</v>
      </c>
      <c r="C309" s="1443" t="s">
        <v>497</v>
      </c>
      <c r="D309" s="1443"/>
      <c r="E309" s="1443"/>
      <c r="F309" s="1443"/>
      <c r="G309" s="1443"/>
      <c r="H309" s="1443"/>
      <c r="I309" s="1443"/>
      <c r="J309" s="1443"/>
      <c r="K309" s="1443"/>
      <c r="L309" s="1443"/>
      <c r="M309" s="1537"/>
      <c r="N309" s="1537"/>
      <c r="O309" s="1537"/>
      <c r="P309" s="1537"/>
      <c r="Q309" s="1537"/>
      <c r="R309" s="1537"/>
      <c r="S309" s="1446">
        <v>3.5999999999999997E-2</v>
      </c>
      <c r="T309" s="1446">
        <v>0.05</v>
      </c>
      <c r="U309" s="1446">
        <v>0.08</v>
      </c>
      <c r="V309" s="1446">
        <v>0.03</v>
      </c>
      <c r="W309" s="1446"/>
      <c r="X309" s="1446"/>
      <c r="Y309" s="1446"/>
      <c r="Z309" s="1446"/>
      <c r="AA309" s="1446"/>
      <c r="AB309" s="1446"/>
      <c r="AC309" s="1447"/>
      <c r="AD309" s="1447"/>
      <c r="AE309" s="1447"/>
      <c r="AF309" s="1447"/>
      <c r="AG309" s="1447"/>
      <c r="AH309" s="1963"/>
      <c r="AI309" s="1447"/>
      <c r="AJ309" s="1963"/>
      <c r="AK309" s="1448"/>
      <c r="AL309" s="1447"/>
      <c r="AM309" s="1447"/>
      <c r="AN309" s="1447"/>
      <c r="AO309" s="1447"/>
      <c r="AP309" s="1447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</row>
    <row r="310" spans="1:65" hidden="1" outlineLevel="1">
      <c r="B310" s="1521" t="s">
        <v>1180</v>
      </c>
      <c r="C310" s="1" t="s">
        <v>496</v>
      </c>
      <c r="M310" s="24"/>
      <c r="N310" s="24"/>
      <c r="O310" s="24"/>
      <c r="P310" s="24"/>
      <c r="Q310" s="24"/>
      <c r="R310" s="24"/>
      <c r="S310" s="342">
        <v>-0.05</v>
      </c>
      <c r="T310" s="342">
        <v>0</v>
      </c>
      <c r="U310" s="342">
        <v>-0.02</v>
      </c>
      <c r="V310" s="342">
        <v>0</v>
      </c>
      <c r="W310" s="342"/>
      <c r="X310" s="342"/>
      <c r="Y310" s="342"/>
      <c r="Z310" s="342"/>
      <c r="AA310" s="342"/>
      <c r="AB310" s="342"/>
      <c r="AC310" s="342"/>
      <c r="AD310" s="342"/>
      <c r="AE310" s="342"/>
      <c r="AF310" s="342"/>
      <c r="AG310" s="342"/>
      <c r="AH310" s="1962"/>
      <c r="AI310" s="342"/>
      <c r="AJ310" s="1962"/>
      <c r="AK310" s="365"/>
      <c r="AL310" s="342"/>
      <c r="AM310" s="342"/>
      <c r="AN310" s="342"/>
      <c r="AO310" s="342"/>
      <c r="AP310" s="342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</row>
    <row r="311" spans="1:65" hidden="1" outlineLevel="1">
      <c r="B311" s="1521" t="s">
        <v>1181</v>
      </c>
      <c r="C311" s="1" t="s">
        <v>495</v>
      </c>
      <c r="M311" s="24"/>
      <c r="N311" s="24"/>
      <c r="O311" s="24"/>
      <c r="P311" s="24"/>
      <c r="Q311" s="24"/>
      <c r="R311" s="24"/>
      <c r="S311" s="342"/>
      <c r="T311" s="342"/>
      <c r="U311" s="342">
        <v>0.18</v>
      </c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1962"/>
      <c r="AI311" s="342"/>
      <c r="AJ311" s="1962"/>
      <c r="AK311" s="365"/>
      <c r="AL311" s="342"/>
      <c r="AM311" s="342"/>
      <c r="AN311" s="342"/>
      <c r="AO311" s="342"/>
      <c r="AP311" s="342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</row>
    <row r="312" spans="1:65" hidden="1" outlineLevel="1">
      <c r="B312" s="1531" t="s">
        <v>1182</v>
      </c>
      <c r="C312" s="380" t="s">
        <v>494</v>
      </c>
      <c r="D312" s="380"/>
      <c r="E312" s="380"/>
      <c r="F312" s="380"/>
      <c r="G312" s="380"/>
      <c r="H312" s="380"/>
      <c r="I312" s="380"/>
      <c r="J312" s="380"/>
      <c r="K312" s="380"/>
      <c r="L312" s="380"/>
      <c r="M312" s="1538"/>
      <c r="N312" s="1538"/>
      <c r="O312" s="1538"/>
      <c r="P312" s="1538"/>
      <c r="Q312" s="1538"/>
      <c r="R312" s="1538"/>
      <c r="S312" s="1461"/>
      <c r="T312" s="1461"/>
      <c r="U312" s="1461">
        <v>0.05</v>
      </c>
      <c r="V312" s="1461"/>
      <c r="W312" s="1461"/>
      <c r="X312" s="1461"/>
      <c r="Y312" s="1461"/>
      <c r="Z312" s="1461"/>
      <c r="AA312" s="1461"/>
      <c r="AB312" s="1461"/>
      <c r="AC312" s="1461"/>
      <c r="AD312" s="1461"/>
      <c r="AE312" s="1461"/>
      <c r="AF312" s="1461"/>
      <c r="AG312" s="1461"/>
      <c r="AH312" s="1964"/>
      <c r="AI312" s="1461"/>
      <c r="AJ312" s="1964"/>
      <c r="AK312" s="1462"/>
      <c r="AL312" s="1461"/>
      <c r="AM312" s="1461"/>
      <c r="AN312" s="1461"/>
      <c r="AO312" s="1461"/>
      <c r="AP312" s="1461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</row>
    <row r="313" spans="1:65" hidden="1" outlineLevel="1">
      <c r="B313" s="1338"/>
      <c r="C313" s="1" t="s">
        <v>493</v>
      </c>
      <c r="D313" s="1">
        <f t="shared" ref="D313:AP313" si="694">D7</f>
        <v>1991</v>
      </c>
      <c r="E313" s="1">
        <f t="shared" si="694"/>
        <v>1992</v>
      </c>
      <c r="F313" s="1">
        <f t="shared" si="694"/>
        <v>1993</v>
      </c>
      <c r="G313" s="1">
        <f t="shared" si="694"/>
        <v>1994</v>
      </c>
      <c r="H313" s="1">
        <f t="shared" si="694"/>
        <v>1995</v>
      </c>
      <c r="I313" s="1">
        <f t="shared" si="694"/>
        <v>1996</v>
      </c>
      <c r="J313" s="1">
        <f t="shared" si="694"/>
        <v>1997</v>
      </c>
      <c r="K313" s="1">
        <f t="shared" si="694"/>
        <v>1998</v>
      </c>
      <c r="L313" s="1">
        <f t="shared" si="694"/>
        <v>1999</v>
      </c>
      <c r="M313" s="1">
        <f t="shared" si="694"/>
        <v>2000</v>
      </c>
      <c r="N313" s="1">
        <f t="shared" si="694"/>
        <v>2001</v>
      </c>
      <c r="O313" s="1">
        <f t="shared" si="694"/>
        <v>2002</v>
      </c>
      <c r="P313" s="1">
        <f t="shared" si="694"/>
        <v>2003</v>
      </c>
      <c r="Q313" s="1">
        <f t="shared" si="694"/>
        <v>2004</v>
      </c>
      <c r="R313" s="1">
        <f t="shared" si="694"/>
        <v>2005</v>
      </c>
      <c r="S313" s="1">
        <f t="shared" si="694"/>
        <v>2006</v>
      </c>
      <c r="T313" s="1">
        <f t="shared" si="694"/>
        <v>2007</v>
      </c>
      <c r="U313" s="1">
        <f t="shared" si="694"/>
        <v>2008</v>
      </c>
      <c r="V313" s="1">
        <f t="shared" si="694"/>
        <v>2009</v>
      </c>
      <c r="W313" s="1">
        <f t="shared" si="694"/>
        <v>2010</v>
      </c>
      <c r="X313" s="1">
        <f t="shared" si="694"/>
        <v>2011</v>
      </c>
      <c r="Y313" s="1">
        <f t="shared" si="694"/>
        <v>2012</v>
      </c>
      <c r="Z313" s="1">
        <f t="shared" si="694"/>
        <v>2013</v>
      </c>
      <c r="AA313" s="1">
        <f t="shared" si="694"/>
        <v>2014</v>
      </c>
      <c r="AB313" s="1">
        <f t="shared" si="694"/>
        <v>2015</v>
      </c>
      <c r="AC313" s="1">
        <f t="shared" si="694"/>
        <v>2016</v>
      </c>
      <c r="AD313" s="1">
        <f t="shared" si="694"/>
        <v>2017</v>
      </c>
      <c r="AE313" s="1">
        <f t="shared" si="694"/>
        <v>2018</v>
      </c>
      <c r="AF313" s="1">
        <f t="shared" si="694"/>
        <v>2019</v>
      </c>
      <c r="AG313" s="1">
        <f t="shared" si="694"/>
        <v>2020</v>
      </c>
      <c r="AH313" s="1934">
        <f t="shared" si="694"/>
        <v>2021</v>
      </c>
      <c r="AI313" s="1">
        <f t="shared" si="694"/>
        <v>2021</v>
      </c>
      <c r="AJ313" s="1934">
        <f t="shared" si="694"/>
        <v>2022</v>
      </c>
      <c r="AK313" s="356">
        <f t="shared" si="694"/>
        <v>2022</v>
      </c>
      <c r="AL313" s="1">
        <f t="shared" si="694"/>
        <v>2023</v>
      </c>
      <c r="AM313" s="1">
        <f t="shared" si="694"/>
        <v>2024</v>
      </c>
      <c r="AN313" s="1">
        <f t="shared" si="694"/>
        <v>2025</v>
      </c>
      <c r="AO313" s="1">
        <f t="shared" si="694"/>
        <v>2026</v>
      </c>
      <c r="AP313" s="1">
        <f t="shared" si="694"/>
        <v>2027</v>
      </c>
    </row>
    <row r="314" spans="1:65" hidden="1" outlineLevel="1">
      <c r="A314" s="1539"/>
      <c r="B314" s="1540"/>
      <c r="C314" s="1539" t="s">
        <v>492</v>
      </c>
      <c r="D314" s="1539"/>
      <c r="E314" s="1539"/>
      <c r="F314" s="1539"/>
      <c r="G314" s="1539"/>
      <c r="H314" s="1539"/>
      <c r="I314" s="1539"/>
      <c r="J314" s="1539"/>
      <c r="K314" s="1539"/>
      <c r="L314" s="1539"/>
      <c r="M314" s="1539"/>
      <c r="N314" s="1539"/>
      <c r="O314" s="1539"/>
      <c r="P314" s="1539"/>
      <c r="Q314" s="1539"/>
      <c r="R314" s="1539"/>
      <c r="S314" s="1539"/>
      <c r="T314" s="1539"/>
      <c r="U314" s="1539"/>
      <c r="V314" s="1539"/>
      <c r="W314" s="1539"/>
      <c r="X314" s="1539"/>
      <c r="Y314" s="1539"/>
      <c r="Z314" s="1539"/>
      <c r="AA314" s="1539"/>
      <c r="AB314" s="1539"/>
      <c r="AC314" s="1539"/>
      <c r="AD314" s="1539"/>
      <c r="AE314" s="1539"/>
      <c r="AF314" s="1539"/>
      <c r="AG314" s="1539"/>
      <c r="AH314" s="1974"/>
      <c r="AI314" s="1539"/>
      <c r="AJ314" s="1974"/>
      <c r="AK314" s="1541"/>
      <c r="AL314" s="1539"/>
      <c r="AM314" s="1539"/>
      <c r="AN314" s="1539"/>
      <c r="AO314" s="1539"/>
      <c r="AP314" s="1539"/>
      <c r="AQ314" s="1539"/>
      <c r="AR314" s="1539"/>
      <c r="AS314" s="1539"/>
      <c r="AT314" s="1539"/>
      <c r="AU314" s="1539"/>
      <c r="AV314" s="1539"/>
      <c r="AW314" s="1539"/>
      <c r="AX314" s="1539"/>
      <c r="AY314" s="1539"/>
      <c r="AZ314" s="1539"/>
      <c r="BA314" s="1539"/>
      <c r="BB314" s="1539"/>
      <c r="BC314" s="1539"/>
      <c r="BD314" s="1539"/>
      <c r="BE314" s="1539"/>
      <c r="BF314" s="1539"/>
      <c r="BG314" s="1539"/>
      <c r="BH314" s="1539"/>
      <c r="BI314" s="1539"/>
      <c r="BJ314" s="1539"/>
      <c r="BK314" s="1539"/>
      <c r="BL314" s="1539"/>
      <c r="BM314" s="1539"/>
    </row>
    <row r="315" spans="1:65" hidden="1" outlineLevel="1">
      <c r="B315" s="1338"/>
      <c r="C315" s="1" t="s">
        <v>491</v>
      </c>
    </row>
    <row r="316" spans="1:65" hidden="1" outlineLevel="1">
      <c r="B316" s="1338"/>
      <c r="C316" s="1" t="s">
        <v>490</v>
      </c>
    </row>
    <row r="317" spans="1:65" hidden="1" outlineLevel="1">
      <c r="B317" s="1338"/>
      <c r="D317" s="1339" t="str">
        <f t="shared" ref="D317:L317" si="695">D11</f>
        <v>92/3</v>
      </c>
      <c r="E317" s="1339" t="str">
        <f t="shared" si="695"/>
        <v>93/3</v>
      </c>
      <c r="F317" s="1339" t="str">
        <f t="shared" si="695"/>
        <v>94/3</v>
      </c>
      <c r="G317" s="1339" t="str">
        <f t="shared" si="695"/>
        <v>95/3</v>
      </c>
      <c r="H317" s="1339" t="str">
        <f t="shared" si="695"/>
        <v>96/3</v>
      </c>
      <c r="I317" s="1339" t="str">
        <f t="shared" si="695"/>
        <v>97/3</v>
      </c>
      <c r="J317" s="1339" t="str">
        <f t="shared" si="695"/>
        <v>98/3</v>
      </c>
      <c r="K317" s="1339" t="str">
        <f t="shared" si="695"/>
        <v>99/3</v>
      </c>
      <c r="L317" s="1333">
        <f t="shared" si="695"/>
        <v>36586</v>
      </c>
      <c r="M317" s="1333">
        <v>36951</v>
      </c>
      <c r="N317" s="1333">
        <v>37316</v>
      </c>
      <c r="O317" s="1333">
        <v>37681</v>
      </c>
      <c r="P317" s="1333">
        <v>38047</v>
      </c>
      <c r="Q317" s="1333">
        <v>38412</v>
      </c>
      <c r="R317" s="1333">
        <v>38777</v>
      </c>
      <c r="S317" s="1333">
        <v>39142</v>
      </c>
      <c r="T317" s="1333">
        <v>39508</v>
      </c>
      <c r="U317" s="1333">
        <v>39873</v>
      </c>
      <c r="V317" s="1333">
        <v>40238</v>
      </c>
      <c r="W317" s="1465">
        <f t="shared" ref="W317:AC317" si="696">+W264</f>
        <v>40603</v>
      </c>
      <c r="X317" s="1465">
        <f t="shared" si="696"/>
        <v>40969</v>
      </c>
      <c r="Y317" s="1465" t="str">
        <f t="shared" si="696"/>
        <v>2011/3予</v>
      </c>
      <c r="Z317" s="1465" t="str">
        <f t="shared" si="696"/>
        <v>2011/3予</v>
      </c>
      <c r="AA317" s="1465" t="str">
        <f t="shared" si="696"/>
        <v>2011/3予</v>
      </c>
      <c r="AB317" s="1465" t="str">
        <f t="shared" si="696"/>
        <v>2011/3予</v>
      </c>
      <c r="AC317" s="1465" t="str">
        <f t="shared" si="696"/>
        <v>2011/3予</v>
      </c>
      <c r="AD317" s="1465" t="str">
        <f t="shared" ref="AD317:AE317" si="697">+AD264</f>
        <v>2011/3予</v>
      </c>
      <c r="AE317" s="1465" t="str">
        <f t="shared" si="697"/>
        <v>2011/3予</v>
      </c>
      <c r="AF317" s="1465" t="str">
        <f t="shared" ref="AF317:AH317" si="698">+AF264</f>
        <v>2011/3予</v>
      </c>
      <c r="AG317" s="1465" t="str">
        <f t="shared" si="698"/>
        <v>2011/3予</v>
      </c>
      <c r="AH317" s="1938" t="str">
        <f t="shared" si="698"/>
        <v>2011/3予</v>
      </c>
      <c r="AI317" s="1465" t="str">
        <f t="shared" ref="AI317:AK317" si="699">+AI264</f>
        <v>2011/3予</v>
      </c>
      <c r="AJ317" s="1938" t="str">
        <f t="shared" ref="AJ317" si="700">+AJ264</f>
        <v>2011/3予</v>
      </c>
      <c r="AK317" s="1499" t="str">
        <f t="shared" si="699"/>
        <v>2011/3予</v>
      </c>
      <c r="AL317" s="1465" t="str">
        <f t="shared" ref="AL317" si="701">+AL264</f>
        <v>2011/3予</v>
      </c>
      <c r="AM317" s="1465" t="str">
        <f t="shared" ref="AM317:AN317" si="702">+AM264</f>
        <v>2011/3予</v>
      </c>
      <c r="AN317" s="1465" t="str">
        <f t="shared" si="702"/>
        <v>2011/3予</v>
      </c>
      <c r="AO317" s="1465" t="str">
        <f t="shared" ref="AO317" si="703">+AO264</f>
        <v>2011/3予</v>
      </c>
      <c r="AP317" s="1465" t="str">
        <f t="shared" ref="AP317" si="704">+AP264</f>
        <v>2011/3予</v>
      </c>
      <c r="AQ317" s="1333"/>
      <c r="AR317" s="1333"/>
      <c r="AS317" s="1333"/>
      <c r="AT317" s="1333"/>
      <c r="AU317" s="1333"/>
      <c r="AV317" s="1333"/>
      <c r="AW317" s="1333"/>
      <c r="AX317" s="1333"/>
      <c r="AY317" s="1333"/>
      <c r="AZ317" s="1333"/>
      <c r="BA317" s="1333"/>
      <c r="BB317" s="1333"/>
      <c r="BC317" s="1333"/>
      <c r="BD317" s="1333"/>
      <c r="BE317" s="1333"/>
      <c r="BF317" s="1333"/>
      <c r="BG317" s="1333"/>
      <c r="BH317" s="1333"/>
      <c r="BI317" s="1333"/>
      <c r="BJ317" s="1333"/>
      <c r="BK317" s="1333"/>
      <c r="BL317" s="1333"/>
      <c r="BM317" s="1333"/>
    </row>
    <row r="318" spans="1:65" hidden="1" outlineLevel="1">
      <c r="B318" s="1338"/>
    </row>
    <row r="319" spans="1:65" hidden="1" outlineLevel="1">
      <c r="A319" s="1341"/>
      <c r="B319" s="1500"/>
      <c r="C319" s="1395" t="s">
        <v>282</v>
      </c>
      <c r="D319" s="1501">
        <v>175747</v>
      </c>
      <c r="E319" s="1501">
        <v>181210</v>
      </c>
      <c r="F319" s="1501">
        <v>185141</v>
      </c>
      <c r="G319" s="1501">
        <v>194697</v>
      </c>
      <c r="H319" s="1501">
        <v>200795</v>
      </c>
      <c r="I319" s="1501">
        <v>220431</v>
      </c>
      <c r="J319" s="1501">
        <v>215648</v>
      </c>
      <c r="K319" s="1501">
        <v>205700</v>
      </c>
      <c r="L319" s="1501">
        <v>205213</v>
      </c>
      <c r="M319" s="1501">
        <v>207816</v>
      </c>
      <c r="N319" s="1501">
        <v>211352</v>
      </c>
      <c r="O319" s="1501">
        <v>217691</v>
      </c>
      <c r="P319" s="1501">
        <v>212839</v>
      </c>
      <c r="Q319" s="1501">
        <v>214124</v>
      </c>
      <c r="R319" s="1501">
        <v>218558</v>
      </c>
      <c r="S319" s="1501">
        <v>213814</v>
      </c>
      <c r="T319" s="1501">
        <v>214945</v>
      </c>
      <c r="U319" s="1501">
        <v>216728</v>
      </c>
      <c r="V319" s="1501">
        <v>213538</v>
      </c>
      <c r="W319" s="1501">
        <v>201180</v>
      </c>
      <c r="X319" s="1501">
        <v>206634</v>
      </c>
      <c r="Y319" s="1501"/>
      <c r="Z319" s="1501"/>
      <c r="AA319" s="1501"/>
      <c r="AB319" s="1501"/>
      <c r="AC319" s="1502"/>
      <c r="AD319" s="1502"/>
      <c r="AE319" s="1502"/>
      <c r="AF319" s="1502"/>
      <c r="AG319" s="1502"/>
      <c r="AH319" s="1941"/>
      <c r="AI319" s="1502"/>
      <c r="AJ319" s="1941"/>
      <c r="AK319" s="1503"/>
      <c r="AL319" s="1502"/>
      <c r="AM319" s="1502"/>
      <c r="AN319" s="1502"/>
      <c r="AO319" s="1502"/>
      <c r="AP319" s="1502"/>
      <c r="AQ319" s="1349"/>
      <c r="AR319" s="1349"/>
      <c r="AS319" s="1349"/>
      <c r="AT319" s="1349"/>
      <c r="AU319" s="1349"/>
      <c r="AV319" s="1349"/>
      <c r="AW319" s="1349"/>
      <c r="AX319" s="1349"/>
      <c r="AY319" s="1349"/>
      <c r="AZ319" s="1349"/>
      <c r="BA319" s="1349"/>
      <c r="BB319" s="1349"/>
      <c r="BC319" s="1349"/>
      <c r="BD319" s="1349"/>
      <c r="BE319" s="1349"/>
      <c r="BF319" s="1349"/>
      <c r="BG319" s="1349"/>
      <c r="BH319" s="1349"/>
      <c r="BI319" s="1349"/>
      <c r="BJ319" s="1349"/>
      <c r="BK319" s="1349"/>
      <c r="BL319" s="1349"/>
      <c r="BM319" s="1349"/>
    </row>
    <row r="320" spans="1:65" hidden="1" outlineLevel="1">
      <c r="A320" s="1341"/>
      <c r="B320" s="1350"/>
      <c r="C320" s="1341" t="s">
        <v>197</v>
      </c>
      <c r="D320" s="1349">
        <v>148229</v>
      </c>
      <c r="E320" s="1349">
        <v>151950</v>
      </c>
      <c r="F320" s="1349">
        <v>154188</v>
      </c>
      <c r="G320" s="1349">
        <v>163975</v>
      </c>
      <c r="H320" s="1349">
        <v>170292</v>
      </c>
      <c r="I320" s="1349">
        <v>189177</v>
      </c>
      <c r="J320" s="1349">
        <v>181559</v>
      </c>
      <c r="K320" s="1349">
        <v>164083</v>
      </c>
      <c r="L320" s="1349">
        <v>159202</v>
      </c>
      <c r="M320" s="1349">
        <v>158278</v>
      </c>
      <c r="N320" s="1349">
        <v>136429</v>
      </c>
      <c r="O320" s="1349">
        <v>138297</v>
      </c>
      <c r="P320" s="1349">
        <v>132158</v>
      </c>
      <c r="Q320" s="1349">
        <v>131037</v>
      </c>
      <c r="R320" s="1349">
        <v>129433</v>
      </c>
      <c r="S320" s="1349">
        <v>123889</v>
      </c>
      <c r="T320" s="1349">
        <v>123432</v>
      </c>
      <c r="U320" s="1349">
        <v>128222</v>
      </c>
      <c r="V320" s="1349">
        <v>125229</v>
      </c>
      <c r="W320" s="1349">
        <v>125741</v>
      </c>
      <c r="X320" s="1349">
        <v>130495</v>
      </c>
      <c r="Y320" s="1349"/>
      <c r="Z320" s="1349"/>
      <c r="AA320" s="1349"/>
      <c r="AB320" s="1349"/>
      <c r="AC320" s="1349"/>
      <c r="AD320" s="1349"/>
      <c r="AE320" s="1349"/>
      <c r="AF320" s="1349"/>
      <c r="AG320" s="1349"/>
      <c r="AH320" s="1944"/>
      <c r="AI320" s="1349"/>
      <c r="AJ320" s="1944"/>
      <c r="AK320" s="1355"/>
      <c r="AL320" s="1349"/>
      <c r="AM320" s="1349"/>
      <c r="AN320" s="1349"/>
      <c r="AO320" s="1349"/>
      <c r="AP320" s="1349"/>
      <c r="AQ320" s="1349"/>
      <c r="AR320" s="1349"/>
      <c r="AS320" s="1349"/>
      <c r="AT320" s="1349"/>
      <c r="AU320" s="1349"/>
      <c r="AV320" s="1349"/>
      <c r="AW320" s="1349"/>
      <c r="AX320" s="1349"/>
      <c r="AY320" s="1349"/>
      <c r="AZ320" s="1349"/>
      <c r="BA320" s="1349"/>
      <c r="BB320" s="1349"/>
      <c r="BC320" s="1349"/>
      <c r="BD320" s="1349"/>
      <c r="BE320" s="1349"/>
      <c r="BF320" s="1349"/>
      <c r="BG320" s="1349"/>
      <c r="BH320" s="1349"/>
      <c r="BI320" s="1349"/>
      <c r="BJ320" s="1349"/>
      <c r="BK320" s="1349"/>
      <c r="BL320" s="1349"/>
      <c r="BM320" s="1349"/>
    </row>
    <row r="321" spans="1:65" hidden="1" outlineLevel="1">
      <c r="A321" s="1341"/>
      <c r="B321" s="1350"/>
      <c r="C321" s="1341" t="s">
        <v>489</v>
      </c>
      <c r="D321" s="1349">
        <v>44231</v>
      </c>
      <c r="E321" s="1349">
        <v>46965</v>
      </c>
      <c r="F321" s="1349">
        <v>49628</v>
      </c>
      <c r="G321" s="1349">
        <v>51461</v>
      </c>
      <c r="H321" s="1349">
        <v>52587</v>
      </c>
      <c r="I321" s="1349">
        <v>58569</v>
      </c>
      <c r="J321" s="1349">
        <v>57511</v>
      </c>
      <c r="K321" s="1349">
        <v>59748</v>
      </c>
      <c r="L321" s="1349">
        <v>64552</v>
      </c>
      <c r="M321" s="1349">
        <v>67905</v>
      </c>
      <c r="N321" s="1349">
        <v>74923</v>
      </c>
      <c r="O321" s="1349">
        <v>79393</v>
      </c>
      <c r="P321" s="1349">
        <v>80680</v>
      </c>
      <c r="Q321" s="1349">
        <v>83086</v>
      </c>
      <c r="R321" s="1349">
        <v>89124</v>
      </c>
      <c r="S321" s="1349">
        <v>89924</v>
      </c>
      <c r="T321" s="1349">
        <v>91513</v>
      </c>
      <c r="U321" s="1349">
        <v>88505</v>
      </c>
      <c r="V321" s="1349">
        <v>88308</v>
      </c>
      <c r="W321" s="1349">
        <v>89119</v>
      </c>
      <c r="X321" s="1349">
        <v>90172</v>
      </c>
      <c r="Y321" s="1349"/>
      <c r="Z321" s="1349"/>
      <c r="AA321" s="1349"/>
      <c r="AB321" s="1349"/>
      <c r="AC321" s="1349"/>
      <c r="AD321" s="1349"/>
      <c r="AE321" s="1349"/>
      <c r="AF321" s="1349"/>
      <c r="AG321" s="1349"/>
      <c r="AH321" s="1944"/>
      <c r="AI321" s="1349"/>
      <c r="AJ321" s="1944"/>
      <c r="AK321" s="1355"/>
      <c r="AL321" s="1349"/>
      <c r="AM321" s="1349"/>
      <c r="AN321" s="1349"/>
      <c r="AO321" s="1349"/>
      <c r="AP321" s="1349"/>
      <c r="AQ321" s="1349"/>
      <c r="AR321" s="1349"/>
      <c r="AS321" s="1349"/>
      <c r="AT321" s="1349"/>
      <c r="AU321" s="1349"/>
      <c r="AV321" s="1349"/>
      <c r="AW321" s="1349"/>
      <c r="AX321" s="1349"/>
      <c r="AY321" s="1349"/>
      <c r="AZ321" s="1349"/>
      <c r="BA321" s="1349"/>
      <c r="BB321" s="1349"/>
      <c r="BC321" s="1349"/>
      <c r="BD321" s="1349"/>
      <c r="BE321" s="1349"/>
      <c r="BF321" s="1349"/>
      <c r="BG321" s="1349"/>
      <c r="BH321" s="1349"/>
      <c r="BI321" s="1349"/>
      <c r="BJ321" s="1349"/>
      <c r="BK321" s="1349"/>
      <c r="BL321" s="1349"/>
      <c r="BM321" s="1349"/>
    </row>
    <row r="322" spans="1:65" hidden="1" outlineLevel="1">
      <c r="A322" s="1341"/>
      <c r="B322" s="1350"/>
      <c r="C322" s="1341" t="s">
        <v>488</v>
      </c>
      <c r="D322" s="1349">
        <v>36940</v>
      </c>
      <c r="E322" s="1349">
        <v>41149</v>
      </c>
      <c r="F322" s="1349">
        <v>43319</v>
      </c>
      <c r="G322" s="1349">
        <v>45069</v>
      </c>
      <c r="H322" s="1349">
        <v>47162</v>
      </c>
      <c r="I322" s="1349">
        <v>51682</v>
      </c>
      <c r="J322" s="1349">
        <v>52312</v>
      </c>
      <c r="K322" s="1349">
        <v>51973</v>
      </c>
      <c r="L322" s="1349">
        <v>56542</v>
      </c>
      <c r="M322" s="1349">
        <v>61089</v>
      </c>
      <c r="N322" s="1349">
        <v>69140</v>
      </c>
      <c r="O322" s="1349">
        <v>71580</v>
      </c>
      <c r="P322" s="1349">
        <v>73436</v>
      </c>
      <c r="Q322" s="1349">
        <v>75096</v>
      </c>
      <c r="R322" s="1349">
        <v>81031</v>
      </c>
      <c r="S322" s="1349">
        <v>81181</v>
      </c>
      <c r="T322" s="1349">
        <v>82001</v>
      </c>
      <c r="U322" s="1349">
        <v>74280</v>
      </c>
      <c r="V322" s="1349">
        <v>75130</v>
      </c>
      <c r="W322" s="1349">
        <v>76162</v>
      </c>
      <c r="X322" s="1349">
        <v>78203</v>
      </c>
      <c r="Y322" s="1349"/>
      <c r="Z322" s="1349"/>
      <c r="AA322" s="1349"/>
      <c r="AB322" s="1349"/>
      <c r="AC322" s="1349"/>
      <c r="AD322" s="1349"/>
      <c r="AE322" s="1349"/>
      <c r="AF322" s="1349"/>
      <c r="AG322" s="1349"/>
      <c r="AH322" s="1944"/>
      <c r="AI322" s="1349"/>
      <c r="AJ322" s="1944"/>
      <c r="AK322" s="1355"/>
      <c r="AL322" s="1349"/>
      <c r="AM322" s="1349"/>
      <c r="AN322" s="1349"/>
      <c r="AO322" s="1349"/>
      <c r="AP322" s="1349"/>
      <c r="AQ322" s="1349"/>
      <c r="AR322" s="1349"/>
      <c r="AS322" s="1349"/>
      <c r="AT322" s="1349"/>
      <c r="AU322" s="1349"/>
      <c r="AV322" s="1349"/>
      <c r="AW322" s="1349"/>
      <c r="AX322" s="1349"/>
      <c r="AY322" s="1349"/>
      <c r="AZ322" s="1349"/>
      <c r="BA322" s="1349"/>
      <c r="BB322" s="1349"/>
      <c r="BC322" s="1349"/>
      <c r="BD322" s="1349"/>
      <c r="BE322" s="1349"/>
      <c r="BF322" s="1349"/>
      <c r="BG322" s="1349"/>
      <c r="BH322" s="1349"/>
      <c r="BI322" s="1349"/>
      <c r="BJ322" s="1349"/>
      <c r="BK322" s="1349"/>
      <c r="BL322" s="1349"/>
      <c r="BM322" s="1349"/>
    </row>
    <row r="323" spans="1:65" hidden="1" outlineLevel="1">
      <c r="A323" s="1341"/>
      <c r="B323" s="1350"/>
      <c r="C323" s="1341" t="s">
        <v>177</v>
      </c>
      <c r="D323" s="1349">
        <v>9015</v>
      </c>
      <c r="E323" s="1349">
        <v>9973</v>
      </c>
      <c r="F323" s="1349">
        <v>10407</v>
      </c>
      <c r="G323" s="1349">
        <v>10673</v>
      </c>
      <c r="H323" s="1349">
        <v>10948</v>
      </c>
      <c r="I323" s="1349">
        <v>11746</v>
      </c>
      <c r="J323" s="1349">
        <v>11780</v>
      </c>
      <c r="K323" s="1349">
        <v>11030</v>
      </c>
      <c r="L323" s="1349">
        <v>11128</v>
      </c>
      <c r="M323" s="1349">
        <v>11614</v>
      </c>
      <c r="N323" s="1349">
        <v>14070</v>
      </c>
      <c r="O323" s="1349">
        <v>13890</v>
      </c>
      <c r="P323" s="1349">
        <v>13843</v>
      </c>
      <c r="Q323" s="1349">
        <v>13510</v>
      </c>
      <c r="R323" s="1349">
        <v>13850</v>
      </c>
      <c r="S323" s="1349">
        <v>13660</v>
      </c>
      <c r="T323" s="1349">
        <v>14018</v>
      </c>
      <c r="U323" s="1349">
        <v>14187</v>
      </c>
      <c r="V323" s="1349">
        <v>13920</v>
      </c>
      <c r="W323" s="1349">
        <v>13859</v>
      </c>
      <c r="X323" s="1349">
        <v>14005</v>
      </c>
      <c r="Y323" s="1349"/>
      <c r="Z323" s="1349"/>
      <c r="AA323" s="1349"/>
      <c r="AB323" s="1349"/>
      <c r="AC323" s="1349"/>
      <c r="AD323" s="1349"/>
      <c r="AE323" s="1349"/>
      <c r="AF323" s="1349"/>
      <c r="AG323" s="1349"/>
      <c r="AH323" s="1944"/>
      <c r="AI323" s="1349"/>
      <c r="AJ323" s="1944"/>
      <c r="AK323" s="1355"/>
      <c r="AL323" s="1349"/>
      <c r="AM323" s="1349"/>
      <c r="AN323" s="1349"/>
      <c r="AO323" s="1349"/>
      <c r="AP323" s="1349"/>
      <c r="AQ323" s="1349"/>
      <c r="AR323" s="1349"/>
      <c r="AS323" s="1349"/>
      <c r="AT323" s="1349"/>
      <c r="AU323" s="1349"/>
      <c r="AV323" s="1349"/>
      <c r="AW323" s="1349"/>
      <c r="AX323" s="1349"/>
      <c r="AY323" s="1349"/>
      <c r="AZ323" s="1349"/>
      <c r="BA323" s="1349"/>
      <c r="BB323" s="1349"/>
      <c r="BC323" s="1349"/>
      <c r="BD323" s="1349"/>
      <c r="BE323" s="1349"/>
      <c r="BF323" s="1349"/>
      <c r="BG323" s="1349"/>
      <c r="BH323" s="1349"/>
      <c r="BI323" s="1349"/>
      <c r="BJ323" s="1349"/>
      <c r="BK323" s="1349"/>
      <c r="BL323" s="1349"/>
      <c r="BM323" s="1349"/>
    </row>
    <row r="324" spans="1:65" hidden="1" outlineLevel="1">
      <c r="A324" s="1341"/>
      <c r="B324" s="1350"/>
      <c r="C324" s="1341" t="s">
        <v>487</v>
      </c>
      <c r="D324" s="1349">
        <v>2831</v>
      </c>
      <c r="E324" s="1349">
        <v>4536</v>
      </c>
      <c r="F324" s="1349">
        <v>3748</v>
      </c>
      <c r="G324" s="1349">
        <v>3784</v>
      </c>
      <c r="H324" s="1349">
        <v>3637</v>
      </c>
      <c r="I324" s="1349">
        <v>3760</v>
      </c>
      <c r="J324" s="1349">
        <v>3581</v>
      </c>
      <c r="K324" s="1349">
        <v>3403</v>
      </c>
      <c r="L324" s="1349">
        <v>3372</v>
      </c>
      <c r="M324" s="1349">
        <v>3379</v>
      </c>
      <c r="N324" s="1349">
        <v>3150</v>
      </c>
      <c r="O324" s="1349">
        <v>2546</v>
      </c>
      <c r="P324" s="1349">
        <v>2568</v>
      </c>
      <c r="Q324" s="1349">
        <v>2422</v>
      </c>
      <c r="R324" s="1349">
        <v>2417</v>
      </c>
      <c r="S324" s="1349">
        <v>2204</v>
      </c>
      <c r="T324" s="1349">
        <v>2305</v>
      </c>
      <c r="U324" s="1349">
        <v>2927</v>
      </c>
      <c r="V324" s="1349">
        <v>2936</v>
      </c>
      <c r="W324" s="1349">
        <v>2794</v>
      </c>
      <c r="X324" s="1349">
        <v>3218</v>
      </c>
      <c r="Y324" s="1349"/>
      <c r="Z324" s="1349"/>
      <c r="AA324" s="1349"/>
      <c r="AB324" s="1349"/>
      <c r="AC324" s="1349"/>
      <c r="AD324" s="1349"/>
      <c r="AE324" s="1349"/>
      <c r="AF324" s="1349"/>
      <c r="AG324" s="1349"/>
      <c r="AH324" s="1944"/>
      <c r="AI324" s="1349"/>
      <c r="AJ324" s="1944"/>
      <c r="AK324" s="1355"/>
      <c r="AL324" s="1349"/>
      <c r="AM324" s="1349"/>
      <c r="AN324" s="1349"/>
      <c r="AO324" s="1349"/>
      <c r="AP324" s="1349"/>
      <c r="AQ324" s="1349"/>
      <c r="AR324" s="1349"/>
      <c r="AS324" s="1349"/>
      <c r="AT324" s="1349"/>
      <c r="AU324" s="1349"/>
      <c r="AV324" s="1349"/>
      <c r="AW324" s="1349"/>
      <c r="AX324" s="1349"/>
      <c r="AY324" s="1349"/>
      <c r="AZ324" s="1349"/>
      <c r="BA324" s="1349"/>
      <c r="BB324" s="1349"/>
      <c r="BC324" s="1349"/>
      <c r="BD324" s="1349"/>
      <c r="BE324" s="1349"/>
      <c r="BF324" s="1349"/>
      <c r="BG324" s="1349"/>
      <c r="BH324" s="1349"/>
      <c r="BI324" s="1349"/>
      <c r="BJ324" s="1349"/>
      <c r="BK324" s="1349"/>
      <c r="BL324" s="1349"/>
      <c r="BM324" s="1349"/>
    </row>
    <row r="325" spans="1:65" hidden="1" outlineLevel="1">
      <c r="A325" s="1341"/>
      <c r="B325" s="1350"/>
      <c r="C325" s="1341" t="s">
        <v>173</v>
      </c>
      <c r="D325" s="1349">
        <v>15350</v>
      </c>
      <c r="E325" s="1349">
        <v>16809</v>
      </c>
      <c r="F325" s="1349">
        <v>18577</v>
      </c>
      <c r="G325" s="1349">
        <v>20277</v>
      </c>
      <c r="H325" s="1349">
        <v>21906</v>
      </c>
      <c r="I325" s="1349">
        <v>24914</v>
      </c>
      <c r="J325" s="1349">
        <v>26067</v>
      </c>
      <c r="K325" s="1349">
        <v>27548</v>
      </c>
      <c r="L325" s="1349">
        <v>31974</v>
      </c>
      <c r="M325" s="1349">
        <v>35821</v>
      </c>
      <c r="N325" s="1349">
        <v>40518</v>
      </c>
      <c r="O325" s="1349">
        <v>43166</v>
      </c>
      <c r="P325" s="1349">
        <v>45257</v>
      </c>
      <c r="Q325" s="1349">
        <v>47301</v>
      </c>
      <c r="R325" s="1349">
        <v>52643</v>
      </c>
      <c r="S325" s="1349">
        <v>53190</v>
      </c>
      <c r="T325" s="1349">
        <v>52802</v>
      </c>
      <c r="U325" s="1349">
        <v>43403</v>
      </c>
      <c r="V325" s="1349">
        <v>45303</v>
      </c>
      <c r="W325" s="1349">
        <v>46688</v>
      </c>
      <c r="X325" s="1349">
        <v>48362</v>
      </c>
      <c r="Y325" s="1349"/>
      <c r="Z325" s="1349"/>
      <c r="AA325" s="1349"/>
      <c r="AB325" s="1349"/>
      <c r="AC325" s="1349"/>
      <c r="AD325" s="1349"/>
      <c r="AE325" s="1349"/>
      <c r="AF325" s="1349"/>
      <c r="AG325" s="1349"/>
      <c r="AH325" s="1944"/>
      <c r="AI325" s="1349"/>
      <c r="AJ325" s="1944"/>
      <c r="AK325" s="1355"/>
      <c r="AL325" s="1349"/>
      <c r="AM325" s="1349"/>
      <c r="AN325" s="1349"/>
      <c r="AO325" s="1349"/>
      <c r="AP325" s="1349"/>
      <c r="AQ325" s="1349"/>
      <c r="AR325" s="1349"/>
      <c r="AS325" s="1349"/>
      <c r="AT325" s="1349"/>
      <c r="AU325" s="1349"/>
      <c r="AV325" s="1349"/>
      <c r="AW325" s="1349"/>
      <c r="AX325" s="1349"/>
      <c r="AY325" s="1349"/>
      <c r="AZ325" s="1349"/>
      <c r="BA325" s="1349"/>
      <c r="BB325" s="1349"/>
      <c r="BC325" s="1349"/>
      <c r="BD325" s="1349"/>
      <c r="BE325" s="1349"/>
      <c r="BF325" s="1349"/>
      <c r="BG325" s="1349"/>
      <c r="BH325" s="1349"/>
      <c r="BI325" s="1349"/>
      <c r="BJ325" s="1349"/>
      <c r="BK325" s="1349"/>
      <c r="BL325" s="1349"/>
      <c r="BM325" s="1349"/>
    </row>
    <row r="326" spans="1:65" hidden="1" outlineLevel="1">
      <c r="A326" s="1341"/>
      <c r="B326" s="1350"/>
      <c r="C326" s="1341" t="s">
        <v>171</v>
      </c>
      <c r="D326" s="1349">
        <v>4100</v>
      </c>
      <c r="E326" s="1349">
        <v>4249</v>
      </c>
      <c r="F326" s="1349">
        <v>4641</v>
      </c>
      <c r="G326" s="1349">
        <v>4508</v>
      </c>
      <c r="H326" s="1349">
        <v>4728</v>
      </c>
      <c r="I326" s="1349">
        <v>5290</v>
      </c>
      <c r="J326" s="1349">
        <v>4587</v>
      </c>
      <c r="K326" s="1349">
        <v>4610</v>
      </c>
      <c r="L326" s="1349">
        <v>4917</v>
      </c>
      <c r="M326" s="1349">
        <v>5300</v>
      </c>
      <c r="N326" s="1349">
        <f>3504+1526+1231+78</f>
        <v>6339</v>
      </c>
      <c r="O326" s="1349">
        <f>3490+1807+1388+71</f>
        <v>6756</v>
      </c>
      <c r="P326" s="1349">
        <f>3439+1381+1297+57</f>
        <v>6174</v>
      </c>
      <c r="Q326" s="1349">
        <f>3398+1252+968+73</f>
        <v>5691</v>
      </c>
      <c r="R326" s="1349">
        <f>3314+1261+1082+78</f>
        <v>5735</v>
      </c>
      <c r="S326" s="1349">
        <f>3298+1269+1291+13+49</f>
        <v>5920</v>
      </c>
      <c r="T326" s="1349">
        <f>3333+1468+1290+62</f>
        <v>6153</v>
      </c>
      <c r="U326" s="1349">
        <f>3434+2095+1298+309+132</f>
        <v>7268</v>
      </c>
      <c r="V326" s="1349">
        <f>3408+1918+1300+282+89</f>
        <v>6997</v>
      </c>
      <c r="W326" s="1349">
        <f>3427+1557+1225</f>
        <v>6209</v>
      </c>
      <c r="X326" s="1349">
        <f>3407+1654+1092</f>
        <v>6153</v>
      </c>
      <c r="Y326" s="1349"/>
      <c r="Z326" s="1349"/>
      <c r="AA326" s="1349"/>
      <c r="AB326" s="1349"/>
      <c r="AC326" s="1349"/>
      <c r="AD326" s="1349"/>
      <c r="AE326" s="1349"/>
      <c r="AF326" s="1349"/>
      <c r="AG326" s="1349"/>
      <c r="AH326" s="1944"/>
      <c r="AI326" s="1349"/>
      <c r="AJ326" s="1944"/>
      <c r="AK326" s="1355"/>
      <c r="AL326" s="1349"/>
      <c r="AM326" s="1349"/>
      <c r="AN326" s="1349"/>
      <c r="AO326" s="1349"/>
      <c r="AP326" s="1349"/>
      <c r="AQ326" s="1349"/>
      <c r="AR326" s="1349"/>
      <c r="AS326" s="1349"/>
      <c r="AT326" s="1349"/>
      <c r="AU326" s="1349"/>
      <c r="AV326" s="1349"/>
      <c r="AW326" s="1349"/>
      <c r="AX326" s="1349"/>
      <c r="AY326" s="1349"/>
      <c r="AZ326" s="1349"/>
      <c r="BA326" s="1349"/>
      <c r="BB326" s="1349"/>
      <c r="BC326" s="1349"/>
      <c r="BD326" s="1349"/>
      <c r="BE326" s="1349"/>
      <c r="BF326" s="1349"/>
      <c r="BG326" s="1349"/>
      <c r="BH326" s="1349"/>
      <c r="BI326" s="1349"/>
      <c r="BJ326" s="1349"/>
      <c r="BK326" s="1349"/>
      <c r="BL326" s="1349"/>
      <c r="BM326" s="1349"/>
    </row>
    <row r="327" spans="1:65" hidden="1" outlineLevel="1">
      <c r="A327" s="1341"/>
      <c r="B327" s="1350"/>
      <c r="C327" s="1341" t="s">
        <v>190</v>
      </c>
      <c r="D327" s="1349">
        <v>7291</v>
      </c>
      <c r="E327" s="1349">
        <v>5815</v>
      </c>
      <c r="F327" s="1349">
        <v>6308</v>
      </c>
      <c r="G327" s="1349">
        <v>6392</v>
      </c>
      <c r="H327" s="1349">
        <v>5425</v>
      </c>
      <c r="I327" s="1349">
        <v>6886</v>
      </c>
      <c r="J327" s="1349">
        <v>5198</v>
      </c>
      <c r="K327" s="1349">
        <v>7775</v>
      </c>
      <c r="L327" s="1349">
        <v>8009</v>
      </c>
      <c r="M327" s="1349">
        <v>6816</v>
      </c>
      <c r="N327" s="1349">
        <v>5782</v>
      </c>
      <c r="O327" s="1349">
        <v>7812</v>
      </c>
      <c r="P327" s="1349">
        <v>7244</v>
      </c>
      <c r="Q327" s="1349">
        <v>7989</v>
      </c>
      <c r="R327" s="1349">
        <v>8092</v>
      </c>
      <c r="S327" s="1349">
        <v>8742</v>
      </c>
      <c r="T327" s="1349">
        <v>9511</v>
      </c>
      <c r="U327" s="1349">
        <v>14225</v>
      </c>
      <c r="V327" s="1349">
        <v>12997</v>
      </c>
      <c r="W327" s="1349">
        <v>12957</v>
      </c>
      <c r="X327" s="1349">
        <v>11968</v>
      </c>
      <c r="Y327" s="1349"/>
      <c r="Z327" s="1349"/>
      <c r="AA327" s="1349"/>
      <c r="AB327" s="1349"/>
      <c r="AC327" s="1349"/>
      <c r="AD327" s="1349"/>
      <c r="AE327" s="1349"/>
      <c r="AF327" s="1349"/>
      <c r="AG327" s="1349"/>
      <c r="AH327" s="1944"/>
      <c r="AI327" s="1349"/>
      <c r="AJ327" s="1944"/>
      <c r="AK327" s="1355"/>
      <c r="AL327" s="1349"/>
      <c r="AM327" s="1349"/>
      <c r="AN327" s="1349"/>
      <c r="AO327" s="1349"/>
      <c r="AP327" s="1349"/>
      <c r="AQ327" s="1349"/>
      <c r="AR327" s="1349"/>
      <c r="AS327" s="1349"/>
      <c r="AT327" s="1349"/>
      <c r="AU327" s="1349"/>
      <c r="AV327" s="1349"/>
      <c r="AW327" s="1349"/>
      <c r="AX327" s="1349"/>
      <c r="AY327" s="1349"/>
      <c r="AZ327" s="1349"/>
      <c r="BA327" s="1349"/>
      <c r="BB327" s="1349"/>
      <c r="BC327" s="1349"/>
      <c r="BD327" s="1349"/>
      <c r="BE327" s="1349"/>
      <c r="BF327" s="1349"/>
      <c r="BG327" s="1349"/>
      <c r="BH327" s="1349"/>
      <c r="BI327" s="1349"/>
      <c r="BJ327" s="1349"/>
      <c r="BK327" s="1349"/>
      <c r="BL327" s="1349"/>
      <c r="BM327" s="1349"/>
    </row>
    <row r="328" spans="1:65" hidden="1" outlineLevel="1">
      <c r="A328" s="1341"/>
      <c r="B328" s="1350"/>
      <c r="C328" s="1341" t="s">
        <v>486</v>
      </c>
      <c r="D328" s="1349">
        <v>160</v>
      </c>
      <c r="E328" s="1349">
        <v>-2</v>
      </c>
      <c r="F328" s="1349">
        <v>-145</v>
      </c>
      <c r="G328" s="1349">
        <v>-234</v>
      </c>
      <c r="H328" s="1349">
        <v>-890</v>
      </c>
      <c r="I328" s="1349">
        <v>-984</v>
      </c>
      <c r="J328" s="1349">
        <v>1724</v>
      </c>
      <c r="K328" s="1349">
        <v>-1296</v>
      </c>
      <c r="L328" s="1349">
        <v>-395</v>
      </c>
      <c r="M328" s="1349">
        <v>-599</v>
      </c>
      <c r="N328" s="1349">
        <f>170+701-164-690</f>
        <v>17</v>
      </c>
      <c r="O328" s="1349">
        <f>57+706-132-493</f>
        <v>138</v>
      </c>
      <c r="P328" s="1349">
        <f>64+712-89-495</f>
        <v>192</v>
      </c>
      <c r="Q328" s="1349">
        <f>78+499-84-493</f>
        <v>0</v>
      </c>
      <c r="R328" s="1349">
        <f>79+565-113-294</f>
        <v>237</v>
      </c>
      <c r="S328" s="1349">
        <f>141+597-163-144</f>
        <v>431</v>
      </c>
      <c r="T328" s="1349">
        <f>164+82+1684-262-126</f>
        <v>1542</v>
      </c>
      <c r="U328" s="1349">
        <f>136+64+892-266</f>
        <v>826</v>
      </c>
      <c r="V328" s="1349">
        <f>74+43+1682-264</f>
        <v>1535</v>
      </c>
      <c r="W328" s="1349">
        <f>55+24+1303-268</f>
        <v>1114</v>
      </c>
      <c r="X328" s="1349"/>
      <c r="Y328" s="1349"/>
      <c r="Z328" s="1349"/>
      <c r="AA328" s="1349"/>
      <c r="AB328" s="1349"/>
      <c r="AC328" s="1349"/>
      <c r="AD328" s="1349"/>
      <c r="AE328" s="1349"/>
      <c r="AF328" s="1349"/>
      <c r="AG328" s="1349"/>
      <c r="AH328" s="1944"/>
      <c r="AI328" s="1349"/>
      <c r="AJ328" s="1944"/>
      <c r="AK328" s="1355"/>
      <c r="AL328" s="1349"/>
      <c r="AM328" s="1349"/>
      <c r="AN328" s="1349"/>
      <c r="AO328" s="1349"/>
      <c r="AP328" s="1349"/>
      <c r="AQ328" s="1349"/>
      <c r="AR328" s="1349"/>
      <c r="AS328" s="1349"/>
      <c r="AT328" s="1349"/>
      <c r="AU328" s="1349"/>
      <c r="AV328" s="1349"/>
      <c r="AW328" s="1349"/>
      <c r="AX328" s="1349"/>
      <c r="AY328" s="1349"/>
      <c r="AZ328" s="1349"/>
      <c r="BA328" s="1349"/>
      <c r="BB328" s="1349"/>
      <c r="BC328" s="1349"/>
      <c r="BD328" s="1349"/>
      <c r="BE328" s="1349"/>
      <c r="BF328" s="1349"/>
      <c r="BG328" s="1349"/>
      <c r="BH328" s="1349"/>
      <c r="BI328" s="1349"/>
      <c r="BJ328" s="1349"/>
      <c r="BK328" s="1349"/>
      <c r="BL328" s="1349"/>
      <c r="BM328" s="1349"/>
    </row>
    <row r="329" spans="1:65" hidden="1" outlineLevel="1">
      <c r="A329" s="1341"/>
      <c r="B329" s="1350"/>
      <c r="C329" s="1341" t="s">
        <v>485</v>
      </c>
      <c r="D329" s="1349">
        <f t="shared" ref="D329:X329" si="705">D330-D328-D327</f>
        <v>1486</v>
      </c>
      <c r="E329" s="1349">
        <f t="shared" si="705"/>
        <v>2837</v>
      </c>
      <c r="F329" s="1349">
        <f t="shared" si="705"/>
        <v>2256</v>
      </c>
      <c r="G329" s="1349">
        <f t="shared" si="705"/>
        <v>1919</v>
      </c>
      <c r="H329" s="1349">
        <f t="shared" si="705"/>
        <v>3083</v>
      </c>
      <c r="I329" s="1349">
        <f t="shared" si="705"/>
        <v>1901</v>
      </c>
      <c r="J329" s="1349">
        <f t="shared" si="705"/>
        <v>1256</v>
      </c>
      <c r="K329" s="1349">
        <f t="shared" si="705"/>
        <v>1541</v>
      </c>
      <c r="L329" s="1349">
        <f t="shared" si="705"/>
        <v>841</v>
      </c>
      <c r="M329" s="1349">
        <f t="shared" si="705"/>
        <v>1238</v>
      </c>
      <c r="N329" s="1349">
        <f t="shared" si="705"/>
        <v>855</v>
      </c>
      <c r="O329" s="1349">
        <f t="shared" si="705"/>
        <v>853</v>
      </c>
      <c r="P329" s="1349">
        <f t="shared" si="705"/>
        <v>579</v>
      </c>
      <c r="Q329" s="1349">
        <f t="shared" si="705"/>
        <v>399</v>
      </c>
      <c r="R329" s="1349">
        <f t="shared" si="705"/>
        <v>581</v>
      </c>
      <c r="S329" s="1349">
        <f t="shared" si="705"/>
        <v>569</v>
      </c>
      <c r="T329" s="1349">
        <f t="shared" si="705"/>
        <v>-144</v>
      </c>
      <c r="U329" s="1349">
        <f t="shared" si="705"/>
        <v>807</v>
      </c>
      <c r="V329" s="1349">
        <f t="shared" si="705"/>
        <v>765</v>
      </c>
      <c r="W329" s="1349">
        <f t="shared" si="705"/>
        <v>767</v>
      </c>
      <c r="X329" s="1349">
        <f t="shared" si="705"/>
        <v>-9605</v>
      </c>
      <c r="Y329" s="1349"/>
      <c r="Z329" s="1349"/>
      <c r="AA329" s="1349"/>
      <c r="AB329" s="1349"/>
      <c r="AC329" s="1349"/>
      <c r="AD329" s="1349"/>
      <c r="AE329" s="1349"/>
      <c r="AF329" s="1349"/>
      <c r="AG329" s="1349"/>
      <c r="AH329" s="1944"/>
      <c r="AI329" s="1349"/>
      <c r="AJ329" s="1944"/>
      <c r="AK329" s="1355"/>
      <c r="AL329" s="1349"/>
      <c r="AM329" s="1349"/>
      <c r="AN329" s="1349"/>
      <c r="AO329" s="1349"/>
      <c r="AP329" s="1349"/>
      <c r="AQ329" s="1349"/>
      <c r="AR329" s="1349"/>
      <c r="AS329" s="1349"/>
      <c r="AT329" s="1349"/>
      <c r="AU329" s="1349"/>
      <c r="AV329" s="1349"/>
      <c r="AW329" s="1349"/>
      <c r="AX329" s="1349"/>
      <c r="AY329" s="1349"/>
      <c r="AZ329" s="1349"/>
      <c r="BA329" s="1349"/>
      <c r="BB329" s="1349"/>
      <c r="BC329" s="1349"/>
      <c r="BD329" s="1349"/>
      <c r="BE329" s="1349"/>
      <c r="BF329" s="1349"/>
      <c r="BG329" s="1349"/>
      <c r="BH329" s="1349"/>
      <c r="BI329" s="1349"/>
      <c r="BJ329" s="1349"/>
      <c r="BK329" s="1349"/>
      <c r="BL329" s="1349"/>
      <c r="BM329" s="1349"/>
    </row>
    <row r="330" spans="1:65" hidden="1" outlineLevel="1">
      <c r="A330" s="1341"/>
      <c r="B330" s="1350"/>
      <c r="C330" s="1341" t="s">
        <v>233</v>
      </c>
      <c r="D330" s="1349">
        <v>8937</v>
      </c>
      <c r="E330" s="1349">
        <v>8650</v>
      </c>
      <c r="F330" s="1349">
        <v>8419</v>
      </c>
      <c r="G330" s="1349">
        <v>8077</v>
      </c>
      <c r="H330" s="1349">
        <v>7618</v>
      </c>
      <c r="I330" s="1349">
        <v>7803</v>
      </c>
      <c r="J330" s="1349">
        <v>8178</v>
      </c>
      <c r="K330" s="1349">
        <v>8020</v>
      </c>
      <c r="L330" s="1349">
        <v>8455</v>
      </c>
      <c r="M330" s="1349">
        <v>7455</v>
      </c>
      <c r="N330" s="1349">
        <v>6654</v>
      </c>
      <c r="O330" s="1349">
        <v>8803</v>
      </c>
      <c r="P330" s="1349">
        <v>8015</v>
      </c>
      <c r="Q330" s="1349">
        <v>8388</v>
      </c>
      <c r="R330" s="1349">
        <v>8910</v>
      </c>
      <c r="S330" s="1349">
        <v>9742</v>
      </c>
      <c r="T330" s="1349">
        <v>10909</v>
      </c>
      <c r="U330" s="1349">
        <v>15858</v>
      </c>
      <c r="V330" s="1349">
        <v>15297</v>
      </c>
      <c r="W330" s="1349">
        <v>14838</v>
      </c>
      <c r="X330" s="1349">
        <f>51+26+2489-203</f>
        <v>2363</v>
      </c>
      <c r="Y330" s="1349"/>
      <c r="Z330" s="1349"/>
      <c r="AA330" s="1349"/>
      <c r="AB330" s="1349"/>
      <c r="AC330" s="1349"/>
      <c r="AD330" s="1349"/>
      <c r="AE330" s="1349"/>
      <c r="AF330" s="1349"/>
      <c r="AG330" s="1349"/>
      <c r="AH330" s="1944"/>
      <c r="AI330" s="1349"/>
      <c r="AJ330" s="1944"/>
      <c r="AK330" s="1355"/>
      <c r="AL330" s="1349"/>
      <c r="AM330" s="1349"/>
      <c r="AN330" s="1349"/>
      <c r="AO330" s="1349"/>
      <c r="AP330" s="1349"/>
      <c r="AQ330" s="1349"/>
      <c r="AR330" s="1349"/>
      <c r="AS330" s="1349"/>
      <c r="AT330" s="1349"/>
      <c r="AU330" s="1349"/>
      <c r="AV330" s="1349"/>
      <c r="AW330" s="1349"/>
      <c r="AX330" s="1349"/>
      <c r="AY330" s="1349"/>
      <c r="AZ330" s="1349"/>
      <c r="BA330" s="1349"/>
      <c r="BB330" s="1349"/>
      <c r="BC330" s="1349"/>
      <c r="BD330" s="1349"/>
      <c r="BE330" s="1349"/>
      <c r="BF330" s="1349"/>
      <c r="BG330" s="1349"/>
      <c r="BH330" s="1349"/>
      <c r="BI330" s="1349"/>
      <c r="BJ330" s="1349"/>
      <c r="BK330" s="1349"/>
      <c r="BL330" s="1349"/>
      <c r="BM330" s="1349"/>
    </row>
    <row r="331" spans="1:65" hidden="1" outlineLevel="1">
      <c r="A331" s="1341"/>
      <c r="B331" s="1350"/>
      <c r="C331" s="1341" t="s">
        <v>231</v>
      </c>
      <c r="D331" s="1349">
        <v>4697</v>
      </c>
      <c r="E331" s="1349">
        <v>10050</v>
      </c>
      <c r="F331" s="1349">
        <v>250</v>
      </c>
      <c r="G331" s="1349">
        <v>23</v>
      </c>
      <c r="H331" s="1349">
        <v>19</v>
      </c>
      <c r="I331" s="1349">
        <v>436</v>
      </c>
      <c r="J331" s="1349">
        <v>73</v>
      </c>
      <c r="K331" s="1349">
        <v>420</v>
      </c>
      <c r="L331" s="1349">
        <v>164</v>
      </c>
      <c r="M331" s="1349">
        <v>53</v>
      </c>
      <c r="N331" s="1349">
        <v>1185</v>
      </c>
      <c r="O331" s="1349">
        <v>273</v>
      </c>
      <c r="P331" s="1349">
        <v>1333</v>
      </c>
      <c r="Q331" s="1349">
        <v>5776</v>
      </c>
      <c r="R331" s="1349">
        <v>6093</v>
      </c>
      <c r="S331" s="1349">
        <v>941</v>
      </c>
      <c r="T331" s="1349">
        <v>862</v>
      </c>
      <c r="U331" s="1349">
        <v>38</v>
      </c>
      <c r="V331" s="1349">
        <v>562</v>
      </c>
      <c r="W331" s="1349">
        <v>331</v>
      </c>
      <c r="X331" s="1349">
        <v>448</v>
      </c>
      <c r="Y331" s="1349"/>
      <c r="Z331" s="1349"/>
      <c r="AA331" s="1349"/>
      <c r="AB331" s="1349"/>
      <c r="AC331" s="1349"/>
      <c r="AD331" s="1349"/>
      <c r="AE331" s="1349"/>
      <c r="AF331" s="1349"/>
      <c r="AG331" s="1349"/>
      <c r="AH331" s="1944"/>
      <c r="AI331" s="1349"/>
      <c r="AJ331" s="1944"/>
      <c r="AK331" s="1355"/>
      <c r="AL331" s="1349"/>
      <c r="AM331" s="1349"/>
      <c r="AN331" s="1349"/>
      <c r="AO331" s="1349"/>
      <c r="AP331" s="1349"/>
      <c r="AQ331" s="1349"/>
      <c r="AR331" s="1349"/>
      <c r="AS331" s="1349"/>
      <c r="AT331" s="1349"/>
      <c r="AU331" s="1349"/>
      <c r="AV331" s="1349"/>
      <c r="AW331" s="1349"/>
      <c r="AX331" s="1349"/>
      <c r="AY331" s="1349"/>
      <c r="AZ331" s="1349"/>
      <c r="BA331" s="1349"/>
      <c r="BB331" s="1349"/>
      <c r="BC331" s="1349"/>
      <c r="BD331" s="1349"/>
      <c r="BE331" s="1349"/>
      <c r="BF331" s="1349"/>
      <c r="BG331" s="1349"/>
      <c r="BH331" s="1349"/>
      <c r="BI331" s="1349"/>
      <c r="BJ331" s="1349"/>
      <c r="BK331" s="1349"/>
      <c r="BL331" s="1349"/>
      <c r="BM331" s="1349"/>
    </row>
    <row r="332" spans="1:65" hidden="1" outlineLevel="1">
      <c r="A332" s="1341"/>
      <c r="B332" s="1350"/>
      <c r="C332" s="1341" t="s">
        <v>229</v>
      </c>
      <c r="D332" s="1349">
        <v>4648</v>
      </c>
      <c r="E332" s="1349">
        <v>4877</v>
      </c>
      <c r="F332" s="1349">
        <v>114</v>
      </c>
      <c r="G332" s="1349">
        <v>619</v>
      </c>
      <c r="H332" s="1349">
        <v>78</v>
      </c>
      <c r="I332" s="1349">
        <v>1190</v>
      </c>
      <c r="J332" s="1349">
        <v>2555</v>
      </c>
      <c r="K332" s="1349">
        <v>2194</v>
      </c>
      <c r="L332" s="1349">
        <v>4308</v>
      </c>
      <c r="M332" s="1349">
        <v>12599</v>
      </c>
      <c r="N332" s="1349">
        <v>5505</v>
      </c>
      <c r="O332" s="1349">
        <v>4732</v>
      </c>
      <c r="P332" s="1349">
        <v>1284</v>
      </c>
      <c r="Q332" s="1349">
        <v>4802</v>
      </c>
      <c r="R332" s="1349">
        <v>2713</v>
      </c>
      <c r="S332" s="1349">
        <v>4890</v>
      </c>
      <c r="T332" s="1349">
        <v>1645</v>
      </c>
      <c r="U332" s="1349">
        <v>2124</v>
      </c>
      <c r="V332" s="1349">
        <v>1548</v>
      </c>
      <c r="W332" s="1349">
        <v>5128</v>
      </c>
      <c r="X332" s="1349">
        <v>419</v>
      </c>
      <c r="Y332" s="1349"/>
      <c r="Z332" s="1349"/>
      <c r="AA332" s="1349"/>
      <c r="AB332" s="1349"/>
      <c r="AC332" s="1349"/>
      <c r="AD332" s="1349"/>
      <c r="AE332" s="1349"/>
      <c r="AF332" s="1349"/>
      <c r="AG332" s="1349"/>
      <c r="AH332" s="1944"/>
      <c r="AI332" s="1349"/>
      <c r="AJ332" s="1944"/>
      <c r="AK332" s="1355"/>
      <c r="AL332" s="1349"/>
      <c r="AM332" s="1349"/>
      <c r="AN332" s="1349"/>
      <c r="AO332" s="1349"/>
      <c r="AP332" s="1349"/>
      <c r="AQ332" s="1349"/>
      <c r="AR332" s="1349"/>
      <c r="AS332" s="1349"/>
      <c r="AT332" s="1349"/>
      <c r="AU332" s="1349"/>
      <c r="AV332" s="1349"/>
      <c r="AW332" s="1349"/>
      <c r="AX332" s="1349"/>
      <c r="AY332" s="1349"/>
      <c r="AZ332" s="1349"/>
      <c r="BA332" s="1349"/>
      <c r="BB332" s="1349"/>
      <c r="BC332" s="1349"/>
      <c r="BD332" s="1349"/>
      <c r="BE332" s="1349"/>
      <c r="BF332" s="1349"/>
      <c r="BG332" s="1349"/>
      <c r="BH332" s="1349"/>
      <c r="BI332" s="1349"/>
      <c r="BJ332" s="1349"/>
      <c r="BK332" s="1349"/>
      <c r="BL332" s="1349"/>
      <c r="BM332" s="1349"/>
    </row>
    <row r="333" spans="1:65" hidden="1" outlineLevel="1">
      <c r="A333" s="1341"/>
      <c r="B333" s="1350"/>
      <c r="C333" s="1341" t="s">
        <v>484</v>
      </c>
      <c r="D333" s="1349">
        <v>8986</v>
      </c>
      <c r="E333" s="1349">
        <v>13822</v>
      </c>
      <c r="F333" s="1349">
        <v>8555</v>
      </c>
      <c r="G333" s="1349">
        <v>7481</v>
      </c>
      <c r="H333" s="1349">
        <v>7559</v>
      </c>
      <c r="I333" s="1349">
        <v>7050</v>
      </c>
      <c r="J333" s="1349">
        <v>5697</v>
      </c>
      <c r="K333" s="1349">
        <v>6246</v>
      </c>
      <c r="L333" s="1349">
        <v>4311</v>
      </c>
      <c r="M333" s="1349">
        <v>-5090</v>
      </c>
      <c r="N333" s="1349">
        <v>2334</v>
      </c>
      <c r="O333" s="1349">
        <v>4344</v>
      </c>
      <c r="P333" s="1349">
        <v>8064</v>
      </c>
      <c r="Q333" s="1349">
        <v>9363</v>
      </c>
      <c r="R333" s="1349">
        <v>12290</v>
      </c>
      <c r="S333" s="1349">
        <v>5792</v>
      </c>
      <c r="T333" s="1349">
        <v>10126</v>
      </c>
      <c r="U333" s="1349">
        <v>13771</v>
      </c>
      <c r="V333" s="1349">
        <v>14310</v>
      </c>
      <c r="W333" s="1349">
        <v>10041</v>
      </c>
      <c r="X333" s="1349">
        <v>15637</v>
      </c>
      <c r="Y333" s="1349"/>
      <c r="Z333" s="1349"/>
      <c r="AA333" s="1349"/>
      <c r="AB333" s="1349"/>
      <c r="AC333" s="1349"/>
      <c r="AD333" s="1349"/>
      <c r="AE333" s="1349"/>
      <c r="AF333" s="1349"/>
      <c r="AG333" s="1349"/>
      <c r="AH333" s="1944"/>
      <c r="AI333" s="1349"/>
      <c r="AJ333" s="1944"/>
      <c r="AK333" s="1355"/>
      <c r="AL333" s="1349"/>
      <c r="AM333" s="1349"/>
      <c r="AN333" s="1349"/>
      <c r="AO333" s="1349"/>
      <c r="AP333" s="1349"/>
      <c r="AQ333" s="1349"/>
      <c r="AR333" s="1349"/>
      <c r="AS333" s="1349"/>
      <c r="AT333" s="1349"/>
      <c r="AU333" s="1349"/>
      <c r="AV333" s="1349"/>
      <c r="AW333" s="1349"/>
      <c r="AX333" s="1349"/>
      <c r="AY333" s="1349"/>
      <c r="AZ333" s="1349"/>
      <c r="BA333" s="1349"/>
      <c r="BB333" s="1349"/>
      <c r="BC333" s="1349"/>
      <c r="BD333" s="1349"/>
      <c r="BE333" s="1349"/>
      <c r="BF333" s="1349"/>
      <c r="BG333" s="1349"/>
      <c r="BH333" s="1349"/>
      <c r="BI333" s="1349"/>
      <c r="BJ333" s="1349"/>
      <c r="BK333" s="1349"/>
      <c r="BL333" s="1349"/>
      <c r="BM333" s="1349"/>
    </row>
    <row r="334" spans="1:65" hidden="1" outlineLevel="1">
      <c r="A334" s="1341"/>
      <c r="B334" s="1350"/>
      <c r="C334" s="1341" t="s">
        <v>186</v>
      </c>
      <c r="D334" s="1349">
        <v>3902</v>
      </c>
      <c r="E334" s="1349">
        <v>3950</v>
      </c>
      <c r="F334" s="1349">
        <v>3421</v>
      </c>
      <c r="G334" s="1349">
        <v>3421</v>
      </c>
      <c r="H334" s="1349">
        <v>3450</v>
      </c>
      <c r="I334" s="1349">
        <v>3340</v>
      </c>
      <c r="J334" s="1349">
        <v>2110</v>
      </c>
      <c r="K334" s="1349">
        <v>3612</v>
      </c>
      <c r="L334" s="1349">
        <v>1862</v>
      </c>
      <c r="M334" s="1349">
        <v>-1943</v>
      </c>
      <c r="N334" s="1349">
        <f>2337-1390</f>
        <v>947</v>
      </c>
      <c r="O334" s="1349">
        <f>3283-1140</f>
        <v>2143</v>
      </c>
      <c r="P334" s="1349">
        <f>3273+110</f>
        <v>3383</v>
      </c>
      <c r="Q334" s="1349">
        <f>1957+2208</f>
        <v>4165</v>
      </c>
      <c r="R334" s="1349">
        <f>3146+2191</f>
        <v>5337</v>
      </c>
      <c r="S334" s="1349">
        <v>4728</v>
      </c>
      <c r="T334" s="1349">
        <v>4929</v>
      </c>
      <c r="U334" s="1349">
        <v>5666</v>
      </c>
      <c r="V334" s="1349">
        <v>4999</v>
      </c>
      <c r="W334" s="1349">
        <v>4187</v>
      </c>
      <c r="X334" s="1349">
        <v>4814</v>
      </c>
      <c r="Y334" s="1349"/>
      <c r="Z334" s="1349"/>
      <c r="AA334" s="1349"/>
      <c r="AB334" s="1349"/>
      <c r="AC334" s="1349"/>
      <c r="AD334" s="1349"/>
      <c r="AE334" s="1349"/>
      <c r="AF334" s="1349"/>
      <c r="AG334" s="1349"/>
      <c r="AH334" s="1944"/>
      <c r="AI334" s="1349"/>
      <c r="AJ334" s="1944"/>
      <c r="AK334" s="1355"/>
      <c r="AL334" s="1349"/>
      <c r="AM334" s="1349"/>
      <c r="AN334" s="1349"/>
      <c r="AO334" s="1349"/>
      <c r="AP334" s="1349"/>
      <c r="AQ334" s="1349"/>
      <c r="AR334" s="1349"/>
      <c r="AS334" s="1349"/>
      <c r="AT334" s="1349"/>
      <c r="AU334" s="1349"/>
      <c r="AV334" s="1349"/>
      <c r="AW334" s="1349"/>
      <c r="AX334" s="1349"/>
      <c r="AY334" s="1349"/>
      <c r="AZ334" s="1349"/>
      <c r="BA334" s="1349"/>
      <c r="BB334" s="1349"/>
      <c r="BC334" s="1349"/>
      <c r="BD334" s="1349"/>
      <c r="BE334" s="1349"/>
      <c r="BF334" s="1349"/>
      <c r="BG334" s="1349"/>
      <c r="BH334" s="1349"/>
      <c r="BI334" s="1349"/>
      <c r="BJ334" s="1349"/>
      <c r="BK334" s="1349"/>
      <c r="BL334" s="1349"/>
      <c r="BM334" s="1349"/>
    </row>
    <row r="335" spans="1:65" hidden="1" outlineLevel="1">
      <c r="A335" s="1341"/>
      <c r="B335" s="1485"/>
      <c r="C335" s="1484" t="s">
        <v>468</v>
      </c>
      <c r="D335" s="1353">
        <v>5084</v>
      </c>
      <c r="E335" s="1353">
        <v>9872</v>
      </c>
      <c r="F335" s="1353">
        <v>5134</v>
      </c>
      <c r="G335" s="1353">
        <v>4059</v>
      </c>
      <c r="H335" s="1353">
        <v>4108</v>
      </c>
      <c r="I335" s="1353">
        <v>3709</v>
      </c>
      <c r="J335" s="1353">
        <v>3586</v>
      </c>
      <c r="K335" s="1353">
        <v>2633</v>
      </c>
      <c r="L335" s="1353">
        <v>2449</v>
      </c>
      <c r="M335" s="1353">
        <v>-3148</v>
      </c>
      <c r="N335" s="1353">
        <f>N333-N334</f>
        <v>1387</v>
      </c>
      <c r="O335" s="1353">
        <v>2202</v>
      </c>
      <c r="P335" s="1353">
        <v>4679</v>
      </c>
      <c r="Q335" s="1353">
        <v>5197</v>
      </c>
      <c r="R335" s="1353">
        <v>6952</v>
      </c>
      <c r="S335" s="1353">
        <v>1064</v>
      </c>
      <c r="T335" s="1353">
        <v>5196</v>
      </c>
      <c r="U335" s="1353">
        <v>8104</v>
      </c>
      <c r="V335" s="1353">
        <v>9311</v>
      </c>
      <c r="W335" s="1353">
        <v>5853</v>
      </c>
      <c r="X335" s="1353">
        <v>10823</v>
      </c>
      <c r="Y335" s="1353"/>
      <c r="Z335" s="1353"/>
      <c r="AA335" s="1353"/>
      <c r="AB335" s="1353"/>
      <c r="AC335" s="1353"/>
      <c r="AD335" s="1353"/>
      <c r="AE335" s="1353"/>
      <c r="AF335" s="1353"/>
      <c r="AG335" s="1353"/>
      <c r="AH335" s="1943"/>
      <c r="AI335" s="1353"/>
      <c r="AJ335" s="1943"/>
      <c r="AK335" s="1354"/>
      <c r="AL335" s="1353"/>
      <c r="AM335" s="1353"/>
      <c r="AN335" s="1353"/>
      <c r="AO335" s="1353"/>
      <c r="AP335" s="1353"/>
      <c r="AQ335" s="1349"/>
      <c r="AR335" s="1349"/>
      <c r="AS335" s="1349"/>
      <c r="AT335" s="1349"/>
      <c r="AU335" s="1349"/>
      <c r="AV335" s="1349"/>
      <c r="AW335" s="1349"/>
      <c r="AX335" s="1349"/>
      <c r="AY335" s="1349"/>
      <c r="AZ335" s="1349"/>
      <c r="BA335" s="1349"/>
      <c r="BB335" s="1349"/>
      <c r="BC335" s="1349"/>
      <c r="BD335" s="1349"/>
      <c r="BE335" s="1349"/>
      <c r="BF335" s="1349"/>
      <c r="BG335" s="1349"/>
      <c r="BH335" s="1349"/>
      <c r="BI335" s="1349"/>
      <c r="BJ335" s="1349"/>
      <c r="BK335" s="1349"/>
      <c r="BL335" s="1349"/>
      <c r="BM335" s="1349"/>
    </row>
    <row r="336" spans="1:65" hidden="1" outlineLevel="1">
      <c r="A336" s="1341"/>
      <c r="B336" s="1350"/>
      <c r="C336" s="1341"/>
      <c r="D336" s="1341"/>
      <c r="E336" s="1341"/>
      <c r="F336" s="1341"/>
      <c r="G336" s="1341"/>
      <c r="H336" s="1341"/>
      <c r="I336" s="1341"/>
      <c r="J336" s="1341"/>
      <c r="K336" s="1341"/>
      <c r="L336" s="1341"/>
      <c r="M336" s="1341"/>
      <c r="N336" s="1341"/>
      <c r="O336" s="1341"/>
      <c r="P336" s="1341"/>
      <c r="Q336" s="1341"/>
      <c r="R336" s="1341"/>
      <c r="S336" s="1341"/>
      <c r="T336" s="1341"/>
      <c r="U336" s="1341"/>
      <c r="V336" s="1341"/>
      <c r="W336" s="1341"/>
      <c r="X336" s="1341"/>
      <c r="Y336" s="1341"/>
      <c r="Z336" s="1341"/>
      <c r="AA336" s="1341"/>
      <c r="AB336" s="1341"/>
      <c r="AC336" s="1341"/>
      <c r="AD336" s="1341"/>
      <c r="AE336" s="1341"/>
      <c r="AF336" s="1341"/>
      <c r="AG336" s="1341"/>
      <c r="AH336" s="1950"/>
      <c r="AI336" s="1341"/>
      <c r="AJ336" s="1950"/>
      <c r="AK336" s="1399"/>
      <c r="AL336" s="1341"/>
      <c r="AM336" s="1341"/>
      <c r="AN336" s="1341"/>
      <c r="AO336" s="1341"/>
      <c r="AP336" s="1341"/>
      <c r="AQ336" s="1341"/>
      <c r="AR336" s="1341"/>
      <c r="AS336" s="1341"/>
      <c r="AT336" s="1341"/>
      <c r="AU336" s="1341"/>
      <c r="AV336" s="1341"/>
      <c r="AW336" s="1341"/>
      <c r="AX336" s="1341"/>
      <c r="AY336" s="1341"/>
      <c r="AZ336" s="1341"/>
      <c r="BA336" s="1341"/>
      <c r="BB336" s="1341"/>
      <c r="BC336" s="1341"/>
      <c r="BD336" s="1341"/>
      <c r="BE336" s="1341"/>
      <c r="BF336" s="1341"/>
      <c r="BG336" s="1341"/>
      <c r="BH336" s="1341"/>
      <c r="BI336" s="1341"/>
      <c r="BJ336" s="1341"/>
      <c r="BK336" s="1341"/>
      <c r="BL336" s="1341"/>
      <c r="BM336" s="1341"/>
    </row>
    <row r="337" spans="1:65" hidden="1" outlineLevel="1">
      <c r="A337" s="1341"/>
      <c r="B337" s="1500"/>
      <c r="C337" s="1395" t="s">
        <v>4</v>
      </c>
      <c r="D337" s="1395">
        <v>11886</v>
      </c>
      <c r="E337" s="1395">
        <v>11060</v>
      </c>
      <c r="F337" s="1395">
        <v>11575</v>
      </c>
      <c r="G337" s="1395">
        <v>11673</v>
      </c>
      <c r="H337" s="1395">
        <v>10646</v>
      </c>
      <c r="I337" s="1395">
        <v>11744</v>
      </c>
      <c r="J337" s="1395">
        <v>10558</v>
      </c>
      <c r="K337" s="1395">
        <v>13616</v>
      </c>
      <c r="L337" s="1395">
        <v>13469</v>
      </c>
      <c r="M337" s="1395">
        <v>11752</v>
      </c>
      <c r="N337" s="1395">
        <v>10313</v>
      </c>
      <c r="O337" s="1395">
        <v>12112</v>
      </c>
      <c r="P337" s="1395">
        <v>11249</v>
      </c>
      <c r="Q337" s="1395" t="e">
        <v>#REF!</v>
      </c>
      <c r="R337" s="1395" t="e">
        <v>#REF!</v>
      </c>
      <c r="S337" s="1395" t="e">
        <v>#REF!</v>
      </c>
      <c r="T337" s="1395" t="e">
        <v>#REF!</v>
      </c>
      <c r="U337" s="1395" t="e">
        <v>#REF!</v>
      </c>
      <c r="V337" s="1395">
        <v>16797</v>
      </c>
      <c r="W337" s="1395"/>
      <c r="X337" s="1395"/>
      <c r="Y337" s="1395"/>
      <c r="Z337" s="1395"/>
      <c r="AA337" s="1395"/>
      <c r="AB337" s="1395"/>
      <c r="AC337" s="1396"/>
      <c r="AD337" s="1396"/>
      <c r="AE337" s="1396"/>
      <c r="AF337" s="1396"/>
      <c r="AG337" s="1396"/>
      <c r="AH337" s="1951"/>
      <c r="AI337" s="1396"/>
      <c r="AJ337" s="1951"/>
      <c r="AK337" s="1397"/>
      <c r="AL337" s="1396"/>
      <c r="AM337" s="1396"/>
      <c r="AN337" s="1396"/>
      <c r="AO337" s="1396"/>
      <c r="AP337" s="1396"/>
      <c r="AQ337" s="1341"/>
      <c r="AR337" s="1341"/>
      <c r="AS337" s="1341"/>
      <c r="AT337" s="1341"/>
      <c r="AU337" s="1341"/>
      <c r="AV337" s="1341"/>
      <c r="AW337" s="1341"/>
      <c r="AX337" s="1341"/>
      <c r="AY337" s="1341"/>
      <c r="AZ337" s="1341"/>
      <c r="BA337" s="1341"/>
      <c r="BB337" s="1341"/>
      <c r="BC337" s="1341"/>
      <c r="BD337" s="1341"/>
      <c r="BE337" s="1341"/>
      <c r="BF337" s="1341"/>
      <c r="BG337" s="1341"/>
      <c r="BH337" s="1341"/>
      <c r="BI337" s="1341"/>
      <c r="BJ337" s="1341"/>
      <c r="BK337" s="1341"/>
      <c r="BL337" s="1341"/>
      <c r="BM337" s="1341"/>
    </row>
    <row r="338" spans="1:65" hidden="1" outlineLevel="1">
      <c r="A338" s="1341"/>
      <c r="B338" s="1485"/>
      <c r="C338" s="1484" t="s">
        <v>483</v>
      </c>
      <c r="D338" s="1519">
        <f t="shared" ref="D338:V338" si="706">D337/D319*100</f>
        <v>6.76313109185363</v>
      </c>
      <c r="E338" s="1519">
        <f t="shared" si="706"/>
        <v>6.1034159262733843</v>
      </c>
      <c r="F338" s="1519">
        <f t="shared" si="706"/>
        <v>6.251991725225639</v>
      </c>
      <c r="G338" s="1519">
        <f t="shared" si="706"/>
        <v>5.9954698839735592</v>
      </c>
      <c r="H338" s="1519">
        <f t="shared" si="706"/>
        <v>5.3019248487263129</v>
      </c>
      <c r="I338" s="1519">
        <f t="shared" si="706"/>
        <v>5.3277442827914401</v>
      </c>
      <c r="J338" s="1519">
        <f t="shared" si="706"/>
        <v>4.8959415343522776</v>
      </c>
      <c r="K338" s="1519">
        <f t="shared" si="706"/>
        <v>6.619348565872631</v>
      </c>
      <c r="L338" s="1519">
        <f t="shared" si="706"/>
        <v>6.5634243444616072</v>
      </c>
      <c r="M338" s="1519">
        <f t="shared" si="706"/>
        <v>5.6550025022134962</v>
      </c>
      <c r="N338" s="1519">
        <f t="shared" si="706"/>
        <v>4.8795374541049998</v>
      </c>
      <c r="O338" s="1519">
        <f t="shared" si="706"/>
        <v>5.563849676835515</v>
      </c>
      <c r="P338" s="1519">
        <f t="shared" si="706"/>
        <v>5.2852155854895013</v>
      </c>
      <c r="Q338" s="1519" t="e">
        <f t="shared" si="706"/>
        <v>#REF!</v>
      </c>
      <c r="R338" s="1519" t="e">
        <f t="shared" si="706"/>
        <v>#REF!</v>
      </c>
      <c r="S338" s="1519" t="e">
        <f t="shared" si="706"/>
        <v>#REF!</v>
      </c>
      <c r="T338" s="1519" t="e">
        <f t="shared" si="706"/>
        <v>#REF!</v>
      </c>
      <c r="U338" s="1519" t="e">
        <f t="shared" si="706"/>
        <v>#REF!</v>
      </c>
      <c r="V338" s="1519">
        <f t="shared" si="706"/>
        <v>7.866047260909065</v>
      </c>
      <c r="W338" s="1519"/>
      <c r="X338" s="1519"/>
      <c r="Y338" s="1519"/>
      <c r="Z338" s="1519"/>
      <c r="AA338" s="1519"/>
      <c r="AB338" s="1519"/>
      <c r="AC338" s="1519"/>
      <c r="AD338" s="1519"/>
      <c r="AE338" s="1519"/>
      <c r="AF338" s="1519"/>
      <c r="AG338" s="1519"/>
      <c r="AH338" s="1967"/>
      <c r="AI338" s="1519"/>
      <c r="AJ338" s="1967"/>
      <c r="AK338" s="1520"/>
      <c r="AL338" s="1519"/>
      <c r="AM338" s="1519"/>
      <c r="AN338" s="1519"/>
      <c r="AO338" s="1519"/>
      <c r="AP338" s="1519"/>
      <c r="AQ338" s="1376"/>
      <c r="AR338" s="1376"/>
      <c r="AS338" s="1376"/>
      <c r="AT338" s="1376"/>
      <c r="AU338" s="1376"/>
      <c r="AV338" s="1376"/>
      <c r="AW338" s="1376"/>
      <c r="AX338" s="1376"/>
      <c r="AY338" s="1376"/>
      <c r="AZ338" s="1376"/>
      <c r="BA338" s="1376"/>
      <c r="BB338" s="1376"/>
      <c r="BC338" s="1376"/>
      <c r="BD338" s="1376"/>
      <c r="BE338" s="1376"/>
      <c r="BF338" s="1376"/>
      <c r="BG338" s="1376"/>
      <c r="BH338" s="1376"/>
      <c r="BI338" s="1376"/>
      <c r="BJ338" s="1376"/>
      <c r="BK338" s="1376"/>
      <c r="BL338" s="1376"/>
      <c r="BM338" s="1376"/>
    </row>
    <row r="339" spans="1:65" hidden="1" outlineLevel="1">
      <c r="A339" s="1341"/>
      <c r="B339" s="1350"/>
      <c r="C339" s="1341"/>
      <c r="D339" s="1341"/>
      <c r="E339" s="1341"/>
      <c r="F339" s="1341"/>
      <c r="G339" s="1341"/>
      <c r="H339" s="1341"/>
      <c r="I339" s="1341"/>
      <c r="J339" s="1341"/>
      <c r="K339" s="1341"/>
      <c r="L339" s="1341"/>
      <c r="M339" s="1341"/>
      <c r="N339" s="1341"/>
      <c r="O339" s="1341"/>
      <c r="P339" s="1341"/>
      <c r="Q339" s="1341"/>
      <c r="R339" s="1341"/>
      <c r="S339" s="1341"/>
      <c r="T339" s="1341"/>
      <c r="U339" s="1341"/>
      <c r="V339" s="1341"/>
      <c r="W339" s="1341"/>
      <c r="X339" s="1341"/>
      <c r="Y339" s="1341"/>
      <c r="Z339" s="1341"/>
      <c r="AA339" s="1341"/>
      <c r="AB339" s="1341"/>
      <c r="AC339" s="1341"/>
      <c r="AD339" s="1341"/>
      <c r="AE339" s="1341"/>
      <c r="AF339" s="1341"/>
      <c r="AG339" s="1341"/>
      <c r="AH339" s="1950"/>
      <c r="AI339" s="1341"/>
      <c r="AJ339" s="1950"/>
      <c r="AK339" s="1399"/>
      <c r="AL339" s="1341"/>
      <c r="AM339" s="1341"/>
      <c r="AN339" s="1341"/>
      <c r="AO339" s="1341"/>
      <c r="AP339" s="1341"/>
      <c r="AQ339" s="1341"/>
      <c r="AR339" s="1341"/>
      <c r="AS339" s="1341"/>
      <c r="AT339" s="1341"/>
      <c r="AU339" s="1341"/>
      <c r="AV339" s="1341"/>
      <c r="AW339" s="1341"/>
      <c r="AX339" s="1341"/>
      <c r="AY339" s="1341"/>
      <c r="AZ339" s="1341"/>
      <c r="BA339" s="1341"/>
      <c r="BB339" s="1341"/>
      <c r="BC339" s="1341"/>
      <c r="BD339" s="1341"/>
      <c r="BE339" s="1341"/>
      <c r="BF339" s="1341"/>
      <c r="BG339" s="1341"/>
      <c r="BH339" s="1341"/>
      <c r="BI339" s="1341"/>
      <c r="BJ339" s="1341"/>
      <c r="BK339" s="1341"/>
      <c r="BL339" s="1341"/>
      <c r="BM339" s="1341"/>
    </row>
    <row r="340" spans="1:65" hidden="1" outlineLevel="1">
      <c r="A340" s="1341"/>
      <c r="B340" s="1350"/>
      <c r="C340" s="1341" t="s">
        <v>482</v>
      </c>
      <c r="D340" s="1341"/>
      <c r="E340" s="1341"/>
      <c r="F340" s="1341"/>
      <c r="G340" s="1341"/>
      <c r="H340" s="1341"/>
      <c r="I340" s="1341"/>
      <c r="J340" s="1341"/>
      <c r="K340" s="1341"/>
      <c r="L340" s="1341"/>
      <c r="M340" s="1341"/>
      <c r="N340" s="1341"/>
      <c r="O340" s="1341"/>
      <c r="P340" s="1341"/>
      <c r="Q340" s="1341"/>
      <c r="R340" s="1341"/>
      <c r="S340" s="1341"/>
      <c r="T340" s="1341"/>
      <c r="U340" s="1341"/>
      <c r="V340" s="1341"/>
      <c r="W340" s="1341"/>
      <c r="X340" s="1341"/>
      <c r="Y340" s="1341"/>
      <c r="Z340" s="1341"/>
      <c r="AA340" s="1341"/>
      <c r="AB340" s="1341"/>
      <c r="AC340" s="1341"/>
      <c r="AD340" s="1341"/>
      <c r="AE340" s="1341"/>
      <c r="AF340" s="1341"/>
      <c r="AG340" s="1341"/>
      <c r="AH340" s="1950"/>
      <c r="AI340" s="1341"/>
      <c r="AJ340" s="1950"/>
      <c r="AK340" s="1399"/>
      <c r="AL340" s="1341"/>
      <c r="AM340" s="1341"/>
      <c r="AN340" s="1341"/>
      <c r="AO340" s="1341"/>
      <c r="AP340" s="1341"/>
      <c r="AQ340" s="1341"/>
      <c r="AR340" s="1341"/>
      <c r="AS340" s="1341"/>
      <c r="AT340" s="1341"/>
      <c r="AU340" s="1341"/>
      <c r="AV340" s="1341"/>
      <c r="AW340" s="1341"/>
      <c r="AX340" s="1341"/>
      <c r="AY340" s="1341"/>
      <c r="AZ340" s="1341"/>
      <c r="BA340" s="1341"/>
      <c r="BB340" s="1341"/>
      <c r="BC340" s="1341"/>
      <c r="BD340" s="1341"/>
      <c r="BE340" s="1341"/>
      <c r="BF340" s="1341"/>
      <c r="BG340" s="1341"/>
      <c r="BH340" s="1341"/>
      <c r="BI340" s="1341"/>
      <c r="BJ340" s="1341"/>
      <c r="BK340" s="1341"/>
      <c r="BL340" s="1341"/>
      <c r="BM340" s="1341"/>
    </row>
    <row r="341" spans="1:65" hidden="1" outlineLevel="1">
      <c r="A341" s="1341"/>
      <c r="B341" s="1500"/>
      <c r="C341" s="1395" t="s">
        <v>481</v>
      </c>
      <c r="D341" s="1501">
        <f t="shared" ref="D341:K341" si="707">D45</f>
        <v>108524</v>
      </c>
      <c r="E341" s="1501">
        <f t="shared" si="707"/>
        <v>111882</v>
      </c>
      <c r="F341" s="1501">
        <f t="shared" si="707"/>
        <v>113877</v>
      </c>
      <c r="G341" s="1501">
        <f t="shared" si="707"/>
        <v>113877</v>
      </c>
      <c r="H341" s="1501">
        <f t="shared" si="707"/>
        <v>110881.04399999999</v>
      </c>
      <c r="I341" s="1501">
        <f t="shared" si="707"/>
        <v>110881.04399999999</v>
      </c>
      <c r="J341" s="1501">
        <f t="shared" si="707"/>
        <v>110881.04399999999</v>
      </c>
      <c r="K341" s="1501">
        <f t="shared" si="707"/>
        <v>110881.04399999999</v>
      </c>
      <c r="L341" s="1501">
        <v>109842.57799999999</v>
      </c>
      <c r="M341" s="1501">
        <v>110881.04399999999</v>
      </c>
      <c r="N341" s="1501">
        <v>110874.542</v>
      </c>
      <c r="O341" s="1501">
        <v>110881</v>
      </c>
      <c r="P341" s="1501">
        <v>109327.834</v>
      </c>
      <c r="Q341" s="1501">
        <v>109276.939</v>
      </c>
      <c r="R341" s="1501">
        <f>R342-3398</f>
        <v>107483</v>
      </c>
      <c r="S341" s="1501">
        <f>S342-3398</f>
        <v>107483</v>
      </c>
      <c r="T341" s="1501"/>
      <c r="U341" s="1501"/>
      <c r="V341" s="1501"/>
      <c r="W341" s="1501"/>
      <c r="X341" s="1501"/>
      <c r="Y341" s="1501"/>
      <c r="Z341" s="1501"/>
      <c r="AA341" s="1501"/>
      <c r="AB341" s="1501"/>
      <c r="AC341" s="1502"/>
      <c r="AD341" s="1502"/>
      <c r="AE341" s="1502"/>
      <c r="AF341" s="1502"/>
      <c r="AG341" s="1502"/>
      <c r="AH341" s="1941"/>
      <c r="AI341" s="1502"/>
      <c r="AJ341" s="1941"/>
      <c r="AK341" s="1503"/>
      <c r="AL341" s="1502"/>
      <c r="AM341" s="1502"/>
      <c r="AN341" s="1502"/>
      <c r="AO341" s="1502"/>
      <c r="AP341" s="1502"/>
      <c r="AQ341" s="1349"/>
      <c r="AR341" s="1349"/>
      <c r="AS341" s="1349"/>
      <c r="AT341" s="1349"/>
      <c r="AU341" s="1349"/>
      <c r="AV341" s="1349"/>
      <c r="AW341" s="1349"/>
      <c r="AX341" s="1349"/>
      <c r="AY341" s="1349"/>
      <c r="AZ341" s="1349"/>
      <c r="BA341" s="1349"/>
      <c r="BB341" s="1349"/>
      <c r="BC341" s="1349"/>
      <c r="BD341" s="1349"/>
      <c r="BE341" s="1349"/>
      <c r="BF341" s="1349"/>
      <c r="BG341" s="1349"/>
      <c r="BH341" s="1349"/>
      <c r="BI341" s="1349"/>
      <c r="BJ341" s="1349"/>
      <c r="BK341" s="1349"/>
      <c r="BL341" s="1349"/>
      <c r="BM341" s="1349"/>
    </row>
    <row r="342" spans="1:65" hidden="1" outlineLevel="1">
      <c r="A342" s="1341"/>
      <c r="B342" s="1350"/>
      <c r="C342" s="1341" t="s">
        <v>479</v>
      </c>
      <c r="D342" s="1402" t="s">
        <v>478</v>
      </c>
      <c r="E342" s="1402" t="s">
        <v>478</v>
      </c>
      <c r="F342" s="1402" t="s">
        <v>478</v>
      </c>
      <c r="G342" s="1402" t="s">
        <v>478</v>
      </c>
      <c r="H342" s="1402" t="s">
        <v>478</v>
      </c>
      <c r="I342" s="1542" t="s">
        <v>451</v>
      </c>
      <c r="J342" s="1542" t="s">
        <v>451</v>
      </c>
      <c r="K342" s="1542" t="s">
        <v>451</v>
      </c>
      <c r="L342" s="1542" t="s">
        <v>451</v>
      </c>
      <c r="M342" s="1542" t="s">
        <v>451</v>
      </c>
      <c r="N342" s="1542" t="s">
        <v>451</v>
      </c>
      <c r="O342" s="1341"/>
      <c r="P342" s="1341"/>
      <c r="Q342" s="1341"/>
      <c r="R342" s="1341">
        <v>110881</v>
      </c>
      <c r="S342" s="1341">
        <v>110881</v>
      </c>
      <c r="T342" s="1341"/>
      <c r="U342" s="1341"/>
      <c r="V342" s="1341"/>
      <c r="W342" s="1341"/>
      <c r="X342" s="1341"/>
      <c r="Y342" s="1341"/>
      <c r="Z342" s="1341"/>
      <c r="AA342" s="1341"/>
      <c r="AB342" s="1341"/>
      <c r="AC342" s="1341"/>
      <c r="AD342" s="1341"/>
      <c r="AE342" s="1341"/>
      <c r="AF342" s="1341"/>
      <c r="AG342" s="1341"/>
      <c r="AH342" s="1950"/>
      <c r="AI342" s="1341"/>
      <c r="AJ342" s="1950"/>
      <c r="AK342" s="1399"/>
      <c r="AL342" s="1341"/>
      <c r="AM342" s="1341"/>
      <c r="AN342" s="1341"/>
      <c r="AO342" s="1341"/>
      <c r="AP342" s="1341"/>
      <c r="AQ342" s="1341"/>
      <c r="AR342" s="1341"/>
      <c r="AS342" s="1341"/>
      <c r="AT342" s="1341"/>
      <c r="AU342" s="1341"/>
      <c r="AV342" s="1341"/>
      <c r="AW342" s="1341"/>
      <c r="AX342" s="1341"/>
      <c r="AY342" s="1341"/>
      <c r="AZ342" s="1341"/>
      <c r="BA342" s="1341"/>
      <c r="BB342" s="1341"/>
      <c r="BC342" s="1341"/>
      <c r="BD342" s="1341"/>
      <c r="BE342" s="1341"/>
      <c r="BF342" s="1341"/>
      <c r="BG342" s="1341"/>
      <c r="BH342" s="1341"/>
      <c r="BI342" s="1341"/>
      <c r="BJ342" s="1341"/>
      <c r="BK342" s="1341"/>
      <c r="BL342" s="1341"/>
      <c r="BM342" s="1341"/>
    </row>
    <row r="343" spans="1:65" hidden="1" outlineLevel="1">
      <c r="A343" s="1405"/>
      <c r="B343" s="1406"/>
      <c r="C343" s="1405" t="s">
        <v>480</v>
      </c>
      <c r="D343" s="1543">
        <f t="shared" ref="D343:P343" si="708">D335/D341*1000</f>
        <v>46.846780435664002</v>
      </c>
      <c r="E343" s="1543">
        <f t="shared" si="708"/>
        <v>88.23581988166103</v>
      </c>
      <c r="F343" s="1543">
        <f t="shared" si="708"/>
        <v>45.083730691886863</v>
      </c>
      <c r="G343" s="1543">
        <f t="shared" si="708"/>
        <v>35.64372085671382</v>
      </c>
      <c r="H343" s="1543">
        <f t="shared" si="708"/>
        <v>37.048713213775301</v>
      </c>
      <c r="I343" s="1543">
        <f t="shared" si="708"/>
        <v>33.450262246809295</v>
      </c>
      <c r="J343" s="1543">
        <f t="shared" si="708"/>
        <v>32.34096533218068</v>
      </c>
      <c r="K343" s="1405">
        <f t="shared" si="708"/>
        <v>23.746168912334557</v>
      </c>
      <c r="L343" s="1405">
        <f t="shared" si="708"/>
        <v>22.295543718939303</v>
      </c>
      <c r="M343" s="1405">
        <f t="shared" si="708"/>
        <v>-28.390786075210478</v>
      </c>
      <c r="N343" s="1405">
        <f t="shared" si="708"/>
        <v>12.509634538107044</v>
      </c>
      <c r="O343" s="1405">
        <f t="shared" si="708"/>
        <v>19.859128254615307</v>
      </c>
      <c r="P343" s="1405">
        <f t="shared" si="708"/>
        <v>42.797884388709278</v>
      </c>
      <c r="Q343" s="1405">
        <v>47.21</v>
      </c>
      <c r="R343" s="1405">
        <f>R335/R341*1000</f>
        <v>64.679995906329381</v>
      </c>
      <c r="S343" s="1405">
        <f>S335/S341*1000</f>
        <v>9.8992398797949441</v>
      </c>
      <c r="T343" s="1341"/>
      <c r="U343" s="1341"/>
      <c r="V343" s="1341"/>
      <c r="W343" s="1341"/>
      <c r="X343" s="1341"/>
      <c r="Y343" s="1341"/>
      <c r="Z343" s="1341"/>
      <c r="AA343" s="1341"/>
      <c r="AB343" s="1341"/>
      <c r="AC343" s="1341"/>
      <c r="AD343" s="1341"/>
      <c r="AE343" s="1341"/>
      <c r="AF343" s="1341"/>
      <c r="AG343" s="1341"/>
      <c r="AH343" s="1950"/>
      <c r="AI343" s="1341"/>
      <c r="AJ343" s="1950"/>
      <c r="AK343" s="1399"/>
      <c r="AL343" s="1341"/>
      <c r="AM343" s="1341"/>
      <c r="AN343" s="1341"/>
      <c r="AO343" s="1341"/>
      <c r="AP343" s="1341"/>
      <c r="AQ343" s="1405"/>
      <c r="AR343" s="1405"/>
      <c r="AS343" s="1405"/>
      <c r="AT343" s="1405"/>
      <c r="AU343" s="1405"/>
      <c r="AV343" s="1405"/>
      <c r="AW343" s="1405"/>
      <c r="AX343" s="1405"/>
      <c r="AY343" s="1405"/>
      <c r="AZ343" s="1405"/>
      <c r="BA343" s="1405"/>
      <c r="BB343" s="1405"/>
      <c r="BC343" s="1405"/>
      <c r="BD343" s="1405"/>
      <c r="BE343" s="1405"/>
      <c r="BF343" s="1405"/>
      <c r="BG343" s="1405"/>
      <c r="BH343" s="1405"/>
      <c r="BI343" s="1405"/>
      <c r="BJ343" s="1405"/>
      <c r="BK343" s="1405"/>
      <c r="BL343" s="1405"/>
      <c r="BM343" s="1405"/>
    </row>
    <row r="344" spans="1:65" hidden="1" outlineLevel="1">
      <c r="A344" s="1405"/>
      <c r="B344" s="1406"/>
      <c r="C344" s="1405" t="s">
        <v>479</v>
      </c>
      <c r="D344" s="1544" t="s">
        <v>478</v>
      </c>
      <c r="E344" s="1544" t="s">
        <v>478</v>
      </c>
      <c r="F344" s="1544" t="s">
        <v>478</v>
      </c>
      <c r="G344" s="1544" t="s">
        <v>478</v>
      </c>
      <c r="H344" s="1544" t="s">
        <v>478</v>
      </c>
      <c r="I344" s="1542" t="s">
        <v>451</v>
      </c>
      <c r="J344" s="1542" t="s">
        <v>451</v>
      </c>
      <c r="K344" s="1542" t="s">
        <v>451</v>
      </c>
      <c r="L344" s="1542" t="s">
        <v>451</v>
      </c>
      <c r="M344" s="1542" t="s">
        <v>451</v>
      </c>
      <c r="N344" s="1542" t="s">
        <v>451</v>
      </c>
      <c r="O344" s="1405"/>
      <c r="P344" s="1405"/>
      <c r="Q344" s="1405"/>
      <c r="R344" s="1405">
        <f>R335/R342*1000</f>
        <v>62.697847241637433</v>
      </c>
      <c r="S344" s="1405">
        <f>S335/S342*1000</f>
        <v>9.595873053092955</v>
      </c>
      <c r="T344" s="1405"/>
      <c r="U344" s="1405"/>
      <c r="V344" s="1405"/>
      <c r="W344" s="1405"/>
      <c r="X344" s="1405"/>
      <c r="Y344" s="1405"/>
      <c r="Z344" s="1405"/>
      <c r="AA344" s="1405"/>
      <c r="AB344" s="1405"/>
      <c r="AC344" s="1405"/>
      <c r="AD344" s="1405"/>
      <c r="AE344" s="1405"/>
      <c r="AF344" s="1405"/>
      <c r="AG344" s="1405"/>
      <c r="AH344" s="1953"/>
      <c r="AI344" s="1405"/>
      <c r="AJ344" s="1953"/>
      <c r="AK344" s="1408"/>
      <c r="AL344" s="1405"/>
      <c r="AM344" s="1405"/>
      <c r="AN344" s="1405"/>
      <c r="AO344" s="1405"/>
      <c r="AP344" s="1405"/>
      <c r="AQ344" s="1405"/>
      <c r="AR344" s="1405"/>
      <c r="AS344" s="1405"/>
      <c r="AT344" s="1405"/>
      <c r="AU344" s="1405"/>
      <c r="AV344" s="1405"/>
      <c r="AW344" s="1405"/>
      <c r="AX344" s="1405"/>
      <c r="AY344" s="1405"/>
      <c r="AZ344" s="1405"/>
      <c r="BA344" s="1405"/>
      <c r="BB344" s="1405"/>
      <c r="BC344" s="1405"/>
      <c r="BD344" s="1405"/>
      <c r="BE344" s="1405"/>
      <c r="BF344" s="1405"/>
      <c r="BG344" s="1405"/>
      <c r="BH344" s="1405"/>
      <c r="BI344" s="1405"/>
      <c r="BJ344" s="1405"/>
      <c r="BK344" s="1405"/>
      <c r="BL344" s="1405"/>
      <c r="BM344" s="1405"/>
    </row>
    <row r="345" spans="1:65" hidden="1" outlineLevel="1">
      <c r="A345" s="1405"/>
      <c r="B345" s="1406"/>
      <c r="C345" s="1405" t="s">
        <v>477</v>
      </c>
      <c r="D345" s="1405">
        <f t="shared" ref="D345:P345" si="709">D51</f>
        <v>10</v>
      </c>
      <c r="E345" s="1405">
        <f t="shared" si="709"/>
        <v>15</v>
      </c>
      <c r="F345" s="1405">
        <f t="shared" si="709"/>
        <v>12</v>
      </c>
      <c r="G345" s="1405">
        <f t="shared" si="709"/>
        <v>12</v>
      </c>
      <c r="H345" s="1405">
        <f t="shared" si="709"/>
        <v>12</v>
      </c>
      <c r="I345" s="1405">
        <f t="shared" si="709"/>
        <v>12</v>
      </c>
      <c r="J345" s="1405">
        <f t="shared" si="709"/>
        <v>12</v>
      </c>
      <c r="K345" s="1405">
        <f t="shared" si="709"/>
        <v>12</v>
      </c>
      <c r="L345" s="1405">
        <f t="shared" si="709"/>
        <v>12</v>
      </c>
      <c r="M345" s="1405">
        <f t="shared" si="709"/>
        <v>12</v>
      </c>
      <c r="N345" s="1405">
        <f t="shared" si="709"/>
        <v>12</v>
      </c>
      <c r="O345" s="1405">
        <f t="shared" si="709"/>
        <v>17</v>
      </c>
      <c r="P345" s="1405">
        <f t="shared" si="709"/>
        <v>12</v>
      </c>
      <c r="Q345" s="1405">
        <v>15</v>
      </c>
      <c r="R345" s="1405">
        <v>20</v>
      </c>
      <c r="S345" s="1405">
        <v>20</v>
      </c>
      <c r="T345" s="1405"/>
      <c r="U345" s="1405"/>
      <c r="V345" s="1405"/>
      <c r="W345" s="1405"/>
      <c r="X345" s="1405"/>
      <c r="Y345" s="1405"/>
      <c r="Z345" s="1405"/>
      <c r="AA345" s="1405"/>
      <c r="AB345" s="1405"/>
      <c r="AC345" s="1405"/>
      <c r="AD345" s="1405"/>
      <c r="AE345" s="1405"/>
      <c r="AF345" s="1405"/>
      <c r="AG345" s="1405"/>
      <c r="AH345" s="1953"/>
      <c r="AI345" s="1405"/>
      <c r="AJ345" s="1953"/>
      <c r="AK345" s="1408"/>
      <c r="AL345" s="1405"/>
      <c r="AM345" s="1405"/>
      <c r="AN345" s="1405"/>
      <c r="AO345" s="1405"/>
      <c r="AP345" s="1405"/>
      <c r="AQ345" s="1405"/>
      <c r="AR345" s="1405"/>
      <c r="AS345" s="1405"/>
      <c r="AT345" s="1405"/>
      <c r="AU345" s="1405"/>
      <c r="AV345" s="1405"/>
      <c r="AW345" s="1405"/>
      <c r="AX345" s="1405"/>
      <c r="AY345" s="1405"/>
      <c r="AZ345" s="1405"/>
      <c r="BA345" s="1405"/>
      <c r="BB345" s="1405"/>
      <c r="BC345" s="1405"/>
      <c r="BD345" s="1405"/>
      <c r="BE345" s="1405"/>
      <c r="BF345" s="1405"/>
      <c r="BG345" s="1405"/>
      <c r="BH345" s="1405"/>
      <c r="BI345" s="1405"/>
      <c r="BJ345" s="1405"/>
      <c r="BK345" s="1405"/>
      <c r="BL345" s="1405"/>
      <c r="BM345" s="1405"/>
    </row>
    <row r="346" spans="1:65" hidden="1" outlineLevel="1">
      <c r="A346" s="1405"/>
      <c r="B346" s="1406"/>
      <c r="C346" s="1405" t="s">
        <v>476</v>
      </c>
      <c r="D346" s="1420">
        <f t="shared" ref="D346:S346" si="710">D345/D343*100</f>
        <v>21.346184107002362</v>
      </c>
      <c r="E346" s="1420">
        <f t="shared" si="710"/>
        <v>16.999898703403566</v>
      </c>
      <c r="F346" s="1420">
        <f t="shared" si="710"/>
        <v>26.617140631086873</v>
      </c>
      <c r="G346" s="1420">
        <f t="shared" si="710"/>
        <v>33.666518847006657</v>
      </c>
      <c r="H346" s="1420">
        <f t="shared" si="710"/>
        <v>32.389788899707881</v>
      </c>
      <c r="I346" s="1420">
        <f t="shared" si="710"/>
        <v>35.87415820976004</v>
      </c>
      <c r="J346" s="1420">
        <f t="shared" si="710"/>
        <v>37.104643837144444</v>
      </c>
      <c r="K346" s="1405">
        <f t="shared" si="710"/>
        <v>50.534467451576148</v>
      </c>
      <c r="L346" s="1405">
        <f t="shared" si="710"/>
        <v>53.822414699877484</v>
      </c>
      <c r="M346" s="1405">
        <f t="shared" si="710"/>
        <v>-42.267234053367211</v>
      </c>
      <c r="N346" s="1405">
        <f t="shared" si="710"/>
        <v>95.926063734679161</v>
      </c>
      <c r="O346" s="1405">
        <f t="shared" si="710"/>
        <v>85.602951861943694</v>
      </c>
      <c r="P346" s="1405">
        <f t="shared" si="710"/>
        <v>28.038769138704854</v>
      </c>
      <c r="Q346" s="1405">
        <f t="shared" si="710"/>
        <v>31.772929464096588</v>
      </c>
      <c r="R346" s="1405">
        <f t="shared" si="710"/>
        <v>30.921461449942463</v>
      </c>
      <c r="S346" s="1405">
        <f t="shared" si="710"/>
        <v>202.03571428571428</v>
      </c>
      <c r="T346" s="1405"/>
      <c r="U346" s="1405"/>
      <c r="V346" s="1405"/>
      <c r="W346" s="1405"/>
      <c r="X346" s="1405"/>
      <c r="Y346" s="1405"/>
      <c r="Z346" s="1405"/>
      <c r="AA346" s="1405"/>
      <c r="AB346" s="1405"/>
      <c r="AC346" s="1405"/>
      <c r="AD346" s="1405"/>
      <c r="AE346" s="1405"/>
      <c r="AF346" s="1405"/>
      <c r="AG346" s="1405"/>
      <c r="AH346" s="1953"/>
      <c r="AI346" s="1405"/>
      <c r="AJ346" s="1953"/>
      <c r="AK346" s="1408"/>
      <c r="AL346" s="1405"/>
      <c r="AM346" s="1405"/>
      <c r="AN346" s="1405"/>
      <c r="AO346" s="1405"/>
      <c r="AP346" s="1405"/>
      <c r="AQ346" s="1405"/>
      <c r="AR346" s="1405"/>
      <c r="AS346" s="1405"/>
      <c r="AT346" s="1405"/>
      <c r="AU346" s="1405"/>
      <c r="AV346" s="1405"/>
      <c r="AW346" s="1405"/>
      <c r="AX346" s="1405"/>
      <c r="AY346" s="1405"/>
      <c r="AZ346" s="1405"/>
      <c r="BA346" s="1405"/>
      <c r="BB346" s="1405"/>
      <c r="BC346" s="1405"/>
      <c r="BD346" s="1405"/>
      <c r="BE346" s="1405"/>
      <c r="BF346" s="1405"/>
      <c r="BG346" s="1405"/>
      <c r="BH346" s="1405"/>
      <c r="BI346" s="1405"/>
      <c r="BJ346" s="1405"/>
      <c r="BK346" s="1405"/>
      <c r="BL346" s="1405"/>
      <c r="BM346" s="1405"/>
    </row>
    <row r="347" spans="1:65" hidden="1" outlineLevel="1">
      <c r="A347" s="1405"/>
      <c r="B347" s="1406"/>
      <c r="C347" s="1405" t="s">
        <v>475</v>
      </c>
      <c r="D347" s="1407">
        <v>89.187645129188013</v>
      </c>
      <c r="E347" s="1407">
        <v>135.11556818791226</v>
      </c>
      <c r="F347" s="1407">
        <v>91.335388181985834</v>
      </c>
      <c r="G347" s="1407">
        <v>82.01831800978249</v>
      </c>
      <c r="H347" s="1407">
        <v>84.135210703824185</v>
      </c>
      <c r="I347" s="1407">
        <v>77.262981037588361</v>
      </c>
      <c r="J347" s="1407">
        <v>80.681058522500933</v>
      </c>
      <c r="K347" s="1405">
        <v>76.424244346039899</v>
      </c>
      <c r="L347" s="1405">
        <v>72.003044211143703</v>
      </c>
      <c r="M347" s="1405">
        <v>16.12538929557698</v>
      </c>
      <c r="N347" s="1405">
        <v>53.37564325632119</v>
      </c>
      <c r="O347" s="1405">
        <v>58.639442284972176</v>
      </c>
      <c r="P347" s="1405">
        <v>79.430824541900279</v>
      </c>
      <c r="Q347" s="1405" t="e">
        <v>#REF!</v>
      </c>
      <c r="R347" s="1405" t="e">
        <v>#REF!</v>
      </c>
      <c r="S347" s="1405"/>
      <c r="T347" s="1405"/>
      <c r="U347" s="1405"/>
      <c r="V347" s="1405"/>
      <c r="W347" s="1405"/>
      <c r="X347" s="1405"/>
      <c r="Y347" s="1405"/>
      <c r="Z347" s="1405"/>
      <c r="AA347" s="1405"/>
      <c r="AB347" s="1405"/>
      <c r="AC347" s="1405"/>
      <c r="AD347" s="1405"/>
      <c r="AE347" s="1405"/>
      <c r="AF347" s="1405"/>
      <c r="AG347" s="1405"/>
      <c r="AH347" s="1953"/>
      <c r="AI347" s="1405"/>
      <c r="AJ347" s="1953"/>
      <c r="AK347" s="1408"/>
      <c r="AL347" s="1405"/>
      <c r="AM347" s="1405"/>
      <c r="AN347" s="1405"/>
      <c r="AO347" s="1405"/>
      <c r="AP347" s="1405"/>
      <c r="AQ347" s="1405"/>
      <c r="AR347" s="1405"/>
      <c r="AS347" s="1405"/>
      <c r="AT347" s="1405"/>
      <c r="AU347" s="1405"/>
      <c r="AV347" s="1405"/>
      <c r="AW347" s="1405"/>
      <c r="AX347" s="1405"/>
      <c r="AY347" s="1405"/>
      <c r="AZ347" s="1405"/>
      <c r="BA347" s="1405"/>
      <c r="BB347" s="1405"/>
      <c r="BC347" s="1405"/>
      <c r="BD347" s="1405"/>
      <c r="BE347" s="1405"/>
      <c r="BF347" s="1405"/>
      <c r="BG347" s="1405"/>
      <c r="BH347" s="1405"/>
      <c r="BI347" s="1405"/>
      <c r="BJ347" s="1405"/>
      <c r="BK347" s="1405"/>
      <c r="BL347" s="1405"/>
      <c r="BM347" s="1405"/>
    </row>
    <row r="348" spans="1:65" hidden="1" outlineLevel="1">
      <c r="A348" s="1405"/>
      <c r="B348" s="1436"/>
      <c r="C348" s="1437" t="s">
        <v>474</v>
      </c>
      <c r="D348" s="1545">
        <v>552.84545354023078</v>
      </c>
      <c r="E348" s="1545">
        <v>648.96051196796623</v>
      </c>
      <c r="F348" s="1545">
        <v>687.72447465247592</v>
      </c>
      <c r="G348" s="1545">
        <v>710.78444286379158</v>
      </c>
      <c r="H348" s="1545">
        <v>754.11447244309863</v>
      </c>
      <c r="I348" s="1545">
        <v>774.68606807129265</v>
      </c>
      <c r="J348" s="1545">
        <v>798.63966648798873</v>
      </c>
      <c r="K348" s="1545">
        <v>787.55571601580516</v>
      </c>
      <c r="L348" s="1545">
        <v>793.95441720240763</v>
      </c>
      <c r="M348" s="1545">
        <v>745.52869469735515</v>
      </c>
      <c r="N348" s="1384">
        <v>732.78318479998768</v>
      </c>
      <c r="O348" s="1384">
        <v>744.67221615966673</v>
      </c>
      <c r="P348" s="1384">
        <v>783.40525798764099</v>
      </c>
      <c r="Q348" s="1384">
        <v>820.87</v>
      </c>
      <c r="R348" s="1384">
        <v>889.58</v>
      </c>
      <c r="S348" s="1384"/>
      <c r="T348" s="1384"/>
      <c r="U348" s="1384"/>
      <c r="V348" s="1384"/>
      <c r="W348" s="1384"/>
      <c r="X348" s="1384"/>
      <c r="Y348" s="1384"/>
      <c r="Z348" s="1384"/>
      <c r="AA348" s="1384"/>
      <c r="AB348" s="1384"/>
      <c r="AC348" s="1384"/>
      <c r="AD348" s="1384"/>
      <c r="AE348" s="1384"/>
      <c r="AF348" s="1384"/>
      <c r="AG348" s="1384"/>
      <c r="AH348" s="1975"/>
      <c r="AI348" s="1384"/>
      <c r="AJ348" s="1975"/>
      <c r="AK348" s="1451"/>
      <c r="AL348" s="1384"/>
      <c r="AM348" s="1384"/>
      <c r="AN348" s="1384"/>
      <c r="AO348" s="1384"/>
      <c r="AP348" s="1384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  <c r="BI348" s="367"/>
      <c r="BJ348" s="367"/>
      <c r="BK348" s="367"/>
      <c r="BL348" s="367"/>
      <c r="BM348" s="367"/>
    </row>
    <row r="349" spans="1:65" hidden="1" outlineLevel="1">
      <c r="B349" s="1338"/>
    </row>
    <row r="350" spans="1:65" hidden="1" outlineLevel="1">
      <c r="B350" s="1338"/>
      <c r="C350" s="1" t="s">
        <v>473</v>
      </c>
      <c r="D350" s="1376">
        <f t="shared" ref="D350:R350" si="711">D351-D325/D319*100</f>
        <v>16.433281933688768</v>
      </c>
      <c r="E350" s="1376">
        <f t="shared" si="711"/>
        <v>16.641465702775783</v>
      </c>
      <c r="F350" s="1376">
        <f t="shared" si="711"/>
        <v>16.771541689847197</v>
      </c>
      <c r="G350" s="1376">
        <f t="shared" si="711"/>
        <v>16.016682332033881</v>
      </c>
      <c r="H350" s="1376">
        <f t="shared" si="711"/>
        <v>15.279762942304339</v>
      </c>
      <c r="I350" s="1376">
        <f t="shared" si="711"/>
        <v>15.267816232744034</v>
      </c>
      <c r="J350" s="1376">
        <f t="shared" si="711"/>
        <v>14.581169312954447</v>
      </c>
      <c r="K350" s="1376">
        <f t="shared" si="711"/>
        <v>15.653864851725814</v>
      </c>
      <c r="L350" s="1376">
        <f t="shared" si="711"/>
        <v>15.87521258399809</v>
      </c>
      <c r="M350" s="1376">
        <f t="shared" si="711"/>
        <v>15.438657273742155</v>
      </c>
      <c r="N350" s="1376">
        <f t="shared" si="711"/>
        <v>16.278530602975131</v>
      </c>
      <c r="O350" s="1376">
        <f t="shared" si="711"/>
        <v>16.641478058348763</v>
      </c>
      <c r="P350" s="1376">
        <f t="shared" si="711"/>
        <v>16.643096424997303</v>
      </c>
      <c r="Q350" s="1376">
        <f t="shared" si="711"/>
        <v>16.712278866451214</v>
      </c>
      <c r="R350" s="1376">
        <f t="shared" si="711"/>
        <v>16.691679096624238</v>
      </c>
      <c r="S350" s="1376"/>
      <c r="T350" s="1376"/>
      <c r="U350" s="1376"/>
      <c r="V350" s="1376"/>
      <c r="W350" s="1376"/>
      <c r="X350" s="1376"/>
      <c r="Y350" s="1376"/>
      <c r="Z350" s="1376"/>
      <c r="AA350" s="1376"/>
      <c r="AB350" s="1376"/>
      <c r="AC350" s="1376"/>
      <c r="AD350" s="1376"/>
      <c r="AE350" s="1376"/>
      <c r="AF350" s="1376"/>
      <c r="AG350" s="1376"/>
      <c r="AH350" s="1947"/>
      <c r="AI350" s="1376"/>
      <c r="AJ350" s="1947"/>
      <c r="AK350" s="1495"/>
      <c r="AL350" s="1376"/>
      <c r="AM350" s="1376"/>
      <c r="AN350" s="1376"/>
      <c r="AO350" s="1376"/>
      <c r="AP350" s="1376"/>
      <c r="AQ350" s="1376"/>
      <c r="AR350" s="1376"/>
      <c r="AS350" s="1376"/>
      <c r="AT350" s="1376"/>
      <c r="AU350" s="1376"/>
      <c r="AV350" s="1376"/>
      <c r="AW350" s="1376"/>
      <c r="AX350" s="1376"/>
      <c r="AY350" s="1376"/>
      <c r="AZ350" s="1376"/>
      <c r="BA350" s="1376"/>
      <c r="BB350" s="1376"/>
      <c r="BC350" s="1376"/>
      <c r="BD350" s="1376"/>
      <c r="BE350" s="1376"/>
      <c r="BF350" s="1376"/>
      <c r="BG350" s="1376"/>
      <c r="BH350" s="1376"/>
      <c r="BI350" s="1376"/>
      <c r="BJ350" s="1376"/>
      <c r="BK350" s="1376"/>
      <c r="BL350" s="1376"/>
      <c r="BM350" s="1376"/>
    </row>
    <row r="351" spans="1:65" hidden="1" outlineLevel="1">
      <c r="A351" s="1405"/>
      <c r="B351" s="1429"/>
      <c r="C351" s="1430" t="s">
        <v>472</v>
      </c>
      <c r="D351" s="1431">
        <f t="shared" ref="D351:S351" si="712">D321/D319*100</f>
        <v>25.167428178005885</v>
      </c>
      <c r="E351" s="1431">
        <f t="shared" si="712"/>
        <v>25.91744384967717</v>
      </c>
      <c r="F351" s="1431">
        <f t="shared" si="712"/>
        <v>26.805515796068942</v>
      </c>
      <c r="G351" s="1431">
        <f t="shared" si="712"/>
        <v>26.431326625474455</v>
      </c>
      <c r="H351" s="1431">
        <f t="shared" si="712"/>
        <v>26.189397146343286</v>
      </c>
      <c r="I351" s="1431">
        <f t="shared" si="712"/>
        <v>26.570219252283028</v>
      </c>
      <c r="J351" s="1431">
        <f t="shared" si="712"/>
        <v>26.668923430776083</v>
      </c>
      <c r="K351" s="1431">
        <f t="shared" si="712"/>
        <v>29.046183762761302</v>
      </c>
      <c r="L351" s="1431">
        <f t="shared" si="712"/>
        <v>31.456096835970431</v>
      </c>
      <c r="M351" s="1431">
        <f t="shared" si="712"/>
        <v>32.675539900681372</v>
      </c>
      <c r="N351" s="1431">
        <f t="shared" si="712"/>
        <v>35.449392482682917</v>
      </c>
      <c r="O351" s="1431">
        <f t="shared" si="712"/>
        <v>36.470501766265031</v>
      </c>
      <c r="P351" s="1431">
        <f t="shared" si="712"/>
        <v>37.906586668796606</v>
      </c>
      <c r="Q351" s="1431">
        <f t="shared" si="712"/>
        <v>38.802749808522165</v>
      </c>
      <c r="R351" s="1431">
        <f t="shared" si="712"/>
        <v>40.77819160131407</v>
      </c>
      <c r="S351" s="1431">
        <f t="shared" si="712"/>
        <v>42.057115062624526</v>
      </c>
      <c r="T351" s="1431"/>
      <c r="U351" s="1431"/>
      <c r="V351" s="1431"/>
      <c r="W351" s="1431"/>
      <c r="X351" s="1431"/>
      <c r="Y351" s="1431"/>
      <c r="Z351" s="1431"/>
      <c r="AA351" s="1431"/>
      <c r="AB351" s="1431"/>
      <c r="AC351" s="1432"/>
      <c r="AD351" s="1432"/>
      <c r="AE351" s="1432"/>
      <c r="AF351" s="1432"/>
      <c r="AG351" s="1432"/>
      <c r="AH351" s="1959"/>
      <c r="AI351" s="1432"/>
      <c r="AJ351" s="1959"/>
      <c r="AK351" s="1440"/>
      <c r="AL351" s="1432"/>
      <c r="AM351" s="1432"/>
      <c r="AN351" s="1432"/>
      <c r="AO351" s="1432"/>
      <c r="AP351" s="1432"/>
      <c r="AQ351" s="1420"/>
      <c r="AR351" s="1420"/>
      <c r="AS351" s="1420"/>
      <c r="AT351" s="1420"/>
      <c r="AU351" s="1420"/>
      <c r="AV351" s="1420"/>
      <c r="AW351" s="1420"/>
      <c r="AX351" s="1420"/>
      <c r="AY351" s="1420"/>
      <c r="AZ351" s="1420"/>
      <c r="BA351" s="1420"/>
      <c r="BB351" s="1420"/>
      <c r="BC351" s="1420"/>
      <c r="BD351" s="1420"/>
      <c r="BE351" s="1420"/>
      <c r="BF351" s="1420"/>
      <c r="BG351" s="1420"/>
      <c r="BH351" s="1420"/>
      <c r="BI351" s="1420"/>
      <c r="BJ351" s="1420"/>
      <c r="BK351" s="1420"/>
      <c r="BL351" s="1420"/>
      <c r="BM351" s="1420"/>
    </row>
    <row r="352" spans="1:65" hidden="1" outlineLevel="1">
      <c r="A352" s="1405"/>
      <c r="B352" s="1406"/>
      <c r="C352" s="1405" t="s">
        <v>179</v>
      </c>
      <c r="D352" s="1420">
        <f t="shared" ref="D352:S352" si="713">D322/D319*100</f>
        <v>21.018850961894088</v>
      </c>
      <c r="E352" s="1420">
        <f t="shared" si="713"/>
        <v>22.707907952099774</v>
      </c>
      <c r="F352" s="1420">
        <f t="shared" si="713"/>
        <v>23.397842725274252</v>
      </c>
      <c r="G352" s="1420">
        <f t="shared" si="713"/>
        <v>23.148276552797423</v>
      </c>
      <c r="H352" s="1420">
        <f t="shared" si="713"/>
        <v>23.487636644338753</v>
      </c>
      <c r="I352" s="1420">
        <f t="shared" si="713"/>
        <v>23.4458855605609</v>
      </c>
      <c r="J352" s="1420">
        <f t="shared" si="713"/>
        <v>24.258050155809467</v>
      </c>
      <c r="K352" s="1420">
        <f t="shared" si="713"/>
        <v>25.26640738940204</v>
      </c>
      <c r="L352" s="1420">
        <f t="shared" si="713"/>
        <v>27.552835346688564</v>
      </c>
      <c r="M352" s="1420">
        <f t="shared" si="713"/>
        <v>29.395715440582055</v>
      </c>
      <c r="N352" s="1420">
        <f t="shared" si="713"/>
        <v>32.713198834172374</v>
      </c>
      <c r="O352" s="1420">
        <f t="shared" si="713"/>
        <v>32.881469606001168</v>
      </c>
      <c r="P352" s="1420">
        <f t="shared" si="713"/>
        <v>34.503075094320117</v>
      </c>
      <c r="Q352" s="1420">
        <f t="shared" si="713"/>
        <v>35.071267116250397</v>
      </c>
      <c r="R352" s="1420">
        <f t="shared" si="713"/>
        <v>37.075284363875951</v>
      </c>
      <c r="S352" s="1420">
        <f t="shared" si="713"/>
        <v>37.968046994116385</v>
      </c>
      <c r="T352" s="1420"/>
      <c r="U352" s="1420"/>
      <c r="V352" s="1420"/>
      <c r="W352" s="1420"/>
      <c r="X352" s="1420"/>
      <c r="Y352" s="1420"/>
      <c r="Z352" s="1420"/>
      <c r="AA352" s="1420"/>
      <c r="AB352" s="1420"/>
      <c r="AC352" s="1420"/>
      <c r="AD352" s="1420"/>
      <c r="AE352" s="1420"/>
      <c r="AF352" s="1420"/>
      <c r="AG352" s="1420"/>
      <c r="AH352" s="1954"/>
      <c r="AI352" s="1420"/>
      <c r="AJ352" s="1954"/>
      <c r="AK352" s="1435"/>
      <c r="AL352" s="1420"/>
      <c r="AM352" s="1420"/>
      <c r="AN352" s="1420"/>
      <c r="AO352" s="1420"/>
      <c r="AP352" s="1420"/>
      <c r="AQ352" s="1420"/>
      <c r="AR352" s="1420"/>
      <c r="AS352" s="1420"/>
      <c r="AT352" s="1420"/>
      <c r="AU352" s="1420"/>
      <c r="AV352" s="1420"/>
      <c r="AW352" s="1420"/>
      <c r="AX352" s="1420"/>
      <c r="AY352" s="1420"/>
      <c r="AZ352" s="1420"/>
      <c r="BA352" s="1420"/>
      <c r="BB352" s="1420"/>
      <c r="BC352" s="1420"/>
      <c r="BD352" s="1420"/>
      <c r="BE352" s="1420"/>
      <c r="BF352" s="1420"/>
      <c r="BG352" s="1420"/>
      <c r="BH352" s="1420"/>
      <c r="BI352" s="1420"/>
      <c r="BJ352" s="1420"/>
      <c r="BK352" s="1420"/>
      <c r="BL352" s="1420"/>
      <c r="BM352" s="1420"/>
    </row>
    <row r="353" spans="1:65" hidden="1" outlineLevel="1">
      <c r="A353" s="1405"/>
      <c r="B353" s="1406"/>
      <c r="C353" s="1405" t="s">
        <v>471</v>
      </c>
      <c r="D353" s="1420"/>
      <c r="E353" s="1420"/>
      <c r="F353" s="1420"/>
      <c r="G353" s="1420"/>
      <c r="H353" s="1420"/>
      <c r="I353" s="1420"/>
      <c r="J353" s="1420"/>
      <c r="K353" s="1420"/>
      <c r="L353" s="1420">
        <f t="shared" ref="L353:S353" si="714">L325/L319*100</f>
        <v>15.580884251972341</v>
      </c>
      <c r="M353" s="1420">
        <f t="shared" si="714"/>
        <v>17.236882626939217</v>
      </c>
      <c r="N353" s="1420">
        <f t="shared" si="714"/>
        <v>19.170861879707786</v>
      </c>
      <c r="O353" s="1420">
        <f t="shared" si="714"/>
        <v>19.829023707916267</v>
      </c>
      <c r="P353" s="1420">
        <f t="shared" si="714"/>
        <v>21.263490243799303</v>
      </c>
      <c r="Q353" s="1420">
        <f t="shared" si="714"/>
        <v>22.090470942070951</v>
      </c>
      <c r="R353" s="1420">
        <f t="shared" si="714"/>
        <v>24.086512504689832</v>
      </c>
      <c r="S353" s="1420">
        <f t="shared" si="714"/>
        <v>24.876762045516195</v>
      </c>
      <c r="T353" s="1420"/>
      <c r="U353" s="1420"/>
      <c r="V353" s="1420"/>
      <c r="W353" s="1420"/>
      <c r="X353" s="1420"/>
      <c r="Y353" s="1420"/>
      <c r="Z353" s="1420"/>
      <c r="AA353" s="1420"/>
      <c r="AB353" s="1420"/>
      <c r="AC353" s="1420"/>
      <c r="AD353" s="1420"/>
      <c r="AE353" s="1420"/>
      <c r="AF353" s="1420"/>
      <c r="AG353" s="1420"/>
      <c r="AH353" s="1954"/>
      <c r="AI353" s="1420"/>
      <c r="AJ353" s="1954"/>
      <c r="AK353" s="1435"/>
      <c r="AL353" s="1420"/>
      <c r="AM353" s="1420"/>
      <c r="AN353" s="1420"/>
      <c r="AO353" s="1420"/>
      <c r="AP353" s="1420"/>
      <c r="AQ353" s="1420"/>
      <c r="AR353" s="1420"/>
      <c r="AS353" s="1420"/>
      <c r="AT353" s="1420"/>
      <c r="AU353" s="1420"/>
      <c r="AV353" s="1420"/>
      <c r="AW353" s="1420"/>
      <c r="AX353" s="1420"/>
      <c r="AY353" s="1420"/>
      <c r="AZ353" s="1420"/>
      <c r="BA353" s="1420"/>
      <c r="BB353" s="1420"/>
      <c r="BC353" s="1420"/>
      <c r="BD353" s="1420"/>
      <c r="BE353" s="1420"/>
      <c r="BF353" s="1420"/>
      <c r="BG353" s="1420"/>
      <c r="BH353" s="1420"/>
      <c r="BI353" s="1420"/>
      <c r="BJ353" s="1420"/>
      <c r="BK353" s="1420"/>
      <c r="BL353" s="1420"/>
      <c r="BM353" s="1420"/>
    </row>
    <row r="354" spans="1:65" hidden="1" outlineLevel="1">
      <c r="A354" s="1405"/>
      <c r="B354" s="1406"/>
      <c r="C354" s="1405" t="s">
        <v>190</v>
      </c>
      <c r="D354" s="1420">
        <f t="shared" ref="D354:S354" si="715">D327/D319*100</f>
        <v>4.1485772161117973</v>
      </c>
      <c r="E354" s="1420">
        <f t="shared" si="715"/>
        <v>3.2089840516527786</v>
      </c>
      <c r="F354" s="1420">
        <f t="shared" si="715"/>
        <v>3.4071329419199423</v>
      </c>
      <c r="G354" s="1420">
        <f t="shared" si="715"/>
        <v>3.2830500726770317</v>
      </c>
      <c r="H354" s="1420">
        <f t="shared" si="715"/>
        <v>2.7017605020045319</v>
      </c>
      <c r="I354" s="1420">
        <f t="shared" si="715"/>
        <v>3.1238800350222973</v>
      </c>
      <c r="J354" s="1420">
        <f t="shared" si="715"/>
        <v>2.4104095563139931</v>
      </c>
      <c r="K354" s="1420">
        <f t="shared" si="715"/>
        <v>3.7797763733592609</v>
      </c>
      <c r="L354" s="1420">
        <f t="shared" si="715"/>
        <v>3.9027741907189113</v>
      </c>
      <c r="M354" s="1420">
        <f t="shared" si="715"/>
        <v>3.2798244600993183</v>
      </c>
      <c r="N354" s="1420">
        <f t="shared" si="715"/>
        <v>2.7357205041825958</v>
      </c>
      <c r="O354" s="1420">
        <f t="shared" si="715"/>
        <v>3.5885727935468159</v>
      </c>
      <c r="P354" s="1420">
        <f t="shared" si="715"/>
        <v>3.4035115744764823</v>
      </c>
      <c r="Q354" s="1420">
        <f t="shared" si="715"/>
        <v>3.7310156731613455</v>
      </c>
      <c r="R354" s="1420">
        <f t="shared" si="715"/>
        <v>3.7024496929876736</v>
      </c>
      <c r="S354" s="1420">
        <f t="shared" si="715"/>
        <v>4.0886003722861926</v>
      </c>
      <c r="T354" s="1420"/>
      <c r="U354" s="1420"/>
      <c r="V354" s="1420"/>
      <c r="W354" s="1420"/>
      <c r="X354" s="1420"/>
      <c r="Y354" s="1420"/>
      <c r="Z354" s="1420"/>
      <c r="AA354" s="1420"/>
      <c r="AB354" s="1420"/>
      <c r="AC354" s="1420"/>
      <c r="AD354" s="1420"/>
      <c r="AE354" s="1420"/>
      <c r="AF354" s="1420"/>
      <c r="AG354" s="1420"/>
      <c r="AH354" s="1954"/>
      <c r="AI354" s="1420"/>
      <c r="AJ354" s="1954"/>
      <c r="AK354" s="1435"/>
      <c r="AL354" s="1420"/>
      <c r="AM354" s="1420"/>
      <c r="AN354" s="1420"/>
      <c r="AO354" s="1420"/>
      <c r="AP354" s="1420"/>
      <c r="AQ354" s="1420"/>
      <c r="AR354" s="1420"/>
      <c r="AS354" s="1420"/>
      <c r="AT354" s="1420"/>
      <c r="AU354" s="1420"/>
      <c r="AV354" s="1420"/>
      <c r="AW354" s="1420"/>
      <c r="AX354" s="1420"/>
      <c r="AY354" s="1420"/>
      <c r="AZ354" s="1420"/>
      <c r="BA354" s="1420"/>
      <c r="BB354" s="1420"/>
      <c r="BC354" s="1420"/>
      <c r="BD354" s="1420"/>
      <c r="BE354" s="1420"/>
      <c r="BF354" s="1420"/>
      <c r="BG354" s="1420"/>
      <c r="BH354" s="1420"/>
      <c r="BI354" s="1420"/>
      <c r="BJ354" s="1420"/>
      <c r="BK354" s="1420"/>
      <c r="BL354" s="1420"/>
      <c r="BM354" s="1420"/>
    </row>
    <row r="355" spans="1:65" hidden="1" outlineLevel="1">
      <c r="A355" s="1405"/>
      <c r="B355" s="1406"/>
      <c r="C355" s="1405" t="s">
        <v>233</v>
      </c>
      <c r="D355" s="1420">
        <f t="shared" ref="D355:S355" si="716">D330/D319*100</f>
        <v>5.08515081338515</v>
      </c>
      <c r="E355" s="1420">
        <f t="shared" si="716"/>
        <v>4.7734672479443745</v>
      </c>
      <c r="F355" s="1420">
        <f t="shared" si="716"/>
        <v>4.547344996516169</v>
      </c>
      <c r="G355" s="1420">
        <f t="shared" si="716"/>
        <v>4.1484974087941771</v>
      </c>
      <c r="H355" s="1420">
        <f t="shared" si="716"/>
        <v>3.7939191712941058</v>
      </c>
      <c r="I355" s="1420">
        <f t="shared" si="716"/>
        <v>3.539883228765464</v>
      </c>
      <c r="J355" s="1420">
        <f t="shared" si="716"/>
        <v>3.7922911411188602</v>
      </c>
      <c r="K355" s="1420">
        <f t="shared" si="716"/>
        <v>3.8988818667963052</v>
      </c>
      <c r="L355" s="1420">
        <f t="shared" si="716"/>
        <v>4.1201093497975272</v>
      </c>
      <c r="M355" s="1420">
        <f t="shared" si="716"/>
        <v>3.5873080032336295</v>
      </c>
      <c r="N355" s="1420">
        <f t="shared" si="716"/>
        <v>3.1483023581513301</v>
      </c>
      <c r="O355" s="1420">
        <f t="shared" si="716"/>
        <v>4.0438052101373048</v>
      </c>
      <c r="P355" s="1420">
        <f t="shared" si="716"/>
        <v>3.7657572155479024</v>
      </c>
      <c r="Q355" s="1420">
        <f t="shared" si="716"/>
        <v>3.917356298219723</v>
      </c>
      <c r="R355" s="1420">
        <f t="shared" si="716"/>
        <v>4.0767210534503429</v>
      </c>
      <c r="S355" s="1420">
        <f t="shared" si="716"/>
        <v>4.5562965942361116</v>
      </c>
      <c r="T355" s="1420"/>
      <c r="U355" s="1420"/>
      <c r="V355" s="1420"/>
      <c r="W355" s="1420"/>
      <c r="X355" s="1420"/>
      <c r="Y355" s="1420"/>
      <c r="Z355" s="1420"/>
      <c r="AA355" s="1420"/>
      <c r="AB355" s="1420"/>
      <c r="AC355" s="1420"/>
      <c r="AD355" s="1420"/>
      <c r="AE355" s="1420"/>
      <c r="AF355" s="1420"/>
      <c r="AG355" s="1420"/>
      <c r="AH355" s="1954"/>
      <c r="AI355" s="1420"/>
      <c r="AJ355" s="1954"/>
      <c r="AK355" s="1435"/>
      <c r="AL355" s="1420"/>
      <c r="AM355" s="1420"/>
      <c r="AN355" s="1420"/>
      <c r="AO355" s="1420"/>
      <c r="AP355" s="1420"/>
      <c r="AQ355" s="1420"/>
      <c r="AR355" s="1420"/>
      <c r="AS355" s="1420"/>
      <c r="AT355" s="1420"/>
      <c r="AU355" s="1420"/>
      <c r="AV355" s="1420"/>
      <c r="AW355" s="1420"/>
      <c r="AX355" s="1420"/>
      <c r="AY355" s="1420"/>
      <c r="AZ355" s="1420"/>
      <c r="BA355" s="1420"/>
      <c r="BB355" s="1420"/>
      <c r="BC355" s="1420"/>
      <c r="BD355" s="1420"/>
      <c r="BE355" s="1420"/>
      <c r="BF355" s="1420"/>
      <c r="BG355" s="1420"/>
      <c r="BH355" s="1420"/>
      <c r="BI355" s="1420"/>
      <c r="BJ355" s="1420"/>
      <c r="BK355" s="1420"/>
      <c r="BL355" s="1420"/>
      <c r="BM355" s="1420"/>
    </row>
    <row r="356" spans="1:65" hidden="1" outlineLevel="1">
      <c r="A356" s="1405"/>
      <c r="B356" s="1406"/>
      <c r="C356" s="1405" t="s">
        <v>468</v>
      </c>
      <c r="D356" s="1420">
        <f t="shared" ref="D356:S356" si="717">D335/D319*100</f>
        <v>2.8927947560982545</v>
      </c>
      <c r="E356" s="1420">
        <f t="shared" si="717"/>
        <v>5.4478229678273831</v>
      </c>
      <c r="F356" s="1420">
        <f t="shared" si="717"/>
        <v>2.7730216429640113</v>
      </c>
      <c r="G356" s="1420">
        <f t="shared" si="717"/>
        <v>2.0847778856376831</v>
      </c>
      <c r="H356" s="1420">
        <f t="shared" si="717"/>
        <v>2.0458676759879477</v>
      </c>
      <c r="I356" s="1420">
        <f t="shared" si="717"/>
        <v>1.682612699665655</v>
      </c>
      <c r="J356" s="1420">
        <f t="shared" si="717"/>
        <v>1.6628950882920313</v>
      </c>
      <c r="K356" s="1420">
        <f t="shared" si="717"/>
        <v>1.2800194457948468</v>
      </c>
      <c r="L356" s="1420">
        <f t="shared" si="717"/>
        <v>1.1933941806805612</v>
      </c>
      <c r="M356" s="1420">
        <f t="shared" si="717"/>
        <v>-1.5148015552219272</v>
      </c>
      <c r="N356" s="1420">
        <f t="shared" si="717"/>
        <v>0.65625118286081985</v>
      </c>
      <c r="O356" s="1420">
        <f t="shared" si="717"/>
        <v>1.0115255109306311</v>
      </c>
      <c r="P356" s="1420">
        <f t="shared" si="717"/>
        <v>2.1983752977602791</v>
      </c>
      <c r="Q356" s="1420">
        <f t="shared" si="717"/>
        <v>2.4270983168631259</v>
      </c>
      <c r="R356" s="1420">
        <f t="shared" si="717"/>
        <v>3.1808490194822423</v>
      </c>
      <c r="S356" s="1420">
        <f t="shared" si="717"/>
        <v>0.4976287801547139</v>
      </c>
      <c r="T356" s="1420"/>
      <c r="U356" s="1420"/>
      <c r="V356" s="1420"/>
      <c r="W356" s="1420"/>
      <c r="X356" s="1420"/>
      <c r="Y356" s="1420"/>
      <c r="Z356" s="1420"/>
      <c r="AA356" s="1420"/>
      <c r="AB356" s="1420"/>
      <c r="AC356" s="1420"/>
      <c r="AD356" s="1420"/>
      <c r="AE356" s="1420"/>
      <c r="AF356" s="1420"/>
      <c r="AG356" s="1420"/>
      <c r="AH356" s="1954"/>
      <c r="AI356" s="1420"/>
      <c r="AJ356" s="1954"/>
      <c r="AK356" s="1435"/>
      <c r="AL356" s="1420"/>
      <c r="AM356" s="1420"/>
      <c r="AN356" s="1420"/>
      <c r="AO356" s="1420"/>
      <c r="AP356" s="1420"/>
      <c r="AQ356" s="1420"/>
      <c r="AR356" s="1420"/>
      <c r="AS356" s="1420"/>
      <c r="AT356" s="1420"/>
      <c r="AU356" s="1420"/>
      <c r="AV356" s="1420"/>
      <c r="AW356" s="1420"/>
      <c r="AX356" s="1420"/>
      <c r="AY356" s="1420"/>
      <c r="AZ356" s="1420"/>
      <c r="BA356" s="1420"/>
      <c r="BB356" s="1420"/>
      <c r="BC356" s="1420"/>
      <c r="BD356" s="1420"/>
      <c r="BE356" s="1420"/>
      <c r="BF356" s="1420"/>
      <c r="BG356" s="1420"/>
      <c r="BH356" s="1420"/>
      <c r="BI356" s="1420"/>
      <c r="BJ356" s="1420"/>
      <c r="BK356" s="1420"/>
      <c r="BL356" s="1420"/>
      <c r="BM356" s="1420"/>
    </row>
    <row r="357" spans="1:65" hidden="1" outlineLevel="1">
      <c r="A357" s="1405"/>
      <c r="B357" s="1436"/>
      <c r="C357" s="1437" t="s">
        <v>470</v>
      </c>
      <c r="D357" s="1438">
        <f t="shared" ref="D357:S357" si="718">D334/D333*100</f>
        <v>43.423102604050747</v>
      </c>
      <c r="E357" s="1438">
        <f t="shared" si="718"/>
        <v>28.57762986543192</v>
      </c>
      <c r="F357" s="1438">
        <f t="shared" si="718"/>
        <v>39.988310929281127</v>
      </c>
      <c r="G357" s="1438">
        <f t="shared" si="718"/>
        <v>45.729180590830104</v>
      </c>
      <c r="H357" s="1438">
        <f t="shared" si="718"/>
        <v>45.640957798650618</v>
      </c>
      <c r="I357" s="1438">
        <f t="shared" si="718"/>
        <v>47.375886524822697</v>
      </c>
      <c r="J357" s="1438">
        <f t="shared" si="718"/>
        <v>37.037037037037038</v>
      </c>
      <c r="K357" s="1438">
        <f t="shared" si="718"/>
        <v>57.829010566762726</v>
      </c>
      <c r="L357" s="1438">
        <f t="shared" si="718"/>
        <v>43.191834841104153</v>
      </c>
      <c r="M357" s="1438">
        <f t="shared" si="718"/>
        <v>38.172888015717092</v>
      </c>
      <c r="N357" s="1438">
        <f t="shared" si="718"/>
        <v>40.57412167952014</v>
      </c>
      <c r="O357" s="1438">
        <f t="shared" si="718"/>
        <v>49.33241252302026</v>
      </c>
      <c r="P357" s="1438">
        <f t="shared" si="718"/>
        <v>41.951884920634917</v>
      </c>
      <c r="Q357" s="1438">
        <f t="shared" si="718"/>
        <v>44.483605681939551</v>
      </c>
      <c r="R357" s="1438">
        <f t="shared" si="718"/>
        <v>43.425549227013832</v>
      </c>
      <c r="S357" s="1438">
        <f t="shared" si="718"/>
        <v>81.629834254143645</v>
      </c>
      <c r="T357" s="1438"/>
      <c r="U357" s="1438"/>
      <c r="V357" s="1438"/>
      <c r="W357" s="1438"/>
      <c r="X357" s="1438"/>
      <c r="Y357" s="1438"/>
      <c r="Z357" s="1438"/>
      <c r="AA357" s="1438"/>
      <c r="AB357" s="1438"/>
      <c r="AC357" s="1438"/>
      <c r="AD357" s="1438"/>
      <c r="AE357" s="1438"/>
      <c r="AF357" s="1438"/>
      <c r="AG357" s="1438"/>
      <c r="AH357" s="1958"/>
      <c r="AI357" s="1438"/>
      <c r="AJ357" s="1958"/>
      <c r="AK357" s="1439"/>
      <c r="AL357" s="1438"/>
      <c r="AM357" s="1438"/>
      <c r="AN357" s="1438"/>
      <c r="AO357" s="1438"/>
      <c r="AP357" s="1438"/>
      <c r="AQ357" s="1420"/>
      <c r="AR357" s="1420"/>
      <c r="AS357" s="1420"/>
      <c r="AT357" s="1420"/>
      <c r="AU357" s="1420"/>
      <c r="AV357" s="1420"/>
      <c r="AW357" s="1420"/>
      <c r="AX357" s="1420"/>
      <c r="AY357" s="1420"/>
      <c r="AZ357" s="1420"/>
      <c r="BA357" s="1420"/>
      <c r="BB357" s="1420"/>
      <c r="BC357" s="1420"/>
      <c r="BD357" s="1420"/>
      <c r="BE357" s="1420"/>
      <c r="BF357" s="1420"/>
      <c r="BG357" s="1420"/>
      <c r="BH357" s="1420"/>
      <c r="BI357" s="1420"/>
      <c r="BJ357" s="1420"/>
      <c r="BK357" s="1420"/>
      <c r="BL357" s="1420"/>
      <c r="BM357" s="1420"/>
    </row>
    <row r="358" spans="1:65" hidden="1" outlineLevel="1">
      <c r="A358" s="1405"/>
      <c r="B358" s="1406"/>
      <c r="C358" s="1405"/>
      <c r="D358" s="1405"/>
      <c r="E358" s="1405"/>
      <c r="F358" s="1405"/>
      <c r="G358" s="1405"/>
      <c r="H358" s="1405"/>
      <c r="I358" s="1405"/>
      <c r="J358" s="1405"/>
      <c r="K358" s="1405"/>
      <c r="L358" s="1405"/>
      <c r="M358" s="1405"/>
      <c r="N358" s="1405"/>
      <c r="O358" s="1405"/>
      <c r="P358" s="1405"/>
      <c r="Q358" s="1405"/>
      <c r="R358" s="1405"/>
      <c r="S358" s="1405"/>
      <c r="T358" s="1405"/>
      <c r="U358" s="1405"/>
      <c r="V358" s="1405"/>
      <c r="W358" s="1405"/>
      <c r="X358" s="1405"/>
      <c r="Y358" s="1405"/>
      <c r="Z358" s="1405"/>
      <c r="AA358" s="1405"/>
      <c r="AB358" s="1405"/>
      <c r="AC358" s="1405"/>
      <c r="AD358" s="1405"/>
      <c r="AE358" s="1405"/>
      <c r="AF358" s="1405"/>
      <c r="AG358" s="1405"/>
      <c r="AH358" s="1953"/>
      <c r="AI358" s="1405"/>
      <c r="AJ358" s="1953"/>
      <c r="AK358" s="1408"/>
      <c r="AL358" s="1405"/>
      <c r="AM358" s="1405"/>
      <c r="AN358" s="1405"/>
      <c r="AO358" s="1405"/>
      <c r="AP358" s="1405"/>
      <c r="AQ358" s="1405"/>
      <c r="AR358" s="1405"/>
      <c r="AS358" s="1405"/>
      <c r="AT358" s="1405"/>
      <c r="AU358" s="1405"/>
      <c r="AV358" s="1405"/>
      <c r="AW358" s="1405"/>
      <c r="AX358" s="1405"/>
      <c r="AY358" s="1405"/>
      <c r="AZ358" s="1405"/>
      <c r="BA358" s="1405"/>
      <c r="BB358" s="1405"/>
      <c r="BC358" s="1405"/>
      <c r="BD358" s="1405"/>
      <c r="BE358" s="1405"/>
      <c r="BF358" s="1405"/>
      <c r="BG358" s="1405"/>
      <c r="BH358" s="1405"/>
      <c r="BI358" s="1405"/>
      <c r="BJ358" s="1405"/>
      <c r="BK358" s="1405"/>
      <c r="BL358" s="1405"/>
      <c r="BM358" s="1405"/>
    </row>
    <row r="359" spans="1:65" hidden="1" outlineLevel="1">
      <c r="A359" s="1405"/>
      <c r="B359" s="1406"/>
      <c r="C359" s="1405" t="s">
        <v>469</v>
      </c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405"/>
      <c r="T359" s="1405"/>
      <c r="U359" s="1405"/>
      <c r="V359" s="1405"/>
      <c r="W359" s="1405"/>
      <c r="X359" s="1405"/>
      <c r="Y359" s="1405"/>
      <c r="Z359" s="1405"/>
      <c r="AA359" s="1405"/>
      <c r="AB359" s="1405"/>
      <c r="AC359" s="1405"/>
      <c r="AD359" s="1405"/>
      <c r="AE359" s="1405"/>
      <c r="AF359" s="1405"/>
      <c r="AG359" s="1405"/>
      <c r="AH359" s="1953"/>
      <c r="AI359" s="1405"/>
      <c r="AJ359" s="1953"/>
      <c r="AK359" s="1408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405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</row>
    <row r="360" spans="1:65" hidden="1" outlineLevel="1">
      <c r="A360" s="1405"/>
      <c r="B360" s="1429"/>
      <c r="C360" s="1430" t="s">
        <v>282</v>
      </c>
      <c r="D360" s="1431" t="e">
        <f>(D319/#REF!-1)*100</f>
        <v>#REF!</v>
      </c>
      <c r="E360" s="1431">
        <f t="shared" ref="E360:X360" si="719">(E319/D319-1)*100</f>
        <v>3.1084456633683644</v>
      </c>
      <c r="F360" s="1431">
        <f t="shared" si="719"/>
        <v>2.1693063296727599</v>
      </c>
      <c r="G360" s="1431">
        <f t="shared" si="719"/>
        <v>5.161471527106376</v>
      </c>
      <c r="H360" s="1431">
        <f t="shared" si="719"/>
        <v>3.132046205128991</v>
      </c>
      <c r="I360" s="1431">
        <f t="shared" si="719"/>
        <v>9.7791279663338226</v>
      </c>
      <c r="J360" s="1431">
        <f t="shared" si="719"/>
        <v>-2.1698399952819747</v>
      </c>
      <c r="K360" s="1431">
        <f t="shared" si="719"/>
        <v>-4.6130731562546323</v>
      </c>
      <c r="L360" s="1431">
        <f t="shared" si="719"/>
        <v>-0.23675255226057734</v>
      </c>
      <c r="M360" s="1431">
        <f t="shared" si="719"/>
        <v>1.2684381593758731</v>
      </c>
      <c r="N360" s="1431">
        <f t="shared" si="719"/>
        <v>1.7015051776571477</v>
      </c>
      <c r="O360" s="1431">
        <f t="shared" si="719"/>
        <v>2.999261894848404</v>
      </c>
      <c r="P360" s="1431">
        <f t="shared" si="719"/>
        <v>-2.2288473110969265</v>
      </c>
      <c r="Q360" s="1431">
        <f t="shared" si="719"/>
        <v>0.60374273511902832</v>
      </c>
      <c r="R360" s="1431">
        <f t="shared" si="719"/>
        <v>2.0707627356111313</v>
      </c>
      <c r="S360" s="1431">
        <f t="shared" si="719"/>
        <v>-2.1705908729032997</v>
      </c>
      <c r="T360" s="1431">
        <f t="shared" si="719"/>
        <v>0.52896442702536906</v>
      </c>
      <c r="U360" s="1431">
        <f t="shared" si="719"/>
        <v>0.82951452697201944</v>
      </c>
      <c r="V360" s="1431">
        <f t="shared" si="719"/>
        <v>-1.4718910339227009</v>
      </c>
      <c r="W360" s="1431">
        <f t="shared" si="719"/>
        <v>-5.7872603471044943</v>
      </c>
      <c r="X360" s="1431">
        <f t="shared" si="719"/>
        <v>2.7110050700864807</v>
      </c>
      <c r="Y360" s="1431"/>
      <c r="Z360" s="1431"/>
      <c r="AA360" s="1431"/>
      <c r="AB360" s="1431"/>
      <c r="AC360" s="1432"/>
      <c r="AD360" s="1432"/>
      <c r="AE360" s="1432"/>
      <c r="AF360" s="1432"/>
      <c r="AG360" s="1432"/>
      <c r="AH360" s="1959"/>
      <c r="AI360" s="1432"/>
      <c r="AJ360" s="1959"/>
      <c r="AK360" s="1440"/>
      <c r="AL360" s="1432"/>
      <c r="AM360" s="1432"/>
      <c r="AN360" s="1432"/>
      <c r="AO360" s="1432"/>
      <c r="AP360" s="1432"/>
      <c r="AQ360" s="1420"/>
      <c r="AR360" s="1420"/>
      <c r="AS360" s="1420"/>
      <c r="AT360" s="1420"/>
      <c r="AU360" s="1420"/>
      <c r="AV360" s="1420"/>
      <c r="AW360" s="1420"/>
      <c r="AX360" s="1420"/>
      <c r="AY360" s="1420"/>
      <c r="AZ360" s="1420"/>
      <c r="BA360" s="1420"/>
      <c r="BB360" s="1420"/>
      <c r="BC360" s="1420"/>
      <c r="BD360" s="1420"/>
      <c r="BE360" s="1420"/>
      <c r="BF360" s="1420"/>
      <c r="BG360" s="1420"/>
      <c r="BH360" s="1420"/>
      <c r="BI360" s="1420"/>
      <c r="BJ360" s="1420"/>
      <c r="BK360" s="1420"/>
      <c r="BL360" s="1420"/>
      <c r="BM360" s="1420"/>
    </row>
    <row r="361" spans="1:65" hidden="1" outlineLevel="1">
      <c r="A361" s="1405"/>
      <c r="B361" s="1406"/>
      <c r="C361" s="1405" t="s">
        <v>190</v>
      </c>
      <c r="D361" s="1420" t="e">
        <f>(D327/#REF!-1)*100</f>
        <v>#REF!</v>
      </c>
      <c r="E361" s="1420">
        <f t="shared" ref="E361:X361" si="720">(E327/D327-1)*100</f>
        <v>-20.244136606775477</v>
      </c>
      <c r="F361" s="1420">
        <f t="shared" si="720"/>
        <v>8.4780739466896016</v>
      </c>
      <c r="G361" s="1420">
        <f t="shared" si="720"/>
        <v>1.331642358909324</v>
      </c>
      <c r="H361" s="1420">
        <f t="shared" si="720"/>
        <v>-15.128285356695869</v>
      </c>
      <c r="I361" s="1420">
        <f t="shared" si="720"/>
        <v>26.930875576036861</v>
      </c>
      <c r="J361" s="1420">
        <f t="shared" si="720"/>
        <v>-24.513505663665413</v>
      </c>
      <c r="K361" s="1420">
        <f t="shared" si="720"/>
        <v>49.576760292420154</v>
      </c>
      <c r="L361" s="1420">
        <f t="shared" si="720"/>
        <v>3.0096463022508013</v>
      </c>
      <c r="M361" s="1420">
        <f t="shared" si="720"/>
        <v>-14.895742289923842</v>
      </c>
      <c r="N361" s="1420">
        <f t="shared" si="720"/>
        <v>-15.170187793427225</v>
      </c>
      <c r="O361" s="1420">
        <f t="shared" si="720"/>
        <v>35.108958837772384</v>
      </c>
      <c r="P361" s="1420">
        <f t="shared" si="720"/>
        <v>-7.2708653353814601</v>
      </c>
      <c r="Q361" s="1420">
        <f t="shared" si="720"/>
        <v>10.28437327443401</v>
      </c>
      <c r="R361" s="1420">
        <f t="shared" si="720"/>
        <v>1.2892727500313006</v>
      </c>
      <c r="S361" s="1420">
        <f t="shared" si="720"/>
        <v>8.0326248146317383</v>
      </c>
      <c r="T361" s="1420">
        <f t="shared" si="720"/>
        <v>8.7966140471288146</v>
      </c>
      <c r="U361" s="1420">
        <f t="shared" si="720"/>
        <v>49.563663126905681</v>
      </c>
      <c r="V361" s="1420">
        <f t="shared" si="720"/>
        <v>-8.6326889279437662</v>
      </c>
      <c r="W361" s="1420">
        <f t="shared" si="720"/>
        <v>-0.30776332999923328</v>
      </c>
      <c r="X361" s="1420">
        <f t="shared" si="720"/>
        <v>-7.6329397237014707</v>
      </c>
      <c r="Y361" s="1420"/>
      <c r="Z361" s="1420"/>
      <c r="AA361" s="1420"/>
      <c r="AB361" s="1420"/>
      <c r="AC361" s="1420"/>
      <c r="AD361" s="1420"/>
      <c r="AE361" s="1420"/>
      <c r="AF361" s="1420"/>
      <c r="AG361" s="1420"/>
      <c r="AH361" s="1954"/>
      <c r="AI361" s="1420"/>
      <c r="AJ361" s="1954"/>
      <c r="AK361" s="1435"/>
      <c r="AL361" s="1420"/>
      <c r="AM361" s="1420"/>
      <c r="AN361" s="1420"/>
      <c r="AO361" s="1420"/>
      <c r="AP361" s="1420"/>
      <c r="AQ361" s="1420"/>
      <c r="AR361" s="1420"/>
      <c r="AS361" s="1420"/>
      <c r="AT361" s="1420"/>
      <c r="AU361" s="1420"/>
      <c r="AV361" s="1420"/>
      <c r="AW361" s="1420"/>
      <c r="AX361" s="1420"/>
      <c r="AY361" s="1420"/>
      <c r="AZ361" s="1420"/>
      <c r="BA361" s="1420"/>
      <c r="BB361" s="1420"/>
      <c r="BC361" s="1420"/>
      <c r="BD361" s="1420"/>
      <c r="BE361" s="1420"/>
      <c r="BF361" s="1420"/>
      <c r="BG361" s="1420"/>
      <c r="BH361" s="1420"/>
      <c r="BI361" s="1420"/>
      <c r="BJ361" s="1420"/>
      <c r="BK361" s="1420"/>
      <c r="BL361" s="1420"/>
      <c r="BM361" s="1420"/>
    </row>
    <row r="362" spans="1:65" hidden="1" outlineLevel="1">
      <c r="A362" s="1405"/>
      <c r="B362" s="1406"/>
      <c r="C362" s="1405" t="s">
        <v>233</v>
      </c>
      <c r="D362" s="1420" t="e">
        <f>(D330/#REF!-1)*100</f>
        <v>#REF!</v>
      </c>
      <c r="E362" s="1420">
        <f t="shared" ref="E362:X362" si="721">(E330/D330-1)*100</f>
        <v>-3.2113684681660537</v>
      </c>
      <c r="F362" s="1420">
        <f t="shared" si="721"/>
        <v>-2.6705202312138687</v>
      </c>
      <c r="G362" s="1420">
        <f t="shared" si="721"/>
        <v>-4.0622401710416867</v>
      </c>
      <c r="H362" s="1420">
        <f t="shared" si="721"/>
        <v>-5.6828030209236102</v>
      </c>
      <c r="I362" s="1420">
        <f t="shared" si="721"/>
        <v>2.4284589131005507</v>
      </c>
      <c r="J362" s="1420">
        <f t="shared" si="721"/>
        <v>4.8058439061899216</v>
      </c>
      <c r="K362" s="1420">
        <f t="shared" si="721"/>
        <v>-1.932012717045728</v>
      </c>
      <c r="L362" s="1420">
        <f t="shared" si="721"/>
        <v>5.4239401496259276</v>
      </c>
      <c r="M362" s="1420">
        <f t="shared" si="721"/>
        <v>-11.827321111768185</v>
      </c>
      <c r="N362" s="1420">
        <f t="shared" si="721"/>
        <v>-10.74446680080483</v>
      </c>
      <c r="O362" s="1420">
        <f t="shared" si="721"/>
        <v>32.296363089870759</v>
      </c>
      <c r="P362" s="1420">
        <f t="shared" si="721"/>
        <v>-8.9514938089287792</v>
      </c>
      <c r="Q362" s="1420">
        <f t="shared" si="721"/>
        <v>4.6537741734248295</v>
      </c>
      <c r="R362" s="1420">
        <f t="shared" si="721"/>
        <v>6.2231759656652397</v>
      </c>
      <c r="S362" s="1420">
        <f t="shared" si="721"/>
        <v>9.3378226711560153</v>
      </c>
      <c r="T362" s="1420">
        <f t="shared" si="721"/>
        <v>11.979059741326225</v>
      </c>
      <c r="U362" s="1420">
        <f t="shared" si="721"/>
        <v>45.366211385094871</v>
      </c>
      <c r="V362" s="1420">
        <f t="shared" si="721"/>
        <v>-3.5376466136965545</v>
      </c>
      <c r="W362" s="1420">
        <f t="shared" si="721"/>
        <v>-3.0005883506569964</v>
      </c>
      <c r="X362" s="1420">
        <f t="shared" si="721"/>
        <v>-84.074673136541307</v>
      </c>
      <c r="Y362" s="1420"/>
      <c r="Z362" s="1420"/>
      <c r="AA362" s="1420"/>
      <c r="AB362" s="1420"/>
      <c r="AC362" s="1420"/>
      <c r="AD362" s="1420"/>
      <c r="AE362" s="1420"/>
      <c r="AF362" s="1420"/>
      <c r="AG362" s="1420"/>
      <c r="AH362" s="1954"/>
      <c r="AI362" s="1420"/>
      <c r="AJ362" s="1954"/>
      <c r="AK362" s="1435"/>
      <c r="AL362" s="1420"/>
      <c r="AM362" s="1420"/>
      <c r="AN362" s="1420"/>
      <c r="AO362" s="1420"/>
      <c r="AP362" s="1420"/>
      <c r="AQ362" s="1420"/>
      <c r="AR362" s="1420"/>
      <c r="AS362" s="1420"/>
      <c r="AT362" s="1420"/>
      <c r="AU362" s="1420"/>
      <c r="AV362" s="1420"/>
      <c r="AW362" s="1420"/>
      <c r="AX362" s="1420"/>
      <c r="AY362" s="1420"/>
      <c r="AZ362" s="1420"/>
      <c r="BA362" s="1420"/>
      <c r="BB362" s="1420"/>
      <c r="BC362" s="1420"/>
      <c r="BD362" s="1420"/>
      <c r="BE362" s="1420"/>
      <c r="BF362" s="1420"/>
      <c r="BG362" s="1420"/>
      <c r="BH362" s="1420"/>
      <c r="BI362" s="1420"/>
      <c r="BJ362" s="1420"/>
      <c r="BK362" s="1420"/>
      <c r="BL362" s="1420"/>
      <c r="BM362" s="1420"/>
    </row>
    <row r="363" spans="1:65" hidden="1" outlineLevel="1">
      <c r="A363" s="1405"/>
      <c r="B363" s="1436"/>
      <c r="C363" s="1437" t="s">
        <v>468</v>
      </c>
      <c r="D363" s="1438" t="e">
        <f>(D335/#REF!-1)*100</f>
        <v>#REF!</v>
      </c>
      <c r="E363" s="1438">
        <f t="shared" ref="E363:X363" si="722">(E335/D335-1)*100</f>
        <v>94.177812745869403</v>
      </c>
      <c r="F363" s="1438">
        <f t="shared" si="722"/>
        <v>-47.994327390599679</v>
      </c>
      <c r="G363" s="1438">
        <f t="shared" si="722"/>
        <v>-20.938839111803663</v>
      </c>
      <c r="H363" s="1438">
        <f t="shared" si="722"/>
        <v>1.2071938901207169</v>
      </c>
      <c r="I363" s="1438">
        <f t="shared" si="722"/>
        <v>-9.7127555988315457</v>
      </c>
      <c r="J363" s="1438">
        <f t="shared" si="722"/>
        <v>-3.3162577514154745</v>
      </c>
      <c r="K363" s="1438">
        <f t="shared" si="722"/>
        <v>-26.575571667596208</v>
      </c>
      <c r="L363" s="1438">
        <f t="shared" si="722"/>
        <v>-6.988226357766802</v>
      </c>
      <c r="M363" s="1438">
        <f t="shared" si="722"/>
        <v>-228.54226214781542</v>
      </c>
      <c r="N363" s="1438">
        <f t="shared" si="722"/>
        <v>-144.05972045743329</v>
      </c>
      <c r="O363" s="1438">
        <f t="shared" si="722"/>
        <v>58.759913482335982</v>
      </c>
      <c r="P363" s="1438">
        <f t="shared" si="722"/>
        <v>112.48864668483196</v>
      </c>
      <c r="Q363" s="1438">
        <f t="shared" si="722"/>
        <v>11.070741611455448</v>
      </c>
      <c r="R363" s="1438">
        <f t="shared" si="722"/>
        <v>33.769482393688662</v>
      </c>
      <c r="S363" s="1438">
        <f t="shared" si="722"/>
        <v>-84.69505178365938</v>
      </c>
      <c r="T363" s="1438">
        <f t="shared" si="722"/>
        <v>388.34586466165416</v>
      </c>
      <c r="U363" s="1438">
        <f t="shared" si="722"/>
        <v>55.966127790608169</v>
      </c>
      <c r="V363" s="1438">
        <f t="shared" si="722"/>
        <v>14.893879565646584</v>
      </c>
      <c r="W363" s="1438">
        <f t="shared" si="722"/>
        <v>-37.13886800558479</v>
      </c>
      <c r="X363" s="1438">
        <f t="shared" si="722"/>
        <v>84.913719460105924</v>
      </c>
      <c r="Y363" s="1438"/>
      <c r="Z363" s="1438"/>
      <c r="AA363" s="1438"/>
      <c r="AB363" s="1438"/>
      <c r="AC363" s="1438"/>
      <c r="AD363" s="1438"/>
      <c r="AE363" s="1438"/>
      <c r="AF363" s="1438"/>
      <c r="AG363" s="1438"/>
      <c r="AH363" s="1958"/>
      <c r="AI363" s="1438"/>
      <c r="AJ363" s="1958"/>
      <c r="AK363" s="1439"/>
      <c r="AL363" s="1438"/>
      <c r="AM363" s="1438"/>
      <c r="AN363" s="1438"/>
      <c r="AO363" s="1438"/>
      <c r="AP363" s="1438"/>
      <c r="AQ363" s="1420"/>
      <c r="AR363" s="1420"/>
      <c r="AS363" s="1420"/>
      <c r="AT363" s="1420"/>
      <c r="AU363" s="1420"/>
      <c r="AV363" s="1420"/>
      <c r="AW363" s="1420"/>
      <c r="AX363" s="1420"/>
      <c r="AY363" s="1420"/>
      <c r="AZ363" s="1420"/>
      <c r="BA363" s="1420"/>
      <c r="BB363" s="1420"/>
      <c r="BC363" s="1420"/>
      <c r="BD363" s="1420"/>
      <c r="BE363" s="1420"/>
      <c r="BF363" s="1420"/>
      <c r="BG363" s="1420"/>
      <c r="BH363" s="1420"/>
      <c r="BI363" s="1420"/>
      <c r="BJ363" s="1420"/>
      <c r="BK363" s="1420"/>
      <c r="BL363" s="1420"/>
      <c r="BM363" s="1420"/>
    </row>
    <row r="364" spans="1:65" hidden="1" outlineLevel="1">
      <c r="B364" s="1338"/>
    </row>
    <row r="365" spans="1:65" hidden="1" outlineLevel="1">
      <c r="B365" s="1338"/>
    </row>
    <row r="366" spans="1:65" hidden="1" outlineLevel="1">
      <c r="B366" s="1338"/>
      <c r="C366" s="1" t="s">
        <v>467</v>
      </c>
      <c r="D366" s="1504" t="str">
        <f t="shared" ref="D366:L366" si="723">D8</f>
        <v>92/3</v>
      </c>
      <c r="E366" s="1504" t="str">
        <f t="shared" si="723"/>
        <v>93/3</v>
      </c>
      <c r="F366" s="1504" t="str">
        <f t="shared" si="723"/>
        <v>94/3</v>
      </c>
      <c r="G366" s="1504" t="str">
        <f t="shared" si="723"/>
        <v>95/3</v>
      </c>
      <c r="H366" s="1504" t="str">
        <f t="shared" si="723"/>
        <v>96/3</v>
      </c>
      <c r="I366" s="1504" t="str">
        <f t="shared" si="723"/>
        <v>97/3</v>
      </c>
      <c r="J366" s="1504" t="str">
        <f t="shared" si="723"/>
        <v>98/3</v>
      </c>
      <c r="K366" s="1504" t="str">
        <f t="shared" si="723"/>
        <v>99/3</v>
      </c>
      <c r="L366" s="1333">
        <f t="shared" si="723"/>
        <v>36586</v>
      </c>
      <c r="M366" s="1333">
        <v>36951</v>
      </c>
      <c r="N366" s="1333">
        <v>37316</v>
      </c>
      <c r="O366" s="1333">
        <v>37681</v>
      </c>
      <c r="P366" s="1333">
        <v>38047</v>
      </c>
      <c r="Q366" s="1333">
        <v>38412</v>
      </c>
      <c r="R366" s="1333">
        <v>38777</v>
      </c>
      <c r="S366" s="1333">
        <v>39142</v>
      </c>
      <c r="T366" s="1333">
        <v>39508</v>
      </c>
      <c r="U366" s="1333">
        <v>39873</v>
      </c>
      <c r="V366" s="1465">
        <v>40238</v>
      </c>
      <c r="W366" s="1465">
        <f t="shared" ref="W366:AC366" si="724">+W317</f>
        <v>40603</v>
      </c>
      <c r="X366" s="1465">
        <f t="shared" si="724"/>
        <v>40969</v>
      </c>
      <c r="Y366" s="1465" t="str">
        <f t="shared" si="724"/>
        <v>2011/3予</v>
      </c>
      <c r="Z366" s="1465" t="str">
        <f t="shared" si="724"/>
        <v>2011/3予</v>
      </c>
      <c r="AA366" s="1465" t="str">
        <f t="shared" si="724"/>
        <v>2011/3予</v>
      </c>
      <c r="AB366" s="1465" t="str">
        <f t="shared" si="724"/>
        <v>2011/3予</v>
      </c>
      <c r="AC366" s="1465" t="str">
        <f t="shared" si="724"/>
        <v>2011/3予</v>
      </c>
      <c r="AD366" s="1465" t="str">
        <f t="shared" ref="AD366:AE366" si="725">+AD317</f>
        <v>2011/3予</v>
      </c>
      <c r="AE366" s="1465" t="str">
        <f t="shared" si="725"/>
        <v>2011/3予</v>
      </c>
      <c r="AF366" s="1465" t="str">
        <f t="shared" ref="AF366:AH366" si="726">+AF317</f>
        <v>2011/3予</v>
      </c>
      <c r="AG366" s="1465" t="str">
        <f t="shared" si="726"/>
        <v>2011/3予</v>
      </c>
      <c r="AH366" s="1938" t="str">
        <f t="shared" si="726"/>
        <v>2011/3予</v>
      </c>
      <c r="AI366" s="1465" t="str">
        <f t="shared" ref="AI366:AK366" si="727">+AI317</f>
        <v>2011/3予</v>
      </c>
      <c r="AJ366" s="1938" t="str">
        <f t="shared" ref="AJ366" si="728">+AJ317</f>
        <v>2011/3予</v>
      </c>
      <c r="AK366" s="1499" t="str">
        <f t="shared" si="727"/>
        <v>2011/3予</v>
      </c>
      <c r="AL366" s="1465" t="str">
        <f t="shared" ref="AL366" si="729">+AL317</f>
        <v>2011/3予</v>
      </c>
      <c r="AM366" s="1465" t="str">
        <f t="shared" ref="AM366:AN366" si="730">+AM317</f>
        <v>2011/3予</v>
      </c>
      <c r="AN366" s="1465" t="str">
        <f t="shared" si="730"/>
        <v>2011/3予</v>
      </c>
      <c r="AO366" s="1465" t="str">
        <f t="shared" ref="AO366" si="731">+AO317</f>
        <v>2011/3予</v>
      </c>
      <c r="AP366" s="1465" t="str">
        <f t="shared" ref="AP366" si="732">+AP317</f>
        <v>2011/3予</v>
      </c>
      <c r="AQ366" s="1333"/>
      <c r="AR366" s="1333"/>
      <c r="AS366" s="1333"/>
      <c r="AT366" s="1333"/>
      <c r="AU366" s="1333"/>
      <c r="AV366" s="1333"/>
      <c r="AW366" s="1333"/>
      <c r="AX366" s="1333"/>
      <c r="AY366" s="1333"/>
      <c r="AZ366" s="1333"/>
      <c r="BA366" s="1333"/>
      <c r="BB366" s="1333"/>
      <c r="BC366" s="1333"/>
      <c r="BD366" s="1333"/>
      <c r="BE366" s="1333"/>
      <c r="BF366" s="1333"/>
      <c r="BG366" s="1333"/>
      <c r="BH366" s="1333"/>
      <c r="BI366" s="1333"/>
      <c r="BJ366" s="1333"/>
      <c r="BK366" s="1333"/>
      <c r="BL366" s="1333"/>
      <c r="BM366" s="1333"/>
    </row>
    <row r="367" spans="1:65" hidden="1" outlineLevel="1">
      <c r="A367" s="367"/>
      <c r="B367" s="1445" t="s">
        <v>1148</v>
      </c>
      <c r="C367" s="1445" t="s">
        <v>466</v>
      </c>
      <c r="D367" s="1445">
        <v>49480</v>
      </c>
      <c r="E367" s="1445">
        <v>47781</v>
      </c>
      <c r="F367" s="1445">
        <v>46292</v>
      </c>
      <c r="G367" s="1445">
        <v>54994</v>
      </c>
      <c r="H367" s="1445">
        <v>57587</v>
      </c>
      <c r="I367" s="1445">
        <v>67859</v>
      </c>
      <c r="J367" s="1445">
        <v>60371</v>
      </c>
      <c r="K367" s="1445">
        <v>48807</v>
      </c>
      <c r="L367" s="1445">
        <v>41197</v>
      </c>
      <c r="M367" s="1445">
        <v>39969</v>
      </c>
      <c r="N367" s="1445">
        <v>36445</v>
      </c>
      <c r="O367" s="1445">
        <v>38747</v>
      </c>
      <c r="P367" s="1445">
        <v>32404</v>
      </c>
      <c r="Q367" s="1445">
        <v>30743</v>
      </c>
      <c r="R367" s="1445">
        <v>25840</v>
      </c>
      <c r="S367" s="1445">
        <v>22263</v>
      </c>
      <c r="T367" s="1445">
        <v>20278</v>
      </c>
      <c r="U367" s="1445">
        <v>17493</v>
      </c>
      <c r="V367" s="1445">
        <v>17020</v>
      </c>
      <c r="W367" s="1445"/>
      <c r="X367" s="1445"/>
      <c r="Y367" s="1445"/>
      <c r="Z367" s="1445"/>
      <c r="AA367" s="1445"/>
      <c r="AB367" s="1445"/>
      <c r="AC367" s="1546"/>
      <c r="AD367" s="1546"/>
      <c r="AE367" s="1546"/>
      <c r="AF367" s="1546"/>
      <c r="AG367" s="1546"/>
      <c r="AH367" s="1976"/>
      <c r="AI367" s="1546"/>
      <c r="AJ367" s="1976"/>
      <c r="AK367" s="1547"/>
      <c r="AL367" s="1546"/>
      <c r="AM367" s="1546"/>
      <c r="AN367" s="1546"/>
      <c r="AO367" s="1546"/>
      <c r="AP367" s="1546"/>
      <c r="AQ367" s="367"/>
      <c r="AR367" s="367"/>
      <c r="AS367" s="367"/>
      <c r="AT367" s="367"/>
      <c r="AU367" s="367"/>
      <c r="AV367" s="367"/>
      <c r="AW367" s="367"/>
      <c r="AX367" s="367"/>
      <c r="AY367" s="367"/>
      <c r="AZ367" s="367"/>
      <c r="BA367" s="367"/>
      <c r="BB367" s="367"/>
      <c r="BC367" s="367"/>
      <c r="BD367" s="367"/>
      <c r="BE367" s="367"/>
      <c r="BF367" s="367"/>
      <c r="BG367" s="367"/>
      <c r="BH367" s="367"/>
      <c r="BI367" s="367"/>
      <c r="BJ367" s="367"/>
      <c r="BK367" s="367"/>
      <c r="BL367" s="367"/>
      <c r="BM367" s="367"/>
    </row>
    <row r="368" spans="1:65" hidden="1" outlineLevel="1">
      <c r="A368" s="367"/>
      <c r="B368" s="367"/>
      <c r="C368" s="367"/>
      <c r="D368" s="1542" t="s">
        <v>451</v>
      </c>
      <c r="E368" s="342">
        <f t="shared" ref="E368:V368" si="733">E367/D367-1</f>
        <v>-3.4337105901374287E-2</v>
      </c>
      <c r="F368" s="342">
        <f t="shared" si="733"/>
        <v>-3.1163014587388238E-2</v>
      </c>
      <c r="G368" s="342">
        <f t="shared" si="733"/>
        <v>0.18798064460381925</v>
      </c>
      <c r="H368" s="342">
        <f t="shared" si="733"/>
        <v>4.7150598247081454E-2</v>
      </c>
      <c r="I368" s="342">
        <f t="shared" si="733"/>
        <v>0.17837359126191665</v>
      </c>
      <c r="J368" s="342">
        <f t="shared" si="733"/>
        <v>-0.11034645367600471</v>
      </c>
      <c r="K368" s="342">
        <f t="shared" si="733"/>
        <v>-0.19154892249590039</v>
      </c>
      <c r="L368" s="342">
        <f t="shared" si="733"/>
        <v>-0.15592025734013559</v>
      </c>
      <c r="M368" s="342">
        <f t="shared" si="733"/>
        <v>-2.9807995727844205E-2</v>
      </c>
      <c r="N368" s="342">
        <f t="shared" si="733"/>
        <v>-8.8168330456103505E-2</v>
      </c>
      <c r="O368" s="342">
        <f t="shared" si="733"/>
        <v>6.3163671285498602E-2</v>
      </c>
      <c r="P368" s="342">
        <f t="shared" si="733"/>
        <v>-0.1637029963610086</v>
      </c>
      <c r="Q368" s="342">
        <f t="shared" si="733"/>
        <v>-5.1259103814343954E-2</v>
      </c>
      <c r="R368" s="342">
        <f t="shared" si="733"/>
        <v>-0.15948345964935107</v>
      </c>
      <c r="S368" s="342">
        <f t="shared" si="733"/>
        <v>-0.13842879256965945</v>
      </c>
      <c r="T368" s="342">
        <f t="shared" si="733"/>
        <v>-8.9161388851457524E-2</v>
      </c>
      <c r="U368" s="342">
        <f t="shared" si="733"/>
        <v>-0.13734096064700663</v>
      </c>
      <c r="V368" s="342">
        <f t="shared" si="733"/>
        <v>-2.7039387183444785E-2</v>
      </c>
      <c r="W368" s="342"/>
      <c r="X368" s="342"/>
      <c r="Y368" s="342"/>
      <c r="Z368" s="342"/>
      <c r="AA368" s="342"/>
      <c r="AB368" s="342"/>
      <c r="AC368" s="342"/>
      <c r="AD368" s="342"/>
      <c r="AE368" s="342"/>
      <c r="AF368" s="342"/>
      <c r="AG368" s="342"/>
      <c r="AH368" s="1962"/>
      <c r="AI368" s="342"/>
      <c r="AJ368" s="1962"/>
      <c r="AK368" s="365"/>
      <c r="AL368" s="342"/>
      <c r="AM368" s="342"/>
      <c r="AN368" s="342"/>
      <c r="AO368" s="342"/>
      <c r="AP368" s="342"/>
      <c r="AQ368" s="342"/>
      <c r="AR368" s="342"/>
      <c r="AS368" s="342"/>
      <c r="AT368" s="342"/>
      <c r="AU368" s="342"/>
      <c r="AV368" s="342"/>
      <c r="AW368" s="342"/>
      <c r="AX368" s="342"/>
      <c r="AY368" s="342"/>
      <c r="AZ368" s="342"/>
      <c r="BA368" s="342"/>
      <c r="BB368" s="342"/>
      <c r="BC368" s="342"/>
      <c r="BD368" s="342"/>
      <c r="BE368" s="342"/>
      <c r="BF368" s="342"/>
      <c r="BG368" s="342"/>
      <c r="BH368" s="342"/>
      <c r="BI368" s="342"/>
      <c r="BJ368" s="342"/>
      <c r="BK368" s="342"/>
      <c r="BL368" s="342"/>
      <c r="BM368" s="342"/>
    </row>
    <row r="369" spans="1:65" hidden="1" outlineLevel="1">
      <c r="A369" s="367"/>
      <c r="B369" s="367" t="s">
        <v>1149</v>
      </c>
      <c r="C369" s="367" t="s">
        <v>465</v>
      </c>
      <c r="D369" s="367">
        <f>61613+30687+6573+5193+16777</f>
        <v>120843</v>
      </c>
      <c r="E369" s="367">
        <f>E393-E389-E367</f>
        <v>127164</v>
      </c>
      <c r="F369" s="367">
        <f>F393-F389-F367</f>
        <v>132327</v>
      </c>
      <c r="G369" s="367">
        <f>G393-G389-G367</f>
        <v>132642</v>
      </c>
      <c r="H369" s="367">
        <f>H393-H389-H367</f>
        <v>136065</v>
      </c>
      <c r="I369" s="367">
        <f>I393-I389-I367</f>
        <v>145553</v>
      </c>
      <c r="J369" s="367">
        <v>144898</v>
      </c>
      <c r="K369" s="367">
        <v>145285</v>
      </c>
      <c r="L369" s="367">
        <v>150717</v>
      </c>
      <c r="M369" s="367">
        <v>154091</v>
      </c>
      <c r="N369" s="367">
        <f>86012+41733+9695+7259+16193</f>
        <v>160892</v>
      </c>
      <c r="O369" s="367">
        <v>164788</v>
      </c>
      <c r="P369" s="367">
        <v>166890</v>
      </c>
      <c r="Q369" s="367">
        <v>169777</v>
      </c>
      <c r="R369" s="367">
        <v>178643</v>
      </c>
      <c r="S369" s="367">
        <f>S371+S379+S381+S383+S385+2</f>
        <v>177219</v>
      </c>
      <c r="T369" s="367">
        <v>180669</v>
      </c>
      <c r="U369" s="367">
        <v>185461</v>
      </c>
      <c r="V369" s="367">
        <v>182799</v>
      </c>
      <c r="W369" s="367">
        <f t="shared" ref="W369:AC369" si="734">W371+W379+W381+W383+W385</f>
        <v>185419.2</v>
      </c>
      <c r="X369" s="367">
        <f t="shared" si="734"/>
        <v>188082.47660000002</v>
      </c>
      <c r="Y369" s="367">
        <f t="shared" si="734"/>
        <v>190788.56785800005</v>
      </c>
      <c r="Z369" s="367">
        <f t="shared" si="734"/>
        <v>193538.22555842003</v>
      </c>
      <c r="AA369" s="367">
        <f t="shared" si="734"/>
        <v>196332.21547628104</v>
      </c>
      <c r="AB369" s="367">
        <f t="shared" si="734"/>
        <v>199171.3176465662</v>
      </c>
      <c r="AC369" s="367">
        <f t="shared" si="734"/>
        <v>202056.32663886464</v>
      </c>
      <c r="AD369" s="367">
        <f t="shared" ref="AD369:AE369" si="735">AD371+AD379+AD381+AD383+AD385</f>
        <v>204988.05183740275</v>
      </c>
      <c r="AE369" s="367">
        <f t="shared" si="735"/>
        <v>207967.31772656919</v>
      </c>
      <c r="AF369" s="367">
        <f t="shared" ref="AF369:AH369" si="736">AF371+AF379+AF381+AF383+AF385</f>
        <v>210994.96418204316</v>
      </c>
      <c r="AG369" s="367">
        <f t="shared" si="736"/>
        <v>214071.84676763605</v>
      </c>
      <c r="AH369" s="1961">
        <f t="shared" si="736"/>
        <v>217198.83703796027</v>
      </c>
      <c r="AI369" s="367">
        <f t="shared" ref="AI369:AK369" si="737">AI371+AI379+AI381+AI383+AI385</f>
        <v>217198.83703796027</v>
      </c>
      <c r="AJ369" s="1961">
        <f t="shared" ref="AJ369" si="738">AJ371+AJ379+AJ381+AJ383+AJ385</f>
        <v>220376.82284704075</v>
      </c>
      <c r="AK369" s="1442">
        <f t="shared" si="737"/>
        <v>220376.82284704075</v>
      </c>
      <c r="AL369" s="367">
        <f t="shared" ref="AL369" si="739">AL371+AL379+AL381+AL383+AL385</f>
        <v>223606.70866298603</v>
      </c>
      <c r="AM369" s="367">
        <f t="shared" ref="AM369:AN369" si="740">AM371+AM379+AM381+AM383+AM385</f>
        <v>226889.41588884025</v>
      </c>
      <c r="AN369" s="367">
        <f t="shared" si="740"/>
        <v>230225.88318973751</v>
      </c>
      <c r="AO369" s="367">
        <f t="shared" ref="AO369" si="741">AO371+AO379+AO381+AO383+AO385</f>
        <v>233617.0668264839</v>
      </c>
      <c r="AP369" s="367">
        <f t="shared" ref="AP369" si="742">AP371+AP379+AP381+AP383+AP385</f>
        <v>237063.94099569475</v>
      </c>
      <c r="AQ369" s="367"/>
      <c r="AR369" s="367"/>
      <c r="AS369" s="367"/>
      <c r="AT369" s="367"/>
      <c r="AU369" s="367"/>
      <c r="AV369" s="367"/>
      <c r="AW369" s="367"/>
      <c r="AX369" s="367"/>
      <c r="AY369" s="367"/>
      <c r="AZ369" s="367"/>
      <c r="BA369" s="367"/>
      <c r="BB369" s="367"/>
      <c r="BC369" s="367"/>
      <c r="BD369" s="367"/>
      <c r="BE369" s="367"/>
      <c r="BF369" s="367"/>
      <c r="BG369" s="367"/>
      <c r="BH369" s="367"/>
      <c r="BI369" s="367"/>
      <c r="BJ369" s="367"/>
      <c r="BK369" s="367"/>
      <c r="BL369" s="367"/>
      <c r="BM369" s="367"/>
    </row>
    <row r="370" spans="1:65" hidden="1" outlineLevel="1">
      <c r="A370" s="367"/>
      <c r="B370" s="367"/>
      <c r="C370" s="367"/>
      <c r="D370" s="1542" t="s">
        <v>451</v>
      </c>
      <c r="E370" s="342">
        <f t="shared" ref="E370:AP370" si="743">E369/D369-1</f>
        <v>5.2307539534768299E-2</v>
      </c>
      <c r="F370" s="342">
        <f t="shared" si="743"/>
        <v>4.0601113522695131E-2</v>
      </c>
      <c r="G370" s="342">
        <f t="shared" si="743"/>
        <v>2.38046657144797E-3</v>
      </c>
      <c r="H370" s="342">
        <f t="shared" si="743"/>
        <v>2.580630569502862E-2</v>
      </c>
      <c r="I370" s="342">
        <f t="shared" si="743"/>
        <v>6.9731378385330611E-2</v>
      </c>
      <c r="J370" s="342">
        <f t="shared" si="743"/>
        <v>-4.5000790090207188E-3</v>
      </c>
      <c r="K370" s="342">
        <f t="shared" si="743"/>
        <v>2.6708443180720742E-3</v>
      </c>
      <c r="L370" s="342">
        <f t="shared" si="743"/>
        <v>3.7388581064803583E-2</v>
      </c>
      <c r="M370" s="342">
        <f t="shared" si="743"/>
        <v>2.2386326691746783E-2</v>
      </c>
      <c r="N370" s="342">
        <f t="shared" si="743"/>
        <v>4.4136257146750957E-2</v>
      </c>
      <c r="O370" s="342">
        <f t="shared" si="743"/>
        <v>2.4215001367376976E-2</v>
      </c>
      <c r="P370" s="342">
        <f t="shared" si="743"/>
        <v>1.2755783188096226E-2</v>
      </c>
      <c r="Q370" s="342">
        <f t="shared" si="743"/>
        <v>1.7298819581760494E-2</v>
      </c>
      <c r="R370" s="342">
        <f t="shared" si="743"/>
        <v>5.2221443422842961E-2</v>
      </c>
      <c r="S370" s="342">
        <f t="shared" si="743"/>
        <v>-7.9712051409794871E-3</v>
      </c>
      <c r="T370" s="342">
        <f t="shared" si="743"/>
        <v>1.9467438592927433E-2</v>
      </c>
      <c r="U370" s="342">
        <f t="shared" si="743"/>
        <v>2.6523642683581539E-2</v>
      </c>
      <c r="V370" s="342">
        <f t="shared" si="743"/>
        <v>-1.4353422013253514E-2</v>
      </c>
      <c r="W370" s="342">
        <f t="shared" si="743"/>
        <v>1.4333776442978508E-2</v>
      </c>
      <c r="X370" s="342">
        <f t="shared" si="743"/>
        <v>1.436354271833773E-2</v>
      </c>
      <c r="Y370" s="342">
        <f t="shared" si="743"/>
        <v>1.4387790435975267E-2</v>
      </c>
      <c r="Z370" s="342">
        <f t="shared" si="743"/>
        <v>1.4412067406819107E-2</v>
      </c>
      <c r="AA370" s="342">
        <f t="shared" si="743"/>
        <v>1.4436372503671802E-2</v>
      </c>
      <c r="AB370" s="342">
        <f t="shared" si="743"/>
        <v>1.4460704593985296E-2</v>
      </c>
      <c r="AC370" s="342">
        <f t="shared" si="743"/>
        <v>1.4485062540068983E-2</v>
      </c>
      <c r="AD370" s="342">
        <f t="shared" si="743"/>
        <v>1.4509445199298199E-2</v>
      </c>
      <c r="AE370" s="342">
        <f t="shared" si="743"/>
        <v>1.4533851424324062E-2</v>
      </c>
      <c r="AF370" s="342">
        <f t="shared" si="743"/>
        <v>1.4558280063286855E-2</v>
      </c>
      <c r="AG370" s="342">
        <f t="shared" si="743"/>
        <v>1.458272996002985E-2</v>
      </c>
      <c r="AH370" s="1962">
        <f>AH369/AG369-1</f>
        <v>1.4607199954314476E-2</v>
      </c>
      <c r="AI370" s="342">
        <f>AI369/AG369-1</f>
        <v>1.4607199954314476E-2</v>
      </c>
      <c r="AJ370" s="1962">
        <f>AJ369/AI369-1</f>
        <v>1.4631688882040583E-2</v>
      </c>
      <c r="AK370" s="365">
        <f>AK369/AI369-1</f>
        <v>1.4631688882040583E-2</v>
      </c>
      <c r="AL370" s="342">
        <f t="shared" si="743"/>
        <v>1.4656195575462494E-2</v>
      </c>
      <c r="AM370" s="342">
        <f t="shared" si="743"/>
        <v>1.4680718863412157E-2</v>
      </c>
      <c r="AN370" s="342">
        <f t="shared" si="743"/>
        <v>1.4705257571520525E-2</v>
      </c>
      <c r="AO370" s="342">
        <f t="shared" si="743"/>
        <v>1.4729810522440712E-2</v>
      </c>
      <c r="AP370" s="342">
        <f t="shared" si="743"/>
        <v>1.4754376536072922E-2</v>
      </c>
      <c r="AQ370" s="342"/>
      <c r="AR370" s="342"/>
      <c r="AS370" s="342"/>
      <c r="AT370" s="342"/>
      <c r="AU370" s="342"/>
      <c r="AV370" s="342"/>
      <c r="AW370" s="342"/>
      <c r="AX370" s="342"/>
      <c r="AY370" s="342"/>
      <c r="AZ370" s="342"/>
      <c r="BA370" s="342"/>
      <c r="BB370" s="342"/>
      <c r="BC370" s="342"/>
      <c r="BD370" s="342"/>
      <c r="BE370" s="342"/>
      <c r="BF370" s="342"/>
      <c r="BG370" s="342"/>
      <c r="BH370" s="342"/>
      <c r="BI370" s="342"/>
      <c r="BJ370" s="342"/>
      <c r="BK370" s="342"/>
      <c r="BL370" s="342"/>
      <c r="BM370" s="342"/>
    </row>
    <row r="371" spans="1:65" hidden="1" outlineLevel="1">
      <c r="A371" s="367"/>
      <c r="B371" s="367" t="s">
        <v>1183</v>
      </c>
      <c r="C371" s="367" t="s">
        <v>464</v>
      </c>
      <c r="D371" s="367">
        <v>61613</v>
      </c>
      <c r="E371" s="367">
        <v>66432</v>
      </c>
      <c r="F371" s="367">
        <v>70036</v>
      </c>
      <c r="G371" s="367">
        <v>70980</v>
      </c>
      <c r="H371" s="367">
        <v>73993</v>
      </c>
      <c r="I371" s="367">
        <v>81288</v>
      </c>
      <c r="J371" s="367">
        <v>78559</v>
      </c>
      <c r="K371" s="367">
        <v>76751</v>
      </c>
      <c r="L371" s="367">
        <v>81107</v>
      </c>
      <c r="M371" s="367">
        <v>83029</v>
      </c>
      <c r="N371" s="367">
        <v>86012</v>
      </c>
      <c r="O371" s="367">
        <v>90368</v>
      </c>
      <c r="P371" s="367">
        <v>91922</v>
      </c>
      <c r="Q371" s="367">
        <v>93732</v>
      </c>
      <c r="R371" s="367">
        <v>100979</v>
      </c>
      <c r="S371" s="367">
        <f>S373+S375+S377+1</f>
        <v>99674</v>
      </c>
      <c r="T371" s="367">
        <f>T373+T375+T377+1</f>
        <v>99572</v>
      </c>
      <c r="U371" s="367">
        <v>96970</v>
      </c>
      <c r="V371" s="367">
        <v>97006</v>
      </c>
      <c r="W371" s="367">
        <f t="shared" ref="W371:AC371" si="744">W373+W375+W377+1</f>
        <v>98769.279999999999</v>
      </c>
      <c r="X371" s="367">
        <f t="shared" si="744"/>
        <v>100566.05740000002</v>
      </c>
      <c r="Y371" s="367">
        <f t="shared" si="744"/>
        <v>102396.98446600002</v>
      </c>
      <c r="Z371" s="367">
        <f t="shared" si="744"/>
        <v>104262.72633250002</v>
      </c>
      <c r="AA371" s="367">
        <f t="shared" si="744"/>
        <v>106163.96125810183</v>
      </c>
      <c r="AB371" s="367">
        <f t="shared" si="744"/>
        <v>108101.3808862052</v>
      </c>
      <c r="AC371" s="367">
        <f t="shared" si="744"/>
        <v>110075.69051090004</v>
      </c>
      <c r="AD371" s="367">
        <f t="shared" ref="AD371:AE371" si="745">AD373+AD375+AD377+1</f>
        <v>112087.60934815847</v>
      </c>
      <c r="AE371" s="367">
        <f t="shared" si="745"/>
        <v>114137.87081243249</v>
      </c>
      <c r="AF371" s="367">
        <f t="shared" ref="AF371:AH371" si="746">AF373+AF375+AF377+1</f>
        <v>116227.22279876508</v>
      </c>
      <c r="AG371" s="367">
        <f t="shared" si="746"/>
        <v>118356.42797052517</v>
      </c>
      <c r="AH371" s="1961">
        <f t="shared" si="746"/>
        <v>120526.26405287832</v>
      </c>
      <c r="AI371" s="367">
        <f t="shared" ref="AI371:AK371" si="747">AI373+AI375+AI377+1</f>
        <v>120526.26405287832</v>
      </c>
      <c r="AJ371" s="1961">
        <f t="shared" ref="AJ371" si="748">AJ373+AJ375+AJ377+1</f>
        <v>122737.52413210797</v>
      </c>
      <c r="AK371" s="1442">
        <f t="shared" si="747"/>
        <v>122737.52413210797</v>
      </c>
      <c r="AL371" s="367">
        <f t="shared" ref="AL371" si="749">AL373+AL375+AL377+1</f>
        <v>124991.01696090391</v>
      </c>
      <c r="AM371" s="367">
        <f t="shared" ref="AM371:AN371" si="750">AM373+AM375+AM377+1</f>
        <v>127287.56726973732</v>
      </c>
      <c r="AN371" s="367">
        <f t="shared" si="750"/>
        <v>129628.01608444354</v>
      </c>
      <c r="AO371" s="367">
        <f t="shared" ref="AO371" si="751">AO373+AO375+AO377+1</f>
        <v>132013.22105013701</v>
      </c>
      <c r="AP371" s="367">
        <f t="shared" ref="AP371" si="752">AP373+AP375+AP377+1</f>
        <v>134444.05676158439</v>
      </c>
      <c r="AQ371" s="367"/>
      <c r="AR371" s="367"/>
      <c r="AS371" s="367"/>
      <c r="AT371" s="367"/>
      <c r="AU371" s="367"/>
      <c r="AV371" s="367"/>
      <c r="AW371" s="367"/>
      <c r="AX371" s="367"/>
      <c r="AY371" s="367"/>
      <c r="AZ371" s="367"/>
      <c r="BA371" s="367"/>
      <c r="BB371" s="367"/>
      <c r="BC371" s="367"/>
      <c r="BD371" s="367"/>
      <c r="BE371" s="367"/>
      <c r="BF371" s="367"/>
      <c r="BG371" s="367"/>
      <c r="BH371" s="367"/>
      <c r="BI371" s="367"/>
      <c r="BJ371" s="367"/>
      <c r="BK371" s="367"/>
      <c r="BL371" s="367"/>
      <c r="BM371" s="367"/>
    </row>
    <row r="372" spans="1:65" hidden="1" outlineLevel="1">
      <c r="A372" s="367"/>
      <c r="B372" s="367"/>
      <c r="C372" s="367"/>
      <c r="D372" s="706" t="s">
        <v>451</v>
      </c>
      <c r="E372" s="342">
        <f t="shared" ref="E372:AP372" si="753">E371/D371-1</f>
        <v>7.8214013276418859E-2</v>
      </c>
      <c r="F372" s="342">
        <f t="shared" si="753"/>
        <v>5.4250963391136775E-2</v>
      </c>
      <c r="G372" s="342">
        <f t="shared" si="753"/>
        <v>1.3478782340510698E-2</v>
      </c>
      <c r="H372" s="342">
        <f t="shared" si="753"/>
        <v>4.2448577063961768E-2</v>
      </c>
      <c r="I372" s="342">
        <f t="shared" si="753"/>
        <v>9.8590407200681129E-2</v>
      </c>
      <c r="J372" s="342">
        <f t="shared" si="753"/>
        <v>-3.3571990945773011E-2</v>
      </c>
      <c r="K372" s="342">
        <f t="shared" si="753"/>
        <v>-2.3014549574205345E-2</v>
      </c>
      <c r="L372" s="342">
        <f t="shared" si="753"/>
        <v>5.6754960847415603E-2</v>
      </c>
      <c r="M372" s="342">
        <f t="shared" si="753"/>
        <v>2.3697091496418299E-2</v>
      </c>
      <c r="N372" s="342">
        <f t="shared" si="753"/>
        <v>3.5927206156884939E-2</v>
      </c>
      <c r="O372" s="342">
        <f t="shared" si="753"/>
        <v>5.0644096172627107E-2</v>
      </c>
      <c r="P372" s="342">
        <f t="shared" si="753"/>
        <v>1.719635269121822E-2</v>
      </c>
      <c r="Q372" s="342">
        <f t="shared" si="753"/>
        <v>1.96906072539762E-2</v>
      </c>
      <c r="R372" s="342">
        <f t="shared" si="753"/>
        <v>7.7316178039516847E-2</v>
      </c>
      <c r="S372" s="342">
        <f t="shared" si="753"/>
        <v>-1.2923479139226979E-2</v>
      </c>
      <c r="T372" s="342">
        <f t="shared" si="753"/>
        <v>-1.0233360756064513E-3</v>
      </c>
      <c r="U372" s="342">
        <f t="shared" si="753"/>
        <v>-2.6131844293576512E-2</v>
      </c>
      <c r="V372" s="342">
        <f t="shared" si="753"/>
        <v>3.7124883984729351E-4</v>
      </c>
      <c r="W372" s="342">
        <f t="shared" si="753"/>
        <v>1.8177019978145692E-2</v>
      </c>
      <c r="X372" s="342">
        <f t="shared" si="753"/>
        <v>1.8191662427831989E-2</v>
      </c>
      <c r="Y372" s="342">
        <f t="shared" si="753"/>
        <v>1.8206213043805874E-2</v>
      </c>
      <c r="Z372" s="342">
        <f t="shared" si="753"/>
        <v>1.8220671987850379E-2</v>
      </c>
      <c r="AA372" s="342">
        <f t="shared" si="753"/>
        <v>1.8235039428555311E-2</v>
      </c>
      <c r="AB372" s="342">
        <f t="shared" si="753"/>
        <v>1.8249315541205124E-2</v>
      </c>
      <c r="AC372" s="342">
        <f t="shared" si="753"/>
        <v>1.8263500507668118E-2</v>
      </c>
      <c r="AD372" s="342">
        <f t="shared" si="753"/>
        <v>1.8277594516286078E-2</v>
      </c>
      <c r="AE372" s="342">
        <f t="shared" si="753"/>
        <v>1.8291597761761924E-2</v>
      </c>
      <c r="AF372" s="342">
        <f t="shared" si="753"/>
        <v>1.8305510445048689E-2</v>
      </c>
      <c r="AG372" s="342">
        <f t="shared" si="753"/>
        <v>1.8319332773240049E-2</v>
      </c>
      <c r="AH372" s="1962">
        <f>AH371/AG371-1</f>
        <v>1.8333064959458856E-2</v>
      </c>
      <c r="AI372" s="342">
        <f>AI371/AG371-1</f>
        <v>1.8333064959458856E-2</v>
      </c>
      <c r="AJ372" s="1962">
        <f>AJ371/AI371-1</f>
        <v>1.8346707222747005E-2</v>
      </c>
      <c r="AK372" s="365">
        <f>AK371/AI371-1</f>
        <v>1.8346707222747005E-2</v>
      </c>
      <c r="AL372" s="342">
        <f t="shared" si="753"/>
        <v>1.8360259787955302E-2</v>
      </c>
      <c r="AM372" s="342">
        <f t="shared" si="753"/>
        <v>1.8373722885635546E-2</v>
      </c>
      <c r="AN372" s="342">
        <f t="shared" si="753"/>
        <v>1.8387096751928178E-2</v>
      </c>
      <c r="AO372" s="342">
        <f t="shared" si="753"/>
        <v>1.8400381628456586E-2</v>
      </c>
      <c r="AP372" s="342">
        <f t="shared" si="753"/>
        <v>1.8413577762216526E-2</v>
      </c>
      <c r="AQ372" s="342"/>
      <c r="AR372" s="342"/>
      <c r="AS372" s="342"/>
      <c r="AT372" s="342"/>
      <c r="AU372" s="342"/>
      <c r="AV372" s="342"/>
      <c r="AW372" s="342"/>
      <c r="AX372" s="342"/>
      <c r="AY372" s="342"/>
      <c r="AZ372" s="342"/>
      <c r="BA372" s="342"/>
      <c r="BB372" s="342"/>
      <c r="BC372" s="342"/>
      <c r="BD372" s="342"/>
      <c r="BE372" s="342"/>
      <c r="BF372" s="342"/>
      <c r="BG372" s="342"/>
      <c r="BH372" s="342"/>
      <c r="BI372" s="342"/>
      <c r="BJ372" s="342"/>
      <c r="BK372" s="342"/>
      <c r="BL372" s="342"/>
      <c r="BM372" s="342"/>
    </row>
    <row r="373" spans="1:65" hidden="1" outlineLevel="1">
      <c r="A373" s="367"/>
      <c r="B373" s="367" t="s">
        <v>1184</v>
      </c>
      <c r="C373" s="367" t="s">
        <v>463</v>
      </c>
      <c r="D373" s="1542" t="s">
        <v>451</v>
      </c>
      <c r="E373" s="1542" t="s">
        <v>451</v>
      </c>
      <c r="F373" s="1542" t="s">
        <v>451</v>
      </c>
      <c r="G373" s="1542" t="s">
        <v>451</v>
      </c>
      <c r="H373" s="1542" t="s">
        <v>451</v>
      </c>
      <c r="I373" s="1542" t="s">
        <v>451</v>
      </c>
      <c r="J373" s="367">
        <v>13114</v>
      </c>
      <c r="K373" s="367">
        <v>13679</v>
      </c>
      <c r="L373" s="367">
        <v>14018</v>
      </c>
      <c r="M373" s="367">
        <v>13777</v>
      </c>
      <c r="N373" s="367">
        <v>13207</v>
      </c>
      <c r="O373" s="367">
        <v>14187</v>
      </c>
      <c r="P373" s="367">
        <v>14753</v>
      </c>
      <c r="Q373" s="367">
        <v>14848</v>
      </c>
      <c r="R373" s="367">
        <v>16267</v>
      </c>
      <c r="S373" s="367">
        <v>16298</v>
      </c>
      <c r="T373" s="367">
        <v>16612</v>
      </c>
      <c r="U373" s="367">
        <v>17732</v>
      </c>
      <c r="V373" s="367">
        <v>17682</v>
      </c>
      <c r="W373" s="367">
        <f t="shared" ref="W373:AP373" si="754">V373*1.01</f>
        <v>17858.82</v>
      </c>
      <c r="X373" s="367">
        <f t="shared" si="754"/>
        <v>18037.408200000002</v>
      </c>
      <c r="Y373" s="367">
        <f t="shared" si="754"/>
        <v>18217.782282</v>
      </c>
      <c r="Z373" s="367">
        <f t="shared" si="754"/>
        <v>18399.960104820002</v>
      </c>
      <c r="AA373" s="367">
        <f t="shared" si="754"/>
        <v>18583.959705868201</v>
      </c>
      <c r="AB373" s="367">
        <f t="shared" si="754"/>
        <v>18769.799302926884</v>
      </c>
      <c r="AC373" s="367">
        <f t="shared" si="754"/>
        <v>18957.497295956153</v>
      </c>
      <c r="AD373" s="367">
        <f t="shared" si="754"/>
        <v>19147.072268915716</v>
      </c>
      <c r="AE373" s="367">
        <f t="shared" si="754"/>
        <v>19338.542991604874</v>
      </c>
      <c r="AF373" s="367">
        <f t="shared" si="754"/>
        <v>19531.928421520923</v>
      </c>
      <c r="AG373" s="367">
        <f t="shared" si="754"/>
        <v>19727.247705736132</v>
      </c>
      <c r="AH373" s="1961">
        <f>AG373*1.01</f>
        <v>19924.520182793494</v>
      </c>
      <c r="AI373" s="367">
        <f>AG373*1.01</f>
        <v>19924.520182793494</v>
      </c>
      <c r="AJ373" s="1961">
        <f>AI373*1.01</f>
        <v>20123.765384621431</v>
      </c>
      <c r="AK373" s="1442">
        <f>AI373*1.01</f>
        <v>20123.765384621431</v>
      </c>
      <c r="AL373" s="367">
        <f t="shared" si="754"/>
        <v>20325.003038467647</v>
      </c>
      <c r="AM373" s="367">
        <f t="shared" si="754"/>
        <v>20528.253068852322</v>
      </c>
      <c r="AN373" s="367">
        <f t="shared" si="754"/>
        <v>20733.535599540846</v>
      </c>
      <c r="AO373" s="367">
        <f t="shared" si="754"/>
        <v>20940.870955536255</v>
      </c>
      <c r="AP373" s="367">
        <f t="shared" si="754"/>
        <v>21150.279665091617</v>
      </c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  <c r="BI373" s="367"/>
      <c r="BJ373" s="367"/>
      <c r="BK373" s="367"/>
      <c r="BL373" s="367"/>
      <c r="BM373" s="367"/>
    </row>
    <row r="374" spans="1:65" hidden="1" outlineLevel="1">
      <c r="A374" s="367"/>
      <c r="B374" s="367" t="s">
        <v>1185</v>
      </c>
      <c r="C374" s="367"/>
      <c r="D374" s="1542" t="s">
        <v>451</v>
      </c>
      <c r="E374" s="1542" t="s">
        <v>451</v>
      </c>
      <c r="F374" s="1542" t="s">
        <v>451</v>
      </c>
      <c r="G374" s="1542" t="s">
        <v>451</v>
      </c>
      <c r="H374" s="1542" t="s">
        <v>451</v>
      </c>
      <c r="I374" s="1542" t="s">
        <v>451</v>
      </c>
      <c r="J374" s="1542" t="s">
        <v>451</v>
      </c>
      <c r="K374" s="342">
        <f t="shared" ref="K374:AP374" si="755">K373/J373-1</f>
        <v>4.308372731432053E-2</v>
      </c>
      <c r="L374" s="342">
        <f t="shared" si="755"/>
        <v>2.4782513341618628E-2</v>
      </c>
      <c r="M374" s="342">
        <f t="shared" si="755"/>
        <v>-1.7192181480953028E-2</v>
      </c>
      <c r="N374" s="342">
        <f t="shared" si="755"/>
        <v>-4.1373303331639688E-2</v>
      </c>
      <c r="O374" s="342">
        <f t="shared" si="755"/>
        <v>7.4203074127356716E-2</v>
      </c>
      <c r="P374" s="342">
        <f t="shared" si="755"/>
        <v>3.9895679142877283E-2</v>
      </c>
      <c r="Q374" s="342">
        <f t="shared" si="755"/>
        <v>6.4393682640819794E-3</v>
      </c>
      <c r="R374" s="342">
        <f t="shared" si="755"/>
        <v>9.55684267241379E-2</v>
      </c>
      <c r="S374" s="342">
        <f t="shared" si="755"/>
        <v>1.905698653716037E-3</v>
      </c>
      <c r="T374" s="342">
        <f t="shared" si="755"/>
        <v>1.9266167627929764E-2</v>
      </c>
      <c r="U374" s="342">
        <f t="shared" si="755"/>
        <v>6.7421141343606994E-2</v>
      </c>
      <c r="V374" s="342">
        <f t="shared" si="755"/>
        <v>-2.819760884277045E-3</v>
      </c>
      <c r="W374" s="342">
        <f t="shared" si="755"/>
        <v>1.0000000000000009E-2</v>
      </c>
      <c r="X374" s="342">
        <f t="shared" si="755"/>
        <v>1.0000000000000009E-2</v>
      </c>
      <c r="Y374" s="342">
        <f t="shared" si="755"/>
        <v>1.0000000000000009E-2</v>
      </c>
      <c r="Z374" s="342">
        <f t="shared" si="755"/>
        <v>1.0000000000000009E-2</v>
      </c>
      <c r="AA374" s="342">
        <f t="shared" si="755"/>
        <v>1.0000000000000009E-2</v>
      </c>
      <c r="AB374" s="342">
        <f t="shared" si="755"/>
        <v>1.0000000000000009E-2</v>
      </c>
      <c r="AC374" s="342">
        <f t="shared" si="755"/>
        <v>1.0000000000000009E-2</v>
      </c>
      <c r="AD374" s="342">
        <f t="shared" si="755"/>
        <v>1.0000000000000009E-2</v>
      </c>
      <c r="AE374" s="342">
        <f t="shared" si="755"/>
        <v>1.0000000000000009E-2</v>
      </c>
      <c r="AF374" s="342">
        <f t="shared" si="755"/>
        <v>1.0000000000000009E-2</v>
      </c>
      <c r="AG374" s="342">
        <f t="shared" si="755"/>
        <v>1.0000000000000009E-2</v>
      </c>
      <c r="AH374" s="1962">
        <f>AH373/AG373-1</f>
        <v>1.0000000000000009E-2</v>
      </c>
      <c r="AI374" s="342">
        <f>AI373/AG373-1</f>
        <v>1.0000000000000009E-2</v>
      </c>
      <c r="AJ374" s="1962">
        <f>AJ373/AI373-1</f>
        <v>1.0000000000000009E-2</v>
      </c>
      <c r="AK374" s="365">
        <f>AK373/AI373-1</f>
        <v>1.0000000000000009E-2</v>
      </c>
      <c r="AL374" s="342">
        <f t="shared" si="755"/>
        <v>1.0000000000000009E-2</v>
      </c>
      <c r="AM374" s="342">
        <f t="shared" si="755"/>
        <v>1.0000000000000009E-2</v>
      </c>
      <c r="AN374" s="342">
        <f t="shared" si="755"/>
        <v>1.0000000000000009E-2</v>
      </c>
      <c r="AO374" s="342">
        <f t="shared" si="755"/>
        <v>1.0000000000000009E-2</v>
      </c>
      <c r="AP374" s="342">
        <f t="shared" si="755"/>
        <v>1.0000000000000009E-2</v>
      </c>
      <c r="AQ374" s="342"/>
      <c r="AR374" s="342"/>
      <c r="AS374" s="342"/>
      <c r="AT374" s="342"/>
      <c r="AU374" s="342"/>
      <c r="AV374" s="342"/>
      <c r="AW374" s="342"/>
      <c r="AX374" s="342"/>
      <c r="AY374" s="342"/>
      <c r="AZ374" s="342"/>
      <c r="BA374" s="342"/>
      <c r="BB374" s="342"/>
      <c r="BC374" s="342"/>
      <c r="BD374" s="342"/>
      <c r="BE374" s="342"/>
      <c r="BF374" s="342"/>
      <c r="BG374" s="342"/>
      <c r="BH374" s="342"/>
      <c r="BI374" s="342"/>
      <c r="BJ374" s="342"/>
      <c r="BK374" s="342"/>
      <c r="BL374" s="342"/>
      <c r="BM374" s="342"/>
    </row>
    <row r="375" spans="1:65" hidden="1" outlineLevel="1">
      <c r="A375" s="367"/>
      <c r="B375" s="367" t="s">
        <v>1186</v>
      </c>
      <c r="C375" s="367" t="s">
        <v>462</v>
      </c>
      <c r="D375" s="1542" t="s">
        <v>451</v>
      </c>
      <c r="E375" s="1542" t="s">
        <v>451</v>
      </c>
      <c r="F375" s="1542" t="s">
        <v>451</v>
      </c>
      <c r="G375" s="1542" t="s">
        <v>451</v>
      </c>
      <c r="H375" s="1542" t="s">
        <v>451</v>
      </c>
      <c r="I375" s="1542" t="s">
        <v>451</v>
      </c>
      <c r="J375" s="367">
        <v>60041</v>
      </c>
      <c r="K375" s="367">
        <v>57928</v>
      </c>
      <c r="L375" s="367">
        <v>62234</v>
      </c>
      <c r="M375" s="367">
        <v>64346</v>
      </c>
      <c r="N375" s="367">
        <v>67792</v>
      </c>
      <c r="O375" s="367">
        <v>70872</v>
      </c>
      <c r="P375" s="367">
        <v>71838</v>
      </c>
      <c r="Q375" s="367">
        <v>73359</v>
      </c>
      <c r="R375" s="367">
        <v>78854</v>
      </c>
      <c r="S375" s="367">
        <v>77420</v>
      </c>
      <c r="T375" s="367">
        <v>76784</v>
      </c>
      <c r="U375" s="367">
        <v>79237</v>
      </c>
      <c r="V375" s="367">
        <v>79323</v>
      </c>
      <c r="W375" s="367">
        <f t="shared" ref="W375:AP375" si="756">V375*1.02</f>
        <v>80909.460000000006</v>
      </c>
      <c r="X375" s="367">
        <f t="shared" si="756"/>
        <v>82527.649200000014</v>
      </c>
      <c r="Y375" s="367">
        <f t="shared" si="756"/>
        <v>84178.202184000023</v>
      </c>
      <c r="Z375" s="367">
        <f t="shared" si="756"/>
        <v>85861.766227680026</v>
      </c>
      <c r="AA375" s="367">
        <f t="shared" si="756"/>
        <v>87579.001552233633</v>
      </c>
      <c r="AB375" s="367">
        <f t="shared" si="756"/>
        <v>89330.581583278312</v>
      </c>
      <c r="AC375" s="367">
        <f t="shared" si="756"/>
        <v>91117.19321494388</v>
      </c>
      <c r="AD375" s="367">
        <f t="shared" si="756"/>
        <v>92939.537079242757</v>
      </c>
      <c r="AE375" s="367">
        <f t="shared" si="756"/>
        <v>94798.327820827617</v>
      </c>
      <c r="AF375" s="367">
        <f t="shared" si="756"/>
        <v>96694.294377244165</v>
      </c>
      <c r="AG375" s="367">
        <f t="shared" si="756"/>
        <v>98628.180264789044</v>
      </c>
      <c r="AH375" s="1961">
        <f>AG375*1.02</f>
        <v>100600.74387008483</v>
      </c>
      <c r="AI375" s="367">
        <f>AG375*1.02</f>
        <v>100600.74387008483</v>
      </c>
      <c r="AJ375" s="1961">
        <f>AI375*1.02</f>
        <v>102612.75874748653</v>
      </c>
      <c r="AK375" s="1442">
        <f>AI375*1.02</f>
        <v>102612.75874748653</v>
      </c>
      <c r="AL375" s="367">
        <f t="shared" si="756"/>
        <v>104665.01392243626</v>
      </c>
      <c r="AM375" s="367">
        <f t="shared" si="756"/>
        <v>106758.314200885</v>
      </c>
      <c r="AN375" s="367">
        <f t="shared" si="756"/>
        <v>108893.4804849027</v>
      </c>
      <c r="AO375" s="367">
        <f t="shared" si="756"/>
        <v>111071.35009460076</v>
      </c>
      <c r="AP375" s="367">
        <f t="shared" si="756"/>
        <v>113292.77709649278</v>
      </c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  <c r="BI375" s="367"/>
      <c r="BJ375" s="367"/>
      <c r="BK375" s="367"/>
      <c r="BL375" s="367"/>
      <c r="BM375" s="367"/>
    </row>
    <row r="376" spans="1:65" hidden="1" outlineLevel="1">
      <c r="A376" s="367"/>
      <c r="B376" s="367"/>
      <c r="C376" s="367"/>
      <c r="D376" s="1542" t="s">
        <v>451</v>
      </c>
      <c r="E376" s="1542" t="s">
        <v>451</v>
      </c>
      <c r="F376" s="1542" t="s">
        <v>451</v>
      </c>
      <c r="G376" s="1542" t="s">
        <v>451</v>
      </c>
      <c r="H376" s="1542" t="s">
        <v>451</v>
      </c>
      <c r="I376" s="1542" t="s">
        <v>451</v>
      </c>
      <c r="J376" s="1542" t="s">
        <v>451</v>
      </c>
      <c r="K376" s="342">
        <f t="shared" ref="K376:AP376" si="757">K375/J375-1</f>
        <v>-3.5192618377442031E-2</v>
      </c>
      <c r="L376" s="342">
        <f t="shared" si="757"/>
        <v>7.4333655572434765E-2</v>
      </c>
      <c r="M376" s="342">
        <f t="shared" si="757"/>
        <v>3.3936433460809212E-2</v>
      </c>
      <c r="N376" s="342">
        <f t="shared" si="757"/>
        <v>5.3554222484692104E-2</v>
      </c>
      <c r="O376" s="342">
        <f t="shared" si="757"/>
        <v>4.5433089450082509E-2</v>
      </c>
      <c r="P376" s="342">
        <f t="shared" si="757"/>
        <v>1.3630206569590353E-2</v>
      </c>
      <c r="Q376" s="342">
        <f t="shared" si="757"/>
        <v>2.1172638436482094E-2</v>
      </c>
      <c r="R376" s="342">
        <f t="shared" si="757"/>
        <v>7.4905601221390672E-2</v>
      </c>
      <c r="S376" s="342">
        <f t="shared" si="757"/>
        <v>-1.8185507393410627E-2</v>
      </c>
      <c r="T376" s="342">
        <f t="shared" si="757"/>
        <v>-8.2149315422371805E-3</v>
      </c>
      <c r="U376" s="342">
        <f t="shared" si="757"/>
        <v>3.1946759741612762E-2</v>
      </c>
      <c r="V376" s="342">
        <f t="shared" si="757"/>
        <v>1.0853515403157488E-3</v>
      </c>
      <c r="W376" s="342">
        <f t="shared" si="757"/>
        <v>2.0000000000000018E-2</v>
      </c>
      <c r="X376" s="342">
        <f t="shared" si="757"/>
        <v>2.0000000000000018E-2</v>
      </c>
      <c r="Y376" s="342">
        <f t="shared" si="757"/>
        <v>2.0000000000000018E-2</v>
      </c>
      <c r="Z376" s="342">
        <f t="shared" si="757"/>
        <v>2.0000000000000018E-2</v>
      </c>
      <c r="AA376" s="342">
        <f t="shared" si="757"/>
        <v>2.0000000000000018E-2</v>
      </c>
      <c r="AB376" s="342">
        <f t="shared" si="757"/>
        <v>2.0000000000000018E-2</v>
      </c>
      <c r="AC376" s="342">
        <f t="shared" si="757"/>
        <v>2.0000000000000018E-2</v>
      </c>
      <c r="AD376" s="342">
        <f t="shared" si="757"/>
        <v>2.0000000000000018E-2</v>
      </c>
      <c r="AE376" s="342">
        <f t="shared" si="757"/>
        <v>2.0000000000000018E-2</v>
      </c>
      <c r="AF376" s="342">
        <f t="shared" si="757"/>
        <v>2.0000000000000018E-2</v>
      </c>
      <c r="AG376" s="342">
        <f t="shared" si="757"/>
        <v>2.0000000000000018E-2</v>
      </c>
      <c r="AH376" s="1962">
        <f>AH375/AG375-1</f>
        <v>2.0000000000000018E-2</v>
      </c>
      <c r="AI376" s="342">
        <f>AI375/AG375-1</f>
        <v>2.0000000000000018E-2</v>
      </c>
      <c r="AJ376" s="1962">
        <f>AJ375/AI375-1</f>
        <v>2.0000000000000018E-2</v>
      </c>
      <c r="AK376" s="365">
        <f>AK375/AI375-1</f>
        <v>2.0000000000000018E-2</v>
      </c>
      <c r="AL376" s="342">
        <f t="shared" si="757"/>
        <v>2.0000000000000018E-2</v>
      </c>
      <c r="AM376" s="342">
        <f t="shared" si="757"/>
        <v>2.0000000000000018E-2</v>
      </c>
      <c r="AN376" s="342">
        <f t="shared" si="757"/>
        <v>2.0000000000000018E-2</v>
      </c>
      <c r="AO376" s="342">
        <f t="shared" si="757"/>
        <v>2.0000000000000018E-2</v>
      </c>
      <c r="AP376" s="342">
        <f t="shared" si="757"/>
        <v>2.0000000000000018E-2</v>
      </c>
      <c r="AQ376" s="342"/>
      <c r="AR376" s="342"/>
      <c r="AS376" s="342"/>
      <c r="AT376" s="342"/>
      <c r="AU376" s="342"/>
      <c r="AV376" s="342"/>
      <c r="AW376" s="342"/>
      <c r="AX376" s="342"/>
      <c r="AY376" s="342"/>
      <c r="AZ376" s="342"/>
      <c r="BA376" s="342"/>
      <c r="BB376" s="342"/>
      <c r="BC376" s="342"/>
      <c r="BD376" s="342"/>
      <c r="BE376" s="342"/>
      <c r="BF376" s="342"/>
      <c r="BG376" s="342"/>
      <c r="BH376" s="342"/>
      <c r="BI376" s="342"/>
      <c r="BJ376" s="342"/>
      <c r="BK376" s="342"/>
      <c r="BL376" s="342"/>
      <c r="BM376" s="342"/>
    </row>
    <row r="377" spans="1:65" hidden="1" outlineLevel="1">
      <c r="A377" s="367"/>
      <c r="B377" s="367" t="s">
        <v>1187</v>
      </c>
      <c r="C377" s="367" t="s">
        <v>461</v>
      </c>
      <c r="D377" s="1542" t="s">
        <v>451</v>
      </c>
      <c r="E377" s="1542" t="s">
        <v>451</v>
      </c>
      <c r="F377" s="1542" t="s">
        <v>451</v>
      </c>
      <c r="G377" s="1542" t="s">
        <v>451</v>
      </c>
      <c r="H377" s="1542" t="s">
        <v>451</v>
      </c>
      <c r="I377" s="1542" t="s">
        <v>451</v>
      </c>
      <c r="J377" s="367">
        <v>5403</v>
      </c>
      <c r="K377" s="367">
        <v>5143</v>
      </c>
      <c r="L377" s="367">
        <v>4854</v>
      </c>
      <c r="M377" s="367">
        <v>4905</v>
      </c>
      <c r="N377" s="367">
        <v>5013</v>
      </c>
      <c r="O377" s="367">
        <v>5308</v>
      </c>
      <c r="P377" s="367">
        <v>5331</v>
      </c>
      <c r="Q377" s="367">
        <v>5525</v>
      </c>
      <c r="R377" s="367">
        <v>5857</v>
      </c>
      <c r="S377" s="367">
        <v>5955</v>
      </c>
      <c r="T377" s="367">
        <v>6175</v>
      </c>
      <c r="U377" s="1498" t="s">
        <v>460</v>
      </c>
      <c r="V377" s="1498" t="s">
        <v>460</v>
      </c>
      <c r="W377" s="367"/>
      <c r="X377" s="367"/>
      <c r="Y377" s="367"/>
      <c r="Z377" s="367"/>
      <c r="AA377" s="367"/>
      <c r="AB377" s="367"/>
      <c r="AC377" s="367"/>
      <c r="AD377" s="367"/>
      <c r="AE377" s="367"/>
      <c r="AF377" s="367"/>
      <c r="AG377" s="367"/>
      <c r="AH377" s="1961"/>
      <c r="AI377" s="367"/>
      <c r="AJ377" s="1961"/>
      <c r="AK377" s="1442"/>
      <c r="AL377" s="367"/>
      <c r="AM377" s="367"/>
      <c r="AN377" s="367"/>
      <c r="AO377" s="367"/>
      <c r="AP377" s="367"/>
      <c r="AQ377" s="367"/>
      <c r="AR377" s="367"/>
      <c r="AS377" s="367"/>
      <c r="AT377" s="367"/>
      <c r="AU377" s="367"/>
      <c r="AV377" s="367"/>
      <c r="AW377" s="367"/>
      <c r="AX377" s="367"/>
      <c r="AY377" s="367"/>
      <c r="AZ377" s="367"/>
      <c r="BA377" s="367"/>
      <c r="BB377" s="367"/>
      <c r="BC377" s="367"/>
      <c r="BD377" s="367"/>
      <c r="BE377" s="367"/>
      <c r="BF377" s="367"/>
      <c r="BG377" s="367"/>
      <c r="BH377" s="367"/>
      <c r="BI377" s="367"/>
      <c r="BJ377" s="367"/>
      <c r="BK377" s="367"/>
      <c r="BL377" s="367"/>
      <c r="BM377" s="367"/>
    </row>
    <row r="378" spans="1:65" hidden="1" outlineLevel="1">
      <c r="A378" s="367"/>
      <c r="B378" s="367"/>
      <c r="C378" s="367"/>
      <c r="D378" s="1542" t="s">
        <v>451</v>
      </c>
      <c r="E378" s="1542" t="s">
        <v>451</v>
      </c>
      <c r="F378" s="1542" t="s">
        <v>451</v>
      </c>
      <c r="G378" s="1542" t="s">
        <v>451</v>
      </c>
      <c r="H378" s="1542" t="s">
        <v>451</v>
      </c>
      <c r="I378" s="1542" t="s">
        <v>451</v>
      </c>
      <c r="J378" s="1542" t="s">
        <v>451</v>
      </c>
      <c r="K378" s="342">
        <f t="shared" ref="K378:T378" si="758">K377/J377-1</f>
        <v>-4.812141402924297E-2</v>
      </c>
      <c r="L378" s="342">
        <f t="shared" si="758"/>
        <v>-5.6192883531013038E-2</v>
      </c>
      <c r="M378" s="342">
        <f t="shared" si="758"/>
        <v>1.0506798516687343E-2</v>
      </c>
      <c r="N378" s="342">
        <f t="shared" si="758"/>
        <v>2.2018348623853212E-2</v>
      </c>
      <c r="O378" s="342">
        <f t="shared" si="758"/>
        <v>5.8846997805705126E-2</v>
      </c>
      <c r="P378" s="342">
        <f t="shared" si="758"/>
        <v>4.3330821401657005E-3</v>
      </c>
      <c r="Q378" s="342">
        <f t="shared" si="758"/>
        <v>3.639092102794983E-2</v>
      </c>
      <c r="R378" s="342">
        <f t="shared" si="758"/>
        <v>6.0090497737556481E-2</v>
      </c>
      <c r="S378" s="342">
        <f t="shared" si="758"/>
        <v>1.6732115417449123E-2</v>
      </c>
      <c r="T378" s="342">
        <f t="shared" si="758"/>
        <v>3.6943744752308882E-2</v>
      </c>
      <c r="U378" s="342"/>
      <c r="V378" s="342"/>
      <c r="W378" s="342"/>
      <c r="X378" s="342"/>
      <c r="Y378" s="342"/>
      <c r="Z378" s="342"/>
      <c r="AA378" s="342"/>
      <c r="AB378" s="342"/>
      <c r="AC378" s="342"/>
      <c r="AD378" s="342"/>
      <c r="AE378" s="342"/>
      <c r="AF378" s="342"/>
      <c r="AG378" s="342"/>
      <c r="AH378" s="1962"/>
      <c r="AI378" s="342"/>
      <c r="AJ378" s="1962"/>
      <c r="AK378" s="365"/>
      <c r="AL378" s="342"/>
      <c r="AM378" s="342"/>
      <c r="AN378" s="342"/>
      <c r="AO378" s="342"/>
      <c r="AP378" s="342"/>
      <c r="AQ378" s="342"/>
      <c r="AR378" s="342"/>
      <c r="AS378" s="342"/>
      <c r="AT378" s="342"/>
      <c r="AU378" s="342"/>
      <c r="AV378" s="342"/>
      <c r="AW378" s="342"/>
      <c r="AX378" s="342"/>
      <c r="AY378" s="342"/>
      <c r="AZ378" s="342"/>
      <c r="BA378" s="342"/>
      <c r="BB378" s="342"/>
      <c r="BC378" s="342"/>
      <c r="BD378" s="342"/>
      <c r="BE378" s="342"/>
      <c r="BF378" s="342"/>
      <c r="BG378" s="342"/>
      <c r="BH378" s="342"/>
      <c r="BI378" s="342"/>
      <c r="BJ378" s="342"/>
      <c r="BK378" s="342"/>
      <c r="BL378" s="342"/>
      <c r="BM378" s="342"/>
    </row>
    <row r="379" spans="1:65" hidden="1" outlineLevel="1">
      <c r="A379" s="367"/>
      <c r="B379" s="367" t="s">
        <v>1188</v>
      </c>
      <c r="C379" s="367" t="s">
        <v>459</v>
      </c>
      <c r="D379" s="367">
        <v>30687</v>
      </c>
      <c r="E379" s="367">
        <v>32341</v>
      </c>
      <c r="F379" s="367">
        <v>34001</v>
      </c>
      <c r="G379" s="367">
        <v>33987</v>
      </c>
      <c r="H379" s="367">
        <v>33377</v>
      </c>
      <c r="I379" s="367">
        <v>34539</v>
      </c>
      <c r="J379" s="367">
        <v>36490</v>
      </c>
      <c r="K379" s="367">
        <v>37809</v>
      </c>
      <c r="L379" s="367">
        <v>37587</v>
      </c>
      <c r="M379" s="367">
        <v>38614</v>
      </c>
      <c r="N379" s="367">
        <v>41733</v>
      </c>
      <c r="O379" s="367">
        <v>41299</v>
      </c>
      <c r="P379" s="367">
        <v>41129</v>
      </c>
      <c r="Q379" s="367">
        <v>41013</v>
      </c>
      <c r="R379" s="367">
        <v>41398</v>
      </c>
      <c r="S379" s="367">
        <v>41390</v>
      </c>
      <c r="T379" s="367">
        <v>44190</v>
      </c>
      <c r="U379" s="367">
        <v>49771</v>
      </c>
      <c r="V379" s="367">
        <v>49044</v>
      </c>
      <c r="W379" s="367">
        <f t="shared" ref="W379:AP379" si="759">V379*1.01</f>
        <v>49534.44</v>
      </c>
      <c r="X379" s="367">
        <f t="shared" si="759"/>
        <v>50029.784400000004</v>
      </c>
      <c r="Y379" s="367">
        <f t="shared" si="759"/>
        <v>50530.082244000005</v>
      </c>
      <c r="Z379" s="367">
        <f t="shared" si="759"/>
        <v>51035.383066440008</v>
      </c>
      <c r="AA379" s="367">
        <f t="shared" si="759"/>
        <v>51545.736897104412</v>
      </c>
      <c r="AB379" s="367">
        <f t="shared" si="759"/>
        <v>52061.194266075458</v>
      </c>
      <c r="AC379" s="367">
        <f t="shared" si="759"/>
        <v>52581.806208736212</v>
      </c>
      <c r="AD379" s="367">
        <f t="shared" si="759"/>
        <v>53107.624270823573</v>
      </c>
      <c r="AE379" s="367">
        <f t="shared" si="759"/>
        <v>53638.70051353181</v>
      </c>
      <c r="AF379" s="367">
        <f t="shared" si="759"/>
        <v>54175.087518667126</v>
      </c>
      <c r="AG379" s="367">
        <f t="shared" si="759"/>
        <v>54716.838393853795</v>
      </c>
      <c r="AH379" s="1961">
        <f>AG379*1.01</f>
        <v>55264.006777792332</v>
      </c>
      <c r="AI379" s="367">
        <f>AG379*1.01</f>
        <v>55264.006777792332</v>
      </c>
      <c r="AJ379" s="1961">
        <f>AI379*1.01</f>
        <v>55816.646845570256</v>
      </c>
      <c r="AK379" s="1442">
        <f>AI379*1.01</f>
        <v>55816.646845570256</v>
      </c>
      <c r="AL379" s="367">
        <f t="shared" si="759"/>
        <v>56374.81331402596</v>
      </c>
      <c r="AM379" s="367">
        <f t="shared" si="759"/>
        <v>56938.561447166219</v>
      </c>
      <c r="AN379" s="367">
        <f t="shared" si="759"/>
        <v>57507.947061637882</v>
      </c>
      <c r="AO379" s="367">
        <f t="shared" si="759"/>
        <v>58083.026532254262</v>
      </c>
      <c r="AP379" s="367">
        <f t="shared" si="759"/>
        <v>58663.856797576802</v>
      </c>
      <c r="AQ379" s="367"/>
      <c r="AR379" s="367"/>
      <c r="AS379" s="367"/>
      <c r="AT379" s="367"/>
      <c r="AU379" s="367"/>
      <c r="AV379" s="367"/>
      <c r="AW379" s="367"/>
      <c r="AX379" s="367"/>
      <c r="AY379" s="367"/>
      <c r="AZ379" s="367"/>
      <c r="BA379" s="367"/>
      <c r="BB379" s="367"/>
      <c r="BC379" s="367"/>
      <c r="BD379" s="367"/>
      <c r="BE379" s="367"/>
      <c r="BF379" s="367"/>
      <c r="BG379" s="367"/>
      <c r="BH379" s="367"/>
      <c r="BI379" s="367"/>
      <c r="BJ379" s="367"/>
      <c r="BK379" s="367"/>
      <c r="BL379" s="367"/>
      <c r="BM379" s="367"/>
    </row>
    <row r="380" spans="1:65" hidden="1" outlineLevel="1">
      <c r="A380" s="367"/>
      <c r="B380" s="367"/>
      <c r="C380" s="367"/>
      <c r="D380" s="1542" t="s">
        <v>451</v>
      </c>
      <c r="E380" s="1542" t="s">
        <v>451</v>
      </c>
      <c r="F380" s="342">
        <f t="shared" ref="F380:AP380" si="760">F379/E379-1</f>
        <v>5.1328035620419987E-2</v>
      </c>
      <c r="G380" s="342">
        <f t="shared" si="760"/>
        <v>-4.1175259551184951E-4</v>
      </c>
      <c r="H380" s="342">
        <f t="shared" si="760"/>
        <v>-1.7948038956071444E-2</v>
      </c>
      <c r="I380" s="342">
        <f t="shared" si="760"/>
        <v>3.4814393144980027E-2</v>
      </c>
      <c r="J380" s="342">
        <f t="shared" si="760"/>
        <v>5.6486869915168381E-2</v>
      </c>
      <c r="K380" s="342">
        <f t="shared" si="760"/>
        <v>3.6146889558783313E-2</v>
      </c>
      <c r="L380" s="342">
        <f t="shared" si="760"/>
        <v>-5.8716178687614473E-3</v>
      </c>
      <c r="M380" s="342">
        <f t="shared" si="760"/>
        <v>2.7323276664804386E-2</v>
      </c>
      <c r="N380" s="342">
        <f t="shared" si="760"/>
        <v>8.0773812606826478E-2</v>
      </c>
      <c r="O380" s="342">
        <f t="shared" si="760"/>
        <v>-1.0399444085016696E-2</v>
      </c>
      <c r="P380" s="342">
        <f t="shared" si="760"/>
        <v>-4.1163224291145273E-3</v>
      </c>
      <c r="Q380" s="342">
        <f t="shared" si="760"/>
        <v>-2.8203943689367739E-3</v>
      </c>
      <c r="R380" s="342">
        <f t="shared" si="760"/>
        <v>9.387267451783643E-3</v>
      </c>
      <c r="S380" s="342">
        <f t="shared" si="760"/>
        <v>-1.9324605053383515E-4</v>
      </c>
      <c r="T380" s="342">
        <f t="shared" si="760"/>
        <v>6.7649190625755029E-2</v>
      </c>
      <c r="U380" s="342">
        <f t="shared" si="760"/>
        <v>0.12629554197782311</v>
      </c>
      <c r="V380" s="342">
        <f t="shared" si="760"/>
        <v>-1.460689960016881E-2</v>
      </c>
      <c r="W380" s="342">
        <f t="shared" si="760"/>
        <v>1.0000000000000009E-2</v>
      </c>
      <c r="X380" s="342">
        <f t="shared" si="760"/>
        <v>1.0000000000000009E-2</v>
      </c>
      <c r="Y380" s="342">
        <f t="shared" si="760"/>
        <v>1.0000000000000009E-2</v>
      </c>
      <c r="Z380" s="342">
        <f t="shared" si="760"/>
        <v>1.0000000000000009E-2</v>
      </c>
      <c r="AA380" s="342">
        <f t="shared" si="760"/>
        <v>1.0000000000000009E-2</v>
      </c>
      <c r="AB380" s="342">
        <f t="shared" si="760"/>
        <v>1.0000000000000009E-2</v>
      </c>
      <c r="AC380" s="342">
        <f t="shared" si="760"/>
        <v>1.0000000000000009E-2</v>
      </c>
      <c r="AD380" s="342">
        <f t="shared" si="760"/>
        <v>1.0000000000000009E-2</v>
      </c>
      <c r="AE380" s="342">
        <f t="shared" si="760"/>
        <v>1.0000000000000009E-2</v>
      </c>
      <c r="AF380" s="342">
        <f t="shared" si="760"/>
        <v>1.0000000000000009E-2</v>
      </c>
      <c r="AG380" s="342">
        <f t="shared" si="760"/>
        <v>1.0000000000000009E-2</v>
      </c>
      <c r="AH380" s="1962">
        <f>AH379/AG379-1</f>
        <v>1.0000000000000009E-2</v>
      </c>
      <c r="AI380" s="342">
        <f>AI379/AG379-1</f>
        <v>1.0000000000000009E-2</v>
      </c>
      <c r="AJ380" s="1962">
        <f>AJ379/AI379-1</f>
        <v>1.0000000000000009E-2</v>
      </c>
      <c r="AK380" s="365">
        <f>AK379/AI379-1</f>
        <v>1.0000000000000009E-2</v>
      </c>
      <c r="AL380" s="342">
        <f t="shared" si="760"/>
        <v>1.0000000000000009E-2</v>
      </c>
      <c r="AM380" s="342">
        <f t="shared" si="760"/>
        <v>1.0000000000000009E-2</v>
      </c>
      <c r="AN380" s="342">
        <f t="shared" si="760"/>
        <v>1.0000000000000009E-2</v>
      </c>
      <c r="AO380" s="342">
        <f t="shared" si="760"/>
        <v>1.0000000000000009E-2</v>
      </c>
      <c r="AP380" s="342">
        <f t="shared" si="760"/>
        <v>1.0000000000000009E-2</v>
      </c>
      <c r="AQ380" s="342"/>
      <c r="AR380" s="342"/>
      <c r="AS380" s="342"/>
      <c r="AT380" s="342"/>
      <c r="AU380" s="342"/>
      <c r="AV380" s="342"/>
      <c r="AW380" s="342"/>
      <c r="AX380" s="342"/>
      <c r="AY380" s="342"/>
      <c r="AZ380" s="342"/>
      <c r="BA380" s="342"/>
      <c r="BB380" s="342"/>
      <c r="BC380" s="342"/>
      <c r="BD380" s="342"/>
      <c r="BE380" s="342"/>
      <c r="BF380" s="342"/>
      <c r="BG380" s="342"/>
      <c r="BH380" s="342"/>
      <c r="BI380" s="342"/>
      <c r="BJ380" s="342"/>
      <c r="BK380" s="342"/>
      <c r="BL380" s="342"/>
      <c r="BM380" s="342"/>
    </row>
    <row r="381" spans="1:65" hidden="1" outlineLevel="1">
      <c r="A381" s="367"/>
      <c r="B381" s="367" t="s">
        <v>1189</v>
      </c>
      <c r="C381" s="367" t="s">
        <v>458</v>
      </c>
      <c r="D381" s="367">
        <v>6573</v>
      </c>
      <c r="E381" s="367">
        <v>6440</v>
      </c>
      <c r="F381" s="367">
        <v>6421</v>
      </c>
      <c r="G381" s="367">
        <v>6437</v>
      </c>
      <c r="H381" s="367">
        <v>6236</v>
      </c>
      <c r="I381" s="367">
        <v>6400</v>
      </c>
      <c r="J381" s="367">
        <v>7022</v>
      </c>
      <c r="K381" s="367">
        <v>8081</v>
      </c>
      <c r="L381" s="367">
        <v>8309</v>
      </c>
      <c r="M381" s="367">
        <v>9257</v>
      </c>
      <c r="N381" s="367">
        <v>9695</v>
      </c>
      <c r="O381" s="367">
        <v>9752</v>
      </c>
      <c r="P381" s="367">
        <v>9869</v>
      </c>
      <c r="Q381" s="367">
        <v>11151</v>
      </c>
      <c r="R381" s="367">
        <v>10931</v>
      </c>
      <c r="S381" s="367">
        <v>9881</v>
      </c>
      <c r="T381" s="367">
        <v>10028</v>
      </c>
      <c r="U381" s="367">
        <v>10564</v>
      </c>
      <c r="V381" s="367">
        <v>10243</v>
      </c>
      <c r="W381" s="367">
        <f t="shared" ref="W381:AP381" si="761">V381*1.01</f>
        <v>10345.43</v>
      </c>
      <c r="X381" s="367">
        <f t="shared" si="761"/>
        <v>10448.8843</v>
      </c>
      <c r="Y381" s="367">
        <f t="shared" si="761"/>
        <v>10553.373143000001</v>
      </c>
      <c r="Z381" s="367">
        <f t="shared" si="761"/>
        <v>10658.90687443</v>
      </c>
      <c r="AA381" s="367">
        <f t="shared" si="761"/>
        <v>10765.495943174301</v>
      </c>
      <c r="AB381" s="367">
        <f t="shared" si="761"/>
        <v>10873.150902606045</v>
      </c>
      <c r="AC381" s="367">
        <f t="shared" si="761"/>
        <v>10981.882411632105</v>
      </c>
      <c r="AD381" s="367">
        <f t="shared" si="761"/>
        <v>11091.701235748425</v>
      </c>
      <c r="AE381" s="367">
        <f t="shared" si="761"/>
        <v>11202.61824810591</v>
      </c>
      <c r="AF381" s="367">
        <f t="shared" si="761"/>
        <v>11314.644430586968</v>
      </c>
      <c r="AG381" s="367">
        <f t="shared" si="761"/>
        <v>11427.790874892838</v>
      </c>
      <c r="AH381" s="1961">
        <f>AG381*1.01</f>
        <v>11542.068783641767</v>
      </c>
      <c r="AI381" s="367">
        <f>AG381*1.01</f>
        <v>11542.068783641767</v>
      </c>
      <c r="AJ381" s="1961">
        <f>AI381*1.01</f>
        <v>11657.489471478186</v>
      </c>
      <c r="AK381" s="1442">
        <f>AI381*1.01</f>
        <v>11657.489471478186</v>
      </c>
      <c r="AL381" s="367">
        <f t="shared" si="761"/>
        <v>11774.064366192968</v>
      </c>
      <c r="AM381" s="367">
        <f t="shared" si="761"/>
        <v>11891.805009854897</v>
      </c>
      <c r="AN381" s="367">
        <f t="shared" si="761"/>
        <v>12010.723059953447</v>
      </c>
      <c r="AO381" s="367">
        <f t="shared" si="761"/>
        <v>12130.830290552982</v>
      </c>
      <c r="AP381" s="367">
        <f t="shared" si="761"/>
        <v>12252.138593458512</v>
      </c>
      <c r="AQ381" s="367"/>
      <c r="AR381" s="367"/>
      <c r="AS381" s="367"/>
      <c r="AT381" s="367"/>
      <c r="AU381" s="367"/>
      <c r="AV381" s="367"/>
      <c r="AW381" s="367"/>
      <c r="AX381" s="367"/>
      <c r="AY381" s="367"/>
      <c r="AZ381" s="367"/>
      <c r="BA381" s="367"/>
      <c r="BB381" s="367"/>
      <c r="BC381" s="367"/>
      <c r="BD381" s="367"/>
      <c r="BE381" s="367"/>
      <c r="BF381" s="367"/>
      <c r="BG381" s="367"/>
      <c r="BH381" s="367"/>
      <c r="BI381" s="367"/>
      <c r="BJ381" s="367"/>
      <c r="BK381" s="367"/>
      <c r="BL381" s="367"/>
      <c r="BM381" s="367"/>
    </row>
    <row r="382" spans="1:65" hidden="1" outlineLevel="1">
      <c r="A382" s="367"/>
      <c r="B382" s="367" t="s">
        <v>1185</v>
      </c>
      <c r="C382" s="367"/>
      <c r="D382" s="1542" t="s">
        <v>451</v>
      </c>
      <c r="E382" s="1542" t="s">
        <v>451</v>
      </c>
      <c r="F382" s="342">
        <f t="shared" ref="F382:AP382" si="762">F381/E381-1</f>
        <v>-2.9503105590061862E-3</v>
      </c>
      <c r="G382" s="342">
        <f t="shared" si="762"/>
        <v>2.4918237034730062E-3</v>
      </c>
      <c r="H382" s="342">
        <f t="shared" si="762"/>
        <v>-3.122572627000153E-2</v>
      </c>
      <c r="I382" s="342">
        <f t="shared" si="762"/>
        <v>2.6298909557408656E-2</v>
      </c>
      <c r="J382" s="342">
        <f t="shared" si="762"/>
        <v>9.7187499999999982E-2</v>
      </c>
      <c r="K382" s="342">
        <f t="shared" si="762"/>
        <v>0.15081173454856156</v>
      </c>
      <c r="L382" s="342">
        <f t="shared" si="762"/>
        <v>2.8214329909664659E-2</v>
      </c>
      <c r="M382" s="342">
        <f t="shared" si="762"/>
        <v>0.11409315200385128</v>
      </c>
      <c r="N382" s="342">
        <f t="shared" si="762"/>
        <v>4.7315544992978298E-2</v>
      </c>
      <c r="O382" s="342">
        <f t="shared" si="762"/>
        <v>5.8793192367199154E-3</v>
      </c>
      <c r="P382" s="342">
        <f t="shared" si="762"/>
        <v>1.1997538966365795E-2</v>
      </c>
      <c r="Q382" s="342">
        <f t="shared" si="762"/>
        <v>0.12990171243287052</v>
      </c>
      <c r="R382" s="342">
        <f t="shared" si="762"/>
        <v>-1.9729172271545137E-2</v>
      </c>
      <c r="S382" s="342">
        <f t="shared" si="762"/>
        <v>-9.6057085353581595E-2</v>
      </c>
      <c r="T382" s="342">
        <f t="shared" si="762"/>
        <v>1.4877036737172444E-2</v>
      </c>
      <c r="U382" s="342">
        <f t="shared" si="762"/>
        <v>5.3450339050658213E-2</v>
      </c>
      <c r="V382" s="342">
        <f t="shared" si="762"/>
        <v>-3.0386217341915933E-2</v>
      </c>
      <c r="W382" s="342">
        <f t="shared" si="762"/>
        <v>1.0000000000000009E-2</v>
      </c>
      <c r="X382" s="342">
        <f t="shared" si="762"/>
        <v>1.0000000000000009E-2</v>
      </c>
      <c r="Y382" s="342">
        <f t="shared" si="762"/>
        <v>1.0000000000000009E-2</v>
      </c>
      <c r="Z382" s="342">
        <f t="shared" si="762"/>
        <v>1.0000000000000009E-2</v>
      </c>
      <c r="AA382" s="342">
        <f t="shared" si="762"/>
        <v>1.0000000000000009E-2</v>
      </c>
      <c r="AB382" s="342">
        <f t="shared" si="762"/>
        <v>1.0000000000000009E-2</v>
      </c>
      <c r="AC382" s="342">
        <f t="shared" si="762"/>
        <v>1.0000000000000009E-2</v>
      </c>
      <c r="AD382" s="342">
        <f t="shared" si="762"/>
        <v>1.0000000000000009E-2</v>
      </c>
      <c r="AE382" s="342">
        <f t="shared" si="762"/>
        <v>1.0000000000000009E-2</v>
      </c>
      <c r="AF382" s="342">
        <f t="shared" si="762"/>
        <v>1.0000000000000009E-2</v>
      </c>
      <c r="AG382" s="342">
        <f t="shared" si="762"/>
        <v>1.0000000000000009E-2</v>
      </c>
      <c r="AH382" s="1962">
        <f>AH381/AG381-1</f>
        <v>1.0000000000000009E-2</v>
      </c>
      <c r="AI382" s="342">
        <f>AI381/AG381-1</f>
        <v>1.0000000000000009E-2</v>
      </c>
      <c r="AJ382" s="1962">
        <f>AJ381/AI381-1</f>
        <v>1.0000000000000009E-2</v>
      </c>
      <c r="AK382" s="365">
        <f>AK381/AI381-1</f>
        <v>1.0000000000000009E-2</v>
      </c>
      <c r="AL382" s="342">
        <f t="shared" si="762"/>
        <v>1.0000000000000009E-2</v>
      </c>
      <c r="AM382" s="342">
        <f t="shared" si="762"/>
        <v>1.0000000000000009E-2</v>
      </c>
      <c r="AN382" s="342">
        <f t="shared" si="762"/>
        <v>1.0000000000000009E-2</v>
      </c>
      <c r="AO382" s="342">
        <f t="shared" si="762"/>
        <v>1.0000000000000009E-2</v>
      </c>
      <c r="AP382" s="342">
        <f t="shared" si="762"/>
        <v>1.0000000000000009E-2</v>
      </c>
      <c r="AQ382" s="342"/>
      <c r="AR382" s="342"/>
      <c r="AS382" s="342"/>
      <c r="AT382" s="342"/>
      <c r="AU382" s="342"/>
      <c r="AV382" s="342"/>
      <c r="AW382" s="342"/>
      <c r="AX382" s="342"/>
      <c r="AY382" s="342"/>
      <c r="AZ382" s="342"/>
      <c r="BA382" s="342"/>
      <c r="BB382" s="342"/>
      <c r="BC382" s="342"/>
      <c r="BD382" s="342"/>
      <c r="BE382" s="342"/>
      <c r="BF382" s="342"/>
      <c r="BG382" s="342"/>
      <c r="BH382" s="342"/>
      <c r="BI382" s="342"/>
      <c r="BJ382" s="342"/>
      <c r="BK382" s="342"/>
      <c r="BL382" s="342"/>
      <c r="BM382" s="342"/>
    </row>
    <row r="383" spans="1:65" hidden="1" outlineLevel="1">
      <c r="A383" s="367"/>
      <c r="B383" s="367" t="s">
        <v>1190</v>
      </c>
      <c r="C383" s="367" t="s">
        <v>457</v>
      </c>
      <c r="D383" s="1542" t="s">
        <v>451</v>
      </c>
      <c r="E383" s="1542" t="s">
        <v>451</v>
      </c>
      <c r="F383" s="1542" t="s">
        <v>451</v>
      </c>
      <c r="G383" s="1542" t="s">
        <v>451</v>
      </c>
      <c r="H383" s="1542" t="s">
        <v>451</v>
      </c>
      <c r="I383" s="367">
        <v>6610</v>
      </c>
      <c r="J383" s="367">
        <v>6521</v>
      </c>
      <c r="K383" s="367">
        <v>6594</v>
      </c>
      <c r="L383" s="367">
        <v>6892</v>
      </c>
      <c r="M383" s="367">
        <v>7515</v>
      </c>
      <c r="N383" s="367">
        <v>7259</v>
      </c>
      <c r="O383" s="367">
        <v>6778</v>
      </c>
      <c r="P383" s="367">
        <v>7074</v>
      </c>
      <c r="Q383" s="367">
        <v>6704</v>
      </c>
      <c r="R383" s="367">
        <v>6802</v>
      </c>
      <c r="S383" s="367">
        <v>6921</v>
      </c>
      <c r="T383" s="367">
        <v>7045</v>
      </c>
      <c r="U383" s="367">
        <v>6425</v>
      </c>
      <c r="V383" s="367">
        <v>6322</v>
      </c>
      <c r="W383" s="367">
        <f t="shared" ref="W383:AP383" si="763">V383*1.01</f>
        <v>6385.22</v>
      </c>
      <c r="X383" s="367">
        <f t="shared" si="763"/>
        <v>6449.0722000000005</v>
      </c>
      <c r="Y383" s="367">
        <f t="shared" si="763"/>
        <v>6513.562922000001</v>
      </c>
      <c r="Z383" s="367">
        <f t="shared" si="763"/>
        <v>6578.6985512200008</v>
      </c>
      <c r="AA383" s="367">
        <f t="shared" si="763"/>
        <v>6644.4855367322007</v>
      </c>
      <c r="AB383" s="367">
        <f t="shared" si="763"/>
        <v>6710.9303920995226</v>
      </c>
      <c r="AC383" s="367">
        <f t="shared" si="763"/>
        <v>6778.039696020518</v>
      </c>
      <c r="AD383" s="367">
        <f t="shared" si="763"/>
        <v>6845.8200929807235</v>
      </c>
      <c r="AE383" s="367">
        <f t="shared" si="763"/>
        <v>6914.2782939105309</v>
      </c>
      <c r="AF383" s="367">
        <f t="shared" si="763"/>
        <v>6983.4210768496359</v>
      </c>
      <c r="AG383" s="367">
        <f t="shared" si="763"/>
        <v>7053.2552876181326</v>
      </c>
      <c r="AH383" s="1961">
        <f>AG383*1.01</f>
        <v>7123.787840494314</v>
      </c>
      <c r="AI383" s="367">
        <f>AG383*1.01</f>
        <v>7123.787840494314</v>
      </c>
      <c r="AJ383" s="1961">
        <f>AI383*1.01</f>
        <v>7195.0257188992573</v>
      </c>
      <c r="AK383" s="1442">
        <f>AI383*1.01</f>
        <v>7195.0257188992573</v>
      </c>
      <c r="AL383" s="367">
        <f t="shared" si="763"/>
        <v>7266.9759760882498</v>
      </c>
      <c r="AM383" s="367">
        <f t="shared" si="763"/>
        <v>7339.6457358491325</v>
      </c>
      <c r="AN383" s="367">
        <f t="shared" si="763"/>
        <v>7413.0421932076242</v>
      </c>
      <c r="AO383" s="367">
        <f t="shared" si="763"/>
        <v>7487.1726151397006</v>
      </c>
      <c r="AP383" s="367">
        <f t="shared" si="763"/>
        <v>7562.0443412910981</v>
      </c>
      <c r="AQ383" s="367"/>
      <c r="AR383" s="367"/>
      <c r="AS383" s="367"/>
      <c r="AT383" s="367"/>
      <c r="AU383" s="367"/>
      <c r="AV383" s="367"/>
      <c r="AW383" s="367"/>
      <c r="AX383" s="367"/>
      <c r="AY383" s="367"/>
      <c r="AZ383" s="367"/>
      <c r="BA383" s="367"/>
      <c r="BB383" s="367"/>
      <c r="BC383" s="367"/>
      <c r="BD383" s="367"/>
      <c r="BE383" s="367"/>
      <c r="BF383" s="367"/>
      <c r="BG383" s="367"/>
      <c r="BH383" s="367"/>
      <c r="BI383" s="367"/>
      <c r="BJ383" s="367"/>
      <c r="BK383" s="367"/>
      <c r="BL383" s="367"/>
      <c r="BM383" s="367"/>
    </row>
    <row r="384" spans="1:65" hidden="1" outlineLevel="1">
      <c r="A384" s="367"/>
      <c r="B384" s="367"/>
      <c r="C384" s="367"/>
      <c r="D384" s="1542" t="s">
        <v>451</v>
      </c>
      <c r="E384" s="1542" t="s">
        <v>451</v>
      </c>
      <c r="F384" s="1542" t="s">
        <v>451</v>
      </c>
      <c r="G384" s="1542" t="s">
        <v>451</v>
      </c>
      <c r="H384" s="1542" t="s">
        <v>451</v>
      </c>
      <c r="I384" s="1542" t="s">
        <v>451</v>
      </c>
      <c r="J384" s="342">
        <f t="shared" ref="J384:AP384" si="764">J383/I383-1</f>
        <v>-1.346444780635403E-2</v>
      </c>
      <c r="K384" s="342">
        <f t="shared" si="764"/>
        <v>1.1194602054899638E-2</v>
      </c>
      <c r="L384" s="342">
        <f t="shared" si="764"/>
        <v>4.519259933272668E-2</v>
      </c>
      <c r="M384" s="342">
        <f t="shared" si="764"/>
        <v>9.0394660475914046E-2</v>
      </c>
      <c r="N384" s="342">
        <f t="shared" si="764"/>
        <v>-3.4065202927478389E-2</v>
      </c>
      <c r="O384" s="342">
        <f t="shared" si="764"/>
        <v>-6.626257060201135E-2</v>
      </c>
      <c r="P384" s="342">
        <f t="shared" si="764"/>
        <v>4.3670699321333828E-2</v>
      </c>
      <c r="Q384" s="342">
        <f t="shared" si="764"/>
        <v>-5.2304212609556089E-2</v>
      </c>
      <c r="R384" s="342">
        <f t="shared" si="764"/>
        <v>1.4618138424820959E-2</v>
      </c>
      <c r="S384" s="342">
        <f t="shared" si="764"/>
        <v>1.7494854454572106E-2</v>
      </c>
      <c r="T384" s="342">
        <f t="shared" si="764"/>
        <v>1.7916486056928083E-2</v>
      </c>
      <c r="U384" s="342">
        <f t="shared" si="764"/>
        <v>-8.8005677785663594E-2</v>
      </c>
      <c r="V384" s="342">
        <f t="shared" si="764"/>
        <v>-1.6031128404669248E-2</v>
      </c>
      <c r="W384" s="342">
        <f t="shared" si="764"/>
        <v>1.0000000000000009E-2</v>
      </c>
      <c r="X384" s="342">
        <f t="shared" si="764"/>
        <v>1.0000000000000009E-2</v>
      </c>
      <c r="Y384" s="342">
        <f t="shared" si="764"/>
        <v>1.0000000000000009E-2</v>
      </c>
      <c r="Z384" s="342">
        <f t="shared" si="764"/>
        <v>1.0000000000000009E-2</v>
      </c>
      <c r="AA384" s="342">
        <f t="shared" si="764"/>
        <v>1.0000000000000009E-2</v>
      </c>
      <c r="AB384" s="342">
        <f t="shared" si="764"/>
        <v>1.0000000000000009E-2</v>
      </c>
      <c r="AC384" s="342">
        <f t="shared" si="764"/>
        <v>1.0000000000000009E-2</v>
      </c>
      <c r="AD384" s="342">
        <f t="shared" si="764"/>
        <v>1.0000000000000009E-2</v>
      </c>
      <c r="AE384" s="342">
        <f t="shared" si="764"/>
        <v>1.0000000000000009E-2</v>
      </c>
      <c r="AF384" s="342">
        <f t="shared" si="764"/>
        <v>1.0000000000000009E-2</v>
      </c>
      <c r="AG384" s="342">
        <f t="shared" si="764"/>
        <v>1.0000000000000009E-2</v>
      </c>
      <c r="AH384" s="1962">
        <f>AH383/AG383-1</f>
        <v>1.0000000000000009E-2</v>
      </c>
      <c r="AI384" s="342">
        <f>AI383/AG383-1</f>
        <v>1.0000000000000009E-2</v>
      </c>
      <c r="AJ384" s="1962">
        <f>AJ383/AI383-1</f>
        <v>1.0000000000000009E-2</v>
      </c>
      <c r="AK384" s="365">
        <f>AK383/AI383-1</f>
        <v>1.0000000000000009E-2</v>
      </c>
      <c r="AL384" s="342">
        <f t="shared" si="764"/>
        <v>1.0000000000000009E-2</v>
      </c>
      <c r="AM384" s="342">
        <f t="shared" si="764"/>
        <v>1.0000000000000009E-2</v>
      </c>
      <c r="AN384" s="342">
        <f t="shared" si="764"/>
        <v>1.0000000000000009E-2</v>
      </c>
      <c r="AO384" s="342">
        <f t="shared" si="764"/>
        <v>1.0000000000000009E-2</v>
      </c>
      <c r="AP384" s="342">
        <f t="shared" si="764"/>
        <v>1.0000000000000009E-2</v>
      </c>
      <c r="AQ384" s="342"/>
      <c r="AR384" s="342"/>
      <c r="AS384" s="342"/>
      <c r="AT384" s="342"/>
      <c r="AU384" s="342"/>
      <c r="AV384" s="342"/>
      <c r="AW384" s="342"/>
      <c r="AX384" s="342"/>
      <c r="AY384" s="342"/>
      <c r="AZ384" s="342"/>
      <c r="BA384" s="342"/>
      <c r="BB384" s="342"/>
      <c r="BC384" s="342"/>
      <c r="BD384" s="342"/>
      <c r="BE384" s="342"/>
      <c r="BF384" s="342"/>
      <c r="BG384" s="342"/>
      <c r="BH384" s="342"/>
      <c r="BI384" s="342"/>
      <c r="BJ384" s="342"/>
      <c r="BK384" s="342"/>
      <c r="BL384" s="342"/>
      <c r="BM384" s="342"/>
    </row>
    <row r="385" spans="1:65" hidden="1" outlineLevel="1">
      <c r="A385" s="367"/>
      <c r="B385" s="367" t="s">
        <v>1191</v>
      </c>
      <c r="C385" s="367" t="s">
        <v>456</v>
      </c>
      <c r="D385" s="1542" t="s">
        <v>451</v>
      </c>
      <c r="E385" s="1542" t="s">
        <v>451</v>
      </c>
      <c r="F385" s="1542" t="s">
        <v>451</v>
      </c>
      <c r="G385" s="1542" t="s">
        <v>451</v>
      </c>
      <c r="H385" s="1542" t="s">
        <v>451</v>
      </c>
      <c r="I385" s="1542" t="s">
        <v>451</v>
      </c>
      <c r="J385" s="367">
        <v>16305</v>
      </c>
      <c r="K385" s="367">
        <v>16049</v>
      </c>
      <c r="L385" s="367">
        <v>16820</v>
      </c>
      <c r="M385" s="367">
        <v>15673</v>
      </c>
      <c r="N385" s="367">
        <v>16193</v>
      </c>
      <c r="O385" s="367">
        <v>16587</v>
      </c>
      <c r="P385" s="367">
        <v>16894</v>
      </c>
      <c r="Q385" s="367">
        <v>17176</v>
      </c>
      <c r="R385" s="367">
        <v>18534</v>
      </c>
      <c r="S385" s="367">
        <v>19351</v>
      </c>
      <c r="T385" s="367">
        <v>19833</v>
      </c>
      <c r="U385" s="367">
        <v>21729</v>
      </c>
      <c r="V385" s="367">
        <v>20183</v>
      </c>
      <c r="W385" s="367">
        <f t="shared" ref="W385:AP385" si="765">V385*1.01</f>
        <v>20384.830000000002</v>
      </c>
      <c r="X385" s="367">
        <f t="shared" si="765"/>
        <v>20588.678300000003</v>
      </c>
      <c r="Y385" s="367">
        <f t="shared" si="765"/>
        <v>20794.565083000005</v>
      </c>
      <c r="Z385" s="367">
        <f t="shared" si="765"/>
        <v>21002.510733830004</v>
      </c>
      <c r="AA385" s="367">
        <f t="shared" si="765"/>
        <v>21212.535841168305</v>
      </c>
      <c r="AB385" s="367">
        <f t="shared" si="765"/>
        <v>21424.661199579987</v>
      </c>
      <c r="AC385" s="367">
        <f t="shared" si="765"/>
        <v>21638.907811575787</v>
      </c>
      <c r="AD385" s="367">
        <f t="shared" si="765"/>
        <v>21855.296889691544</v>
      </c>
      <c r="AE385" s="367">
        <f t="shared" si="765"/>
        <v>22073.849858588459</v>
      </c>
      <c r="AF385" s="367">
        <f t="shared" si="765"/>
        <v>22294.588357174343</v>
      </c>
      <c r="AG385" s="367">
        <f t="shared" si="765"/>
        <v>22517.534240746088</v>
      </c>
      <c r="AH385" s="1961">
        <f>AG385*1.01</f>
        <v>22742.709583153548</v>
      </c>
      <c r="AI385" s="367">
        <f>AG385*1.01</f>
        <v>22742.709583153548</v>
      </c>
      <c r="AJ385" s="1961">
        <f>AI385*1.01</f>
        <v>22970.136678985084</v>
      </c>
      <c r="AK385" s="1442">
        <f>AI385*1.01</f>
        <v>22970.136678985084</v>
      </c>
      <c r="AL385" s="367">
        <f t="shared" si="765"/>
        <v>23199.838045774934</v>
      </c>
      <c r="AM385" s="367">
        <f t="shared" si="765"/>
        <v>23431.836426232683</v>
      </c>
      <c r="AN385" s="367">
        <f t="shared" si="765"/>
        <v>23666.154790495009</v>
      </c>
      <c r="AO385" s="367">
        <f t="shared" si="765"/>
        <v>23902.81633839996</v>
      </c>
      <c r="AP385" s="367">
        <f t="shared" si="765"/>
        <v>24141.844501783959</v>
      </c>
      <c r="AQ385" s="367"/>
      <c r="AR385" s="367"/>
      <c r="AS385" s="367"/>
      <c r="AT385" s="367"/>
      <c r="AU385" s="367"/>
      <c r="AV385" s="367"/>
      <c r="AW385" s="367"/>
      <c r="AX385" s="367"/>
      <c r="AY385" s="367"/>
      <c r="AZ385" s="367"/>
      <c r="BA385" s="367"/>
      <c r="BB385" s="367"/>
      <c r="BC385" s="367"/>
      <c r="BD385" s="367"/>
      <c r="BE385" s="367"/>
      <c r="BF385" s="367"/>
      <c r="BG385" s="367"/>
      <c r="BH385" s="367"/>
      <c r="BI385" s="367"/>
      <c r="BJ385" s="367"/>
      <c r="BK385" s="367"/>
      <c r="BL385" s="367"/>
      <c r="BM385" s="367"/>
    </row>
    <row r="386" spans="1:65" hidden="1" outlineLevel="1">
      <c r="A386" s="367"/>
      <c r="B386" s="367"/>
      <c r="C386" s="367"/>
      <c r="D386" s="1542" t="s">
        <v>451</v>
      </c>
      <c r="E386" s="1542" t="s">
        <v>451</v>
      </c>
      <c r="F386" s="1542" t="s">
        <v>451</v>
      </c>
      <c r="G386" s="1542" t="s">
        <v>451</v>
      </c>
      <c r="H386" s="1542" t="s">
        <v>451</v>
      </c>
      <c r="I386" s="1542" t="s">
        <v>451</v>
      </c>
      <c r="J386" s="1542" t="s">
        <v>451</v>
      </c>
      <c r="K386" s="342">
        <f t="shared" ref="K386:AP386" si="766">K385/J385-1</f>
        <v>-1.5700705305121132E-2</v>
      </c>
      <c r="L386" s="342">
        <f t="shared" si="766"/>
        <v>4.8040376347435965E-2</v>
      </c>
      <c r="M386" s="342">
        <f t="shared" si="766"/>
        <v>-6.8192627824019025E-2</v>
      </c>
      <c r="N386" s="342">
        <f t="shared" si="766"/>
        <v>3.3178076947616875E-2</v>
      </c>
      <c r="O386" s="342">
        <f t="shared" si="766"/>
        <v>2.433150126597905E-2</v>
      </c>
      <c r="P386" s="342">
        <f t="shared" si="766"/>
        <v>1.8508470488937112E-2</v>
      </c>
      <c r="Q386" s="342">
        <f t="shared" si="766"/>
        <v>1.6692316798863516E-2</v>
      </c>
      <c r="R386" s="342">
        <f t="shared" si="766"/>
        <v>7.906380996739637E-2</v>
      </c>
      <c r="S386" s="342">
        <f t="shared" si="766"/>
        <v>4.4081148160138195E-2</v>
      </c>
      <c r="T386" s="342">
        <f t="shared" si="766"/>
        <v>2.4908273474238962E-2</v>
      </c>
      <c r="U386" s="342">
        <f t="shared" si="766"/>
        <v>9.5598245348661237E-2</v>
      </c>
      <c r="V386" s="342">
        <f t="shared" si="766"/>
        <v>-7.1149155506466055E-2</v>
      </c>
      <c r="W386" s="342">
        <f t="shared" si="766"/>
        <v>1.0000000000000009E-2</v>
      </c>
      <c r="X386" s="342">
        <f t="shared" si="766"/>
        <v>1.0000000000000009E-2</v>
      </c>
      <c r="Y386" s="342">
        <f t="shared" si="766"/>
        <v>1.0000000000000009E-2</v>
      </c>
      <c r="Z386" s="342">
        <f t="shared" si="766"/>
        <v>1.0000000000000009E-2</v>
      </c>
      <c r="AA386" s="342">
        <f t="shared" si="766"/>
        <v>1.0000000000000009E-2</v>
      </c>
      <c r="AB386" s="342">
        <f t="shared" si="766"/>
        <v>1.0000000000000009E-2</v>
      </c>
      <c r="AC386" s="342">
        <f t="shared" si="766"/>
        <v>1.0000000000000009E-2</v>
      </c>
      <c r="AD386" s="342">
        <f t="shared" si="766"/>
        <v>1.0000000000000009E-2</v>
      </c>
      <c r="AE386" s="342">
        <f t="shared" si="766"/>
        <v>1.0000000000000009E-2</v>
      </c>
      <c r="AF386" s="342">
        <f t="shared" si="766"/>
        <v>1.0000000000000009E-2</v>
      </c>
      <c r="AG386" s="342">
        <f t="shared" si="766"/>
        <v>1.0000000000000009E-2</v>
      </c>
      <c r="AH386" s="1962">
        <f>AH385/AG385-1</f>
        <v>1.0000000000000009E-2</v>
      </c>
      <c r="AI386" s="342">
        <f>AI385/AG385-1</f>
        <v>1.0000000000000009E-2</v>
      </c>
      <c r="AJ386" s="1962">
        <f>AJ385/AI385-1</f>
        <v>1.0000000000000009E-2</v>
      </c>
      <c r="AK386" s="365">
        <f>AK385/AI385-1</f>
        <v>1.0000000000000009E-2</v>
      </c>
      <c r="AL386" s="342">
        <f t="shared" si="766"/>
        <v>1.0000000000000009E-2</v>
      </c>
      <c r="AM386" s="342">
        <f t="shared" si="766"/>
        <v>1.0000000000000009E-2</v>
      </c>
      <c r="AN386" s="342">
        <f t="shared" si="766"/>
        <v>1.0000000000000009E-2</v>
      </c>
      <c r="AO386" s="342">
        <f t="shared" si="766"/>
        <v>1.0000000000000009E-2</v>
      </c>
      <c r="AP386" s="342">
        <f t="shared" si="766"/>
        <v>1.0000000000000009E-2</v>
      </c>
      <c r="AQ386" s="342"/>
      <c r="AR386" s="342"/>
      <c r="AS386" s="342"/>
      <c r="AT386" s="342"/>
      <c r="AU386" s="342"/>
      <c r="AV386" s="342"/>
      <c r="AW386" s="342"/>
      <c r="AX386" s="342"/>
      <c r="AY386" s="342"/>
      <c r="AZ386" s="342"/>
      <c r="BA386" s="342"/>
      <c r="BB386" s="342"/>
      <c r="BC386" s="342"/>
      <c r="BD386" s="342"/>
      <c r="BE386" s="342"/>
      <c r="BF386" s="342"/>
      <c r="BG386" s="342"/>
      <c r="BH386" s="342"/>
      <c r="BI386" s="342"/>
      <c r="BJ386" s="342"/>
      <c r="BK386" s="342"/>
      <c r="BL386" s="342"/>
      <c r="BM386" s="342"/>
    </row>
    <row r="387" spans="1:65" hidden="1" outlineLevel="1">
      <c r="A387" s="367"/>
      <c r="B387" s="367" t="s">
        <v>1192</v>
      </c>
      <c r="C387" s="367" t="s">
        <v>455</v>
      </c>
      <c r="D387" s="1542" t="s">
        <v>451</v>
      </c>
      <c r="E387" s="1542" t="s">
        <v>451</v>
      </c>
      <c r="F387" s="1542" t="s">
        <v>451</v>
      </c>
      <c r="G387" s="1542" t="s">
        <v>451</v>
      </c>
      <c r="H387" s="1542" t="s">
        <v>451</v>
      </c>
      <c r="I387" s="1542" t="s">
        <v>451</v>
      </c>
      <c r="J387" s="1542" t="s">
        <v>451</v>
      </c>
      <c r="K387" s="1542" t="s">
        <v>451</v>
      </c>
      <c r="L387" s="367">
        <v>5084</v>
      </c>
      <c r="M387" s="367">
        <v>4027</v>
      </c>
      <c r="N387" s="367">
        <v>4382</v>
      </c>
      <c r="O387" s="367">
        <v>4941</v>
      </c>
      <c r="P387" s="367">
        <v>5114</v>
      </c>
      <c r="Q387" s="367">
        <v>5995</v>
      </c>
      <c r="R387" s="367">
        <v>6885</v>
      </c>
      <c r="S387" s="367">
        <v>8019</v>
      </c>
      <c r="T387" s="367">
        <v>9029</v>
      </c>
      <c r="U387" s="367">
        <v>10409</v>
      </c>
      <c r="V387" s="367">
        <v>9264</v>
      </c>
      <c r="W387" s="367"/>
      <c r="X387" s="367"/>
      <c r="Y387" s="367"/>
      <c r="Z387" s="367"/>
      <c r="AA387" s="367"/>
      <c r="AB387" s="367"/>
      <c r="AC387" s="367"/>
      <c r="AD387" s="367"/>
      <c r="AE387" s="367"/>
      <c r="AF387" s="367"/>
      <c r="AG387" s="367"/>
      <c r="AH387" s="1961"/>
      <c r="AI387" s="367"/>
      <c r="AJ387" s="1961"/>
      <c r="AK387" s="1442"/>
      <c r="AL387" s="367"/>
      <c r="AM387" s="367"/>
      <c r="AN387" s="367"/>
      <c r="AO387" s="367"/>
      <c r="AP387" s="367"/>
      <c r="AQ387" s="367"/>
      <c r="AR387" s="367"/>
      <c r="AS387" s="367"/>
      <c r="AT387" s="367"/>
      <c r="AU387" s="367"/>
      <c r="AV387" s="367"/>
      <c r="AW387" s="367"/>
      <c r="AX387" s="367"/>
      <c r="AY387" s="367"/>
      <c r="AZ387" s="367"/>
      <c r="BA387" s="367"/>
      <c r="BB387" s="367"/>
      <c r="BC387" s="367"/>
      <c r="BD387" s="367"/>
      <c r="BE387" s="367"/>
      <c r="BF387" s="367"/>
      <c r="BG387" s="367"/>
      <c r="BH387" s="367"/>
      <c r="BI387" s="367"/>
      <c r="BJ387" s="367"/>
      <c r="BK387" s="367"/>
      <c r="BL387" s="367"/>
      <c r="BM387" s="367"/>
    </row>
    <row r="388" spans="1:65" hidden="1" outlineLevel="1">
      <c r="A388" s="367"/>
      <c r="B388" s="367"/>
      <c r="C388" s="367"/>
      <c r="D388" s="1542" t="s">
        <v>451</v>
      </c>
      <c r="E388" s="1542" t="s">
        <v>451</v>
      </c>
      <c r="F388" s="1542" t="s">
        <v>451</v>
      </c>
      <c r="G388" s="1542" t="s">
        <v>451</v>
      </c>
      <c r="H388" s="1542" t="s">
        <v>451</v>
      </c>
      <c r="I388" s="1542" t="s">
        <v>451</v>
      </c>
      <c r="J388" s="1542" t="s">
        <v>451</v>
      </c>
      <c r="K388" s="503" t="s">
        <v>454</v>
      </c>
      <c r="L388" s="503" t="s">
        <v>454</v>
      </c>
      <c r="M388" s="342">
        <f t="shared" ref="M388:V388" si="767">M387/L387-1</f>
        <v>-0.20790715971675844</v>
      </c>
      <c r="N388" s="342">
        <f t="shared" si="767"/>
        <v>8.8154954060094326E-2</v>
      </c>
      <c r="O388" s="342">
        <f t="shared" si="767"/>
        <v>0.12756732085805567</v>
      </c>
      <c r="P388" s="342">
        <f t="shared" si="767"/>
        <v>3.5013155231734538E-2</v>
      </c>
      <c r="Q388" s="342">
        <f t="shared" si="767"/>
        <v>0.17227219397731708</v>
      </c>
      <c r="R388" s="342">
        <f t="shared" si="767"/>
        <v>0.1484570475396163</v>
      </c>
      <c r="S388" s="342">
        <f t="shared" si="767"/>
        <v>0.16470588235294126</v>
      </c>
      <c r="T388" s="342">
        <f t="shared" si="767"/>
        <v>0.12595086669160738</v>
      </c>
      <c r="U388" s="342">
        <f t="shared" si="767"/>
        <v>0.15284084616236582</v>
      </c>
      <c r="V388" s="342">
        <f t="shared" si="767"/>
        <v>-0.11000096070708043</v>
      </c>
      <c r="W388" s="342"/>
      <c r="X388" s="342"/>
      <c r="Y388" s="342"/>
      <c r="Z388" s="342"/>
      <c r="AA388" s="342"/>
      <c r="AB388" s="342"/>
      <c r="AC388" s="342"/>
      <c r="AD388" s="342"/>
      <c r="AE388" s="342"/>
      <c r="AF388" s="342"/>
      <c r="AG388" s="342"/>
      <c r="AH388" s="1962"/>
      <c r="AI388" s="342"/>
      <c r="AJ388" s="1962"/>
      <c r="AK388" s="365"/>
      <c r="AL388" s="342"/>
      <c r="AM388" s="342"/>
      <c r="AN388" s="342"/>
      <c r="AO388" s="342"/>
      <c r="AP388" s="342"/>
      <c r="AQ388" s="342"/>
      <c r="AR388" s="342"/>
      <c r="AS388" s="342"/>
      <c r="AT388" s="342"/>
      <c r="AU388" s="342"/>
      <c r="AV388" s="342"/>
      <c r="AW388" s="342"/>
      <c r="AX388" s="342"/>
      <c r="AY388" s="342"/>
      <c r="AZ388" s="342"/>
      <c r="BA388" s="342"/>
      <c r="BB388" s="342"/>
      <c r="BC388" s="342"/>
      <c r="BD388" s="342"/>
      <c r="BE388" s="342"/>
      <c r="BF388" s="342"/>
      <c r="BG388" s="342"/>
      <c r="BH388" s="342"/>
      <c r="BI388" s="342"/>
      <c r="BJ388" s="342"/>
      <c r="BK388" s="342"/>
      <c r="BL388" s="342"/>
      <c r="BM388" s="342"/>
    </row>
    <row r="389" spans="1:65" hidden="1" outlineLevel="1">
      <c r="A389" s="367"/>
      <c r="B389" s="367" t="s">
        <v>1193</v>
      </c>
      <c r="C389" s="367" t="s">
        <v>453</v>
      </c>
      <c r="D389" s="367">
        <v>5422</v>
      </c>
      <c r="E389" s="367">
        <v>6265</v>
      </c>
      <c r="F389" s="367">
        <v>6522</v>
      </c>
      <c r="G389" s="367">
        <v>7061</v>
      </c>
      <c r="H389" s="367">
        <v>7143</v>
      </c>
      <c r="I389" s="367">
        <v>7019</v>
      </c>
      <c r="J389" s="367">
        <v>7835</v>
      </c>
      <c r="K389" s="367">
        <v>9076</v>
      </c>
      <c r="L389" s="367">
        <v>10748</v>
      </c>
      <c r="M389" s="367">
        <v>11243</v>
      </c>
      <c r="N389" s="367">
        <v>11604</v>
      </c>
      <c r="O389" s="367">
        <v>11946</v>
      </c>
      <c r="P389" s="367">
        <v>11598</v>
      </c>
      <c r="Q389" s="367">
        <v>11835</v>
      </c>
      <c r="R389" s="367">
        <v>12537</v>
      </c>
      <c r="S389" s="367">
        <v>12688</v>
      </c>
      <c r="T389" s="367">
        <v>12396</v>
      </c>
      <c r="U389" s="367">
        <v>12161</v>
      </c>
      <c r="V389" s="367">
        <v>12379</v>
      </c>
      <c r="W389" s="367"/>
      <c r="X389" s="367"/>
      <c r="Y389" s="367"/>
      <c r="Z389" s="367"/>
      <c r="AA389" s="367"/>
      <c r="AB389" s="367"/>
      <c r="AC389" s="367"/>
      <c r="AD389" s="367"/>
      <c r="AE389" s="367"/>
      <c r="AF389" s="367"/>
      <c r="AG389" s="367"/>
      <c r="AH389" s="1961"/>
      <c r="AI389" s="367"/>
      <c r="AJ389" s="1961"/>
      <c r="AK389" s="1442"/>
      <c r="AL389" s="367"/>
      <c r="AM389" s="367"/>
      <c r="AN389" s="367"/>
      <c r="AO389" s="367"/>
      <c r="AP389" s="367"/>
      <c r="AQ389" s="367"/>
      <c r="AR389" s="367"/>
      <c r="AS389" s="367"/>
      <c r="AT389" s="367"/>
      <c r="AU389" s="367"/>
      <c r="AV389" s="367"/>
      <c r="AW389" s="367"/>
      <c r="AX389" s="367"/>
      <c r="AY389" s="367"/>
      <c r="AZ389" s="367"/>
      <c r="BA389" s="367"/>
      <c r="BB389" s="367"/>
      <c r="BC389" s="367"/>
      <c r="BD389" s="367"/>
      <c r="BE389" s="367"/>
      <c r="BF389" s="367"/>
      <c r="BG389" s="367"/>
      <c r="BH389" s="367"/>
      <c r="BI389" s="367"/>
      <c r="BJ389" s="367"/>
      <c r="BK389" s="367"/>
      <c r="BL389" s="367"/>
      <c r="BM389" s="367"/>
    </row>
    <row r="390" spans="1:65" hidden="1" outlineLevel="1">
      <c r="A390" s="367"/>
      <c r="B390" s="367"/>
      <c r="C390" s="367"/>
      <c r="D390" s="367"/>
      <c r="E390" s="342">
        <f t="shared" ref="E390:V390" si="768">E389/D389-1</f>
        <v>0.15547768351161939</v>
      </c>
      <c r="F390" s="342">
        <f t="shared" si="768"/>
        <v>4.1021548284118081E-2</v>
      </c>
      <c r="G390" s="342">
        <f t="shared" si="768"/>
        <v>8.2643360932229459E-2</v>
      </c>
      <c r="H390" s="342">
        <f t="shared" si="768"/>
        <v>1.1613085965160641E-2</v>
      </c>
      <c r="I390" s="342">
        <f t="shared" si="768"/>
        <v>-1.7359652806943848E-2</v>
      </c>
      <c r="J390" s="342">
        <f t="shared" si="768"/>
        <v>0.11625587690554218</v>
      </c>
      <c r="K390" s="342">
        <f t="shared" si="768"/>
        <v>0.15839183152520731</v>
      </c>
      <c r="L390" s="342">
        <f t="shared" si="768"/>
        <v>0.18422212428382556</v>
      </c>
      <c r="M390" s="342">
        <f t="shared" si="768"/>
        <v>4.6055080014886451E-2</v>
      </c>
      <c r="N390" s="342">
        <f t="shared" si="768"/>
        <v>3.2108867739927049E-2</v>
      </c>
      <c r="O390" s="342">
        <f t="shared" si="768"/>
        <v>2.9472595656670153E-2</v>
      </c>
      <c r="P390" s="342">
        <f t="shared" si="768"/>
        <v>-2.9131089904570584E-2</v>
      </c>
      <c r="Q390" s="342">
        <f t="shared" si="768"/>
        <v>2.0434557682359022E-2</v>
      </c>
      <c r="R390" s="342">
        <f t="shared" si="768"/>
        <v>5.9315589353612141E-2</v>
      </c>
      <c r="S390" s="342">
        <f t="shared" si="768"/>
        <v>1.2044348727765719E-2</v>
      </c>
      <c r="T390" s="342">
        <f t="shared" si="768"/>
        <v>-2.3013871374527151E-2</v>
      </c>
      <c r="U390" s="342">
        <f t="shared" si="768"/>
        <v>-1.8957728299451415E-2</v>
      </c>
      <c r="V390" s="342">
        <f t="shared" si="768"/>
        <v>1.7926157388372665E-2</v>
      </c>
      <c r="W390" s="342"/>
      <c r="X390" s="342"/>
      <c r="Y390" s="342"/>
      <c r="Z390" s="342"/>
      <c r="AA390" s="342"/>
      <c r="AB390" s="342"/>
      <c r="AC390" s="342"/>
      <c r="AD390" s="342"/>
      <c r="AE390" s="342"/>
      <c r="AF390" s="342"/>
      <c r="AG390" s="342"/>
      <c r="AH390" s="1962"/>
      <c r="AI390" s="342"/>
      <c r="AJ390" s="1962"/>
      <c r="AK390" s="365"/>
      <c r="AL390" s="342"/>
      <c r="AM390" s="342"/>
      <c r="AN390" s="342"/>
      <c r="AO390" s="342"/>
      <c r="AP390" s="342"/>
      <c r="AQ390" s="342"/>
      <c r="AR390" s="342"/>
      <c r="AS390" s="342"/>
      <c r="AT390" s="342"/>
      <c r="AU390" s="342"/>
      <c r="AV390" s="342"/>
      <c r="AW390" s="342"/>
      <c r="AX390" s="342"/>
      <c r="AY390" s="342"/>
      <c r="AZ390" s="342"/>
      <c r="BA390" s="342"/>
      <c r="BB390" s="342"/>
      <c r="BC390" s="342"/>
      <c r="BD390" s="342"/>
      <c r="BE390" s="342"/>
      <c r="BF390" s="342"/>
      <c r="BG390" s="342"/>
      <c r="BH390" s="342"/>
      <c r="BI390" s="342"/>
      <c r="BJ390" s="342"/>
      <c r="BK390" s="342"/>
      <c r="BL390" s="342"/>
      <c r="BM390" s="342"/>
    </row>
    <row r="391" spans="1:65" hidden="1" outlineLevel="1">
      <c r="A391" s="367"/>
      <c r="B391" s="367" t="s">
        <v>1194</v>
      </c>
      <c r="C391" s="367" t="s">
        <v>452</v>
      </c>
      <c r="D391" s="1542" t="s">
        <v>451</v>
      </c>
      <c r="E391" s="1542" t="s">
        <v>451</v>
      </c>
      <c r="F391" s="1542" t="s">
        <v>451</v>
      </c>
      <c r="G391" s="1542" t="s">
        <v>451</v>
      </c>
      <c r="H391" s="1542" t="s">
        <v>451</v>
      </c>
      <c r="I391" s="1542" t="s">
        <v>451</v>
      </c>
      <c r="J391" s="367">
        <v>2542</v>
      </c>
      <c r="K391" s="367">
        <v>2531</v>
      </c>
      <c r="L391" s="367">
        <v>2551</v>
      </c>
      <c r="M391" s="367">
        <v>2512</v>
      </c>
      <c r="N391" s="367">
        <v>2408</v>
      </c>
      <c r="O391" s="367">
        <v>2209</v>
      </c>
      <c r="P391" s="367">
        <v>1946</v>
      </c>
      <c r="Q391" s="367">
        <v>1770</v>
      </c>
      <c r="R391" s="367">
        <v>1538</v>
      </c>
      <c r="S391" s="367">
        <v>1643</v>
      </c>
      <c r="T391" s="367">
        <v>1601</v>
      </c>
      <c r="U391" s="367">
        <v>1613</v>
      </c>
      <c r="V391" s="367">
        <v>1338</v>
      </c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1961"/>
      <c r="AI391" s="367"/>
      <c r="AJ391" s="1961"/>
      <c r="AK391" s="1442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  <c r="BI391" s="367"/>
      <c r="BJ391" s="367"/>
      <c r="BK391" s="367"/>
      <c r="BL391" s="367"/>
      <c r="BM391" s="367"/>
    </row>
    <row r="392" spans="1:65" hidden="1" outlineLevel="1">
      <c r="A392" s="367"/>
      <c r="B392" s="367"/>
      <c r="C392" s="367"/>
      <c r="D392" s="1542" t="s">
        <v>451</v>
      </c>
      <c r="E392" s="1542" t="s">
        <v>451</v>
      </c>
      <c r="F392" s="1542" t="s">
        <v>451</v>
      </c>
      <c r="G392" s="1542" t="s">
        <v>451</v>
      </c>
      <c r="H392" s="1542" t="s">
        <v>451</v>
      </c>
      <c r="I392" s="1542" t="s">
        <v>451</v>
      </c>
      <c r="J392" s="1542" t="s">
        <v>451</v>
      </c>
      <c r="K392" s="342">
        <f t="shared" ref="K392:V392" si="769">K391/J391-1</f>
        <v>-4.3273013375294545E-3</v>
      </c>
      <c r="L392" s="342">
        <f t="shared" si="769"/>
        <v>7.9020150138284784E-3</v>
      </c>
      <c r="M392" s="342">
        <f t="shared" si="769"/>
        <v>-1.5288122304978446E-2</v>
      </c>
      <c r="N392" s="342">
        <f t="shared" si="769"/>
        <v>-4.1401273885350309E-2</v>
      </c>
      <c r="O392" s="342">
        <f t="shared" si="769"/>
        <v>-8.2641196013289009E-2</v>
      </c>
      <c r="P392" s="342">
        <f t="shared" si="769"/>
        <v>-0.1190583974649162</v>
      </c>
      <c r="Q392" s="342">
        <f t="shared" si="769"/>
        <v>-9.0441932168550898E-2</v>
      </c>
      <c r="R392" s="342">
        <f t="shared" si="769"/>
        <v>-0.13107344632768358</v>
      </c>
      <c r="S392" s="342">
        <f t="shared" si="769"/>
        <v>6.8270481144343309E-2</v>
      </c>
      <c r="T392" s="342">
        <f t="shared" si="769"/>
        <v>-2.5562994522215443E-2</v>
      </c>
      <c r="U392" s="342">
        <f t="shared" si="769"/>
        <v>7.4953154278576406E-3</v>
      </c>
      <c r="V392" s="342">
        <f t="shared" si="769"/>
        <v>-0.17048977061376314</v>
      </c>
      <c r="W392" s="342"/>
      <c r="X392" s="342"/>
      <c r="Y392" s="342"/>
      <c r="Z392" s="342"/>
      <c r="AA392" s="342"/>
      <c r="AB392" s="342"/>
      <c r="AC392" s="342"/>
      <c r="AD392" s="342"/>
      <c r="AE392" s="342"/>
      <c r="AF392" s="342"/>
      <c r="AG392" s="342"/>
      <c r="AH392" s="1962"/>
      <c r="AI392" s="342"/>
      <c r="AJ392" s="1962"/>
      <c r="AK392" s="365"/>
      <c r="AL392" s="342"/>
      <c r="AM392" s="342"/>
      <c r="AN392" s="342"/>
      <c r="AO392" s="342"/>
      <c r="AP392" s="342"/>
      <c r="AQ392" s="342"/>
      <c r="AR392" s="342"/>
      <c r="AS392" s="342"/>
      <c r="AT392" s="342"/>
      <c r="AU392" s="342"/>
      <c r="AV392" s="342"/>
      <c r="AW392" s="342"/>
      <c r="AX392" s="342"/>
      <c r="AY392" s="342"/>
      <c r="AZ392" s="342"/>
      <c r="BA392" s="342"/>
      <c r="BB392" s="342"/>
      <c r="BC392" s="342"/>
      <c r="BD392" s="342"/>
      <c r="BE392" s="342"/>
      <c r="BF392" s="342"/>
      <c r="BG392" s="342"/>
      <c r="BH392" s="342"/>
      <c r="BI392" s="342"/>
      <c r="BJ392" s="342"/>
      <c r="BK392" s="342"/>
      <c r="BL392" s="342"/>
      <c r="BM392" s="342"/>
    </row>
    <row r="393" spans="1:65" hidden="1" outlineLevel="1">
      <c r="A393" s="367"/>
      <c r="B393" s="1384" t="s">
        <v>1044</v>
      </c>
      <c r="C393" s="1384" t="s">
        <v>427</v>
      </c>
      <c r="D393" s="1384">
        <f t="shared" ref="D393:M393" si="770">D319</f>
        <v>175747</v>
      </c>
      <c r="E393" s="1384">
        <f t="shared" si="770"/>
        <v>181210</v>
      </c>
      <c r="F393" s="1384">
        <f t="shared" si="770"/>
        <v>185141</v>
      </c>
      <c r="G393" s="1384">
        <f t="shared" si="770"/>
        <v>194697</v>
      </c>
      <c r="H393" s="1384">
        <f t="shared" si="770"/>
        <v>200795</v>
      </c>
      <c r="I393" s="1384">
        <f t="shared" si="770"/>
        <v>220431</v>
      </c>
      <c r="J393" s="1384">
        <f t="shared" si="770"/>
        <v>215648</v>
      </c>
      <c r="K393" s="1384">
        <f t="shared" si="770"/>
        <v>205700</v>
      </c>
      <c r="L393" s="1384">
        <f t="shared" si="770"/>
        <v>205213</v>
      </c>
      <c r="M393" s="1384">
        <f t="shared" si="770"/>
        <v>207816</v>
      </c>
      <c r="N393" s="1384">
        <f>N367+N369+N389+N391</f>
        <v>211349</v>
      </c>
      <c r="O393" s="1384">
        <f>O367+O369+O389+O391</f>
        <v>217690</v>
      </c>
      <c r="P393" s="1384">
        <f>P367+P369+P389+P391</f>
        <v>212838</v>
      </c>
      <c r="Q393" s="1384">
        <f>Q367+Q369+Q389+Q391</f>
        <v>214125</v>
      </c>
      <c r="R393" s="1384">
        <f>R367+R369+R389+R391</f>
        <v>218558</v>
      </c>
      <c r="S393" s="1384">
        <f>S367+S369+S389+S391+1</f>
        <v>213814</v>
      </c>
      <c r="T393" s="1384">
        <f>T367+T369+T389+T391+1</f>
        <v>214945</v>
      </c>
      <c r="U393" s="1384">
        <v>216728</v>
      </c>
      <c r="V393" s="1384">
        <v>213538</v>
      </c>
      <c r="W393" s="1384"/>
      <c r="X393" s="1384"/>
      <c r="Y393" s="1384"/>
      <c r="Z393" s="1384"/>
      <c r="AA393" s="1384"/>
      <c r="AB393" s="1384"/>
      <c r="AC393" s="1384"/>
      <c r="AD393" s="1384"/>
      <c r="AE393" s="1384"/>
      <c r="AF393" s="1384"/>
      <c r="AG393" s="1384"/>
      <c r="AH393" s="1975"/>
      <c r="AI393" s="1384"/>
      <c r="AJ393" s="1975"/>
      <c r="AK393" s="1451"/>
      <c r="AL393" s="1384"/>
      <c r="AM393" s="1384"/>
      <c r="AN393" s="1384"/>
      <c r="AO393" s="1384"/>
      <c r="AP393" s="1384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  <c r="BI393" s="367"/>
      <c r="BJ393" s="367"/>
      <c r="BK393" s="367"/>
      <c r="BL393" s="367"/>
      <c r="BM393" s="367"/>
    </row>
    <row r="394" spans="1:65" hidden="1" outlineLevel="1">
      <c r="A394" s="1341"/>
      <c r="B394" s="1350"/>
      <c r="C394" s="1341"/>
      <c r="D394" s="1341"/>
      <c r="E394" s="1341"/>
      <c r="F394" s="1341"/>
      <c r="G394" s="1341"/>
      <c r="H394" s="1341"/>
      <c r="I394" s="1341"/>
      <c r="J394" s="1341"/>
      <c r="K394" s="1341"/>
      <c r="L394" s="1341"/>
      <c r="M394" s="1341"/>
      <c r="N394" s="1341"/>
      <c r="O394" s="1341"/>
      <c r="P394" s="1341"/>
      <c r="Q394" s="1341"/>
      <c r="R394" s="1341"/>
      <c r="S394" s="1341"/>
      <c r="T394" s="1341"/>
      <c r="U394" s="1341"/>
      <c r="V394" s="1341"/>
      <c r="W394" s="1341"/>
      <c r="X394" s="1341"/>
      <c r="Y394" s="1341"/>
      <c r="Z394" s="1341"/>
      <c r="AA394" s="1341"/>
      <c r="AB394" s="1341"/>
      <c r="AC394" s="1341"/>
      <c r="AD394" s="1341"/>
      <c r="AE394" s="1341"/>
      <c r="AF394" s="1341"/>
      <c r="AG394" s="1341"/>
      <c r="AH394" s="1950"/>
      <c r="AI394" s="1341"/>
      <c r="AJ394" s="1950"/>
      <c r="AK394" s="1399"/>
      <c r="AL394" s="1341"/>
      <c r="AM394" s="1341"/>
      <c r="AN394" s="1341"/>
      <c r="AO394" s="1341"/>
      <c r="AP394" s="1341"/>
      <c r="AQ394" s="1341"/>
      <c r="AR394" s="1341"/>
      <c r="AS394" s="1341"/>
      <c r="AT394" s="1341"/>
      <c r="AU394" s="1341"/>
      <c r="AV394" s="1341"/>
      <c r="AW394" s="1341"/>
      <c r="AX394" s="1341"/>
      <c r="AY394" s="1341"/>
      <c r="AZ394" s="1341"/>
      <c r="BA394" s="1341"/>
      <c r="BB394" s="1341"/>
      <c r="BC394" s="1341"/>
      <c r="BD394" s="1341"/>
      <c r="BE394" s="1341"/>
      <c r="BF394" s="1341"/>
      <c r="BG394" s="1341"/>
      <c r="BH394" s="1341"/>
      <c r="BI394" s="1341"/>
      <c r="BJ394" s="1341"/>
      <c r="BK394" s="1341"/>
      <c r="BL394" s="1341"/>
      <c r="BM394" s="1341"/>
    </row>
    <row r="395" spans="1:65" hidden="1" outlineLevel="1">
      <c r="A395" s="1341"/>
      <c r="B395" s="1485"/>
      <c r="C395" s="1484" t="s">
        <v>435</v>
      </c>
      <c r="D395" s="1548"/>
      <c r="E395" s="1548"/>
      <c r="F395" s="1548"/>
      <c r="G395" s="1548"/>
      <c r="H395" s="1548"/>
      <c r="I395" s="1548"/>
      <c r="J395" s="1484"/>
      <c r="K395" s="1484"/>
      <c r="L395" s="1437"/>
      <c r="M395" s="1437"/>
      <c r="N395" s="1437"/>
      <c r="O395" s="1437"/>
      <c r="P395" s="1437"/>
      <c r="Q395" s="1437"/>
      <c r="R395" s="1437"/>
      <c r="S395" s="1437"/>
      <c r="T395" s="1437"/>
      <c r="U395" s="1437"/>
      <c r="V395" s="1437"/>
      <c r="W395" s="1437"/>
      <c r="X395" s="1437"/>
      <c r="Y395" s="1437"/>
      <c r="Z395" s="1437"/>
      <c r="AA395" s="1437"/>
      <c r="AB395" s="1437"/>
      <c r="AC395" s="1437"/>
      <c r="AD395" s="1437"/>
      <c r="AE395" s="1437"/>
      <c r="AF395" s="1437"/>
      <c r="AG395" s="1437"/>
      <c r="AH395" s="1977"/>
      <c r="AI395" s="1437"/>
      <c r="AJ395" s="1977"/>
      <c r="AK395" s="1549"/>
      <c r="AL395" s="1437"/>
      <c r="AM395" s="1437"/>
      <c r="AN395" s="1437"/>
      <c r="AO395" s="1437"/>
      <c r="AP395" s="1437"/>
      <c r="AQ395" s="1405"/>
      <c r="AR395" s="1405"/>
      <c r="AS395" s="1405"/>
      <c r="AT395" s="1405"/>
      <c r="AU395" s="1405"/>
      <c r="AV395" s="1405"/>
      <c r="AW395" s="1405"/>
      <c r="AX395" s="1405"/>
      <c r="AY395" s="1405"/>
      <c r="AZ395" s="1405"/>
      <c r="BA395" s="1405"/>
      <c r="BB395" s="1405"/>
      <c r="BC395" s="1405"/>
      <c r="BD395" s="1405"/>
      <c r="BE395" s="1405"/>
      <c r="BF395" s="1405"/>
      <c r="BG395" s="1405"/>
      <c r="BH395" s="1405"/>
      <c r="BI395" s="1405"/>
      <c r="BJ395" s="1405"/>
      <c r="BK395" s="1405"/>
      <c r="BL395" s="1405"/>
      <c r="BM395" s="1405"/>
    </row>
    <row r="396" spans="1:65" hidden="1" outlineLevel="1">
      <c r="A396" s="1341"/>
      <c r="B396" s="1350"/>
      <c r="C396" s="1341" t="s">
        <v>433</v>
      </c>
      <c r="D396" s="1402"/>
      <c r="E396" s="1402"/>
      <c r="F396" s="1402"/>
      <c r="G396" s="1402"/>
      <c r="H396" s="1402"/>
      <c r="I396" s="1402"/>
      <c r="J396" s="1341"/>
      <c r="K396" s="1341"/>
      <c r="L396" s="1405"/>
      <c r="M396" s="1405"/>
      <c r="N396" s="1405"/>
      <c r="O396" s="1405"/>
      <c r="P396" s="1405"/>
      <c r="Q396" s="1405"/>
      <c r="R396" s="1405"/>
      <c r="S396" s="1405"/>
      <c r="T396" s="1405"/>
      <c r="U396" s="1405"/>
      <c r="V396" s="1550">
        <v>33400</v>
      </c>
      <c r="W396" s="1341">
        <v>33355</v>
      </c>
      <c r="X396" s="1341">
        <v>32555</v>
      </c>
      <c r="Y396" s="1405"/>
      <c r="Z396" s="1405"/>
      <c r="AA396" s="1405"/>
      <c r="AB396" s="1405"/>
      <c r="AC396" s="1405"/>
      <c r="AD396" s="1405"/>
      <c r="AE396" s="1405"/>
      <c r="AF396" s="1405"/>
      <c r="AG396" s="1405"/>
      <c r="AH396" s="1953"/>
      <c r="AI396" s="1405"/>
      <c r="AJ396" s="1953"/>
      <c r="AK396" s="1408"/>
      <c r="AL396" s="1405"/>
      <c r="AM396" s="1405"/>
      <c r="AN396" s="1405"/>
      <c r="AO396" s="1405"/>
      <c r="AP396" s="1405"/>
      <c r="AQ396" s="1405"/>
      <c r="AR396" s="1405"/>
      <c r="AS396" s="1405"/>
      <c r="AT396" s="1405"/>
      <c r="AU396" s="1405"/>
      <c r="AV396" s="1405"/>
      <c r="AW396" s="1405"/>
      <c r="AX396" s="1405"/>
      <c r="AY396" s="1405"/>
      <c r="AZ396" s="1405"/>
      <c r="BA396" s="1405"/>
      <c r="BB396" s="1405"/>
      <c r="BC396" s="1405"/>
      <c r="BD396" s="1405"/>
      <c r="BE396" s="1405"/>
      <c r="BF396" s="1405"/>
      <c r="BG396" s="1405"/>
      <c r="BH396" s="1405"/>
      <c r="BI396" s="1405"/>
      <c r="BJ396" s="1405"/>
      <c r="BK396" s="1405"/>
      <c r="BL396" s="1405"/>
      <c r="BM396" s="1405"/>
    </row>
    <row r="397" spans="1:65" hidden="1" outlineLevel="1">
      <c r="A397" s="1341"/>
      <c r="B397" s="1350"/>
      <c r="C397" s="1341" t="s">
        <v>432</v>
      </c>
      <c r="D397" s="1402"/>
      <c r="E397" s="1402"/>
      <c r="F397" s="1402"/>
      <c r="G397" s="1402"/>
      <c r="H397" s="1402"/>
      <c r="I397" s="1402"/>
      <c r="J397" s="1341"/>
      <c r="K397" s="1341"/>
      <c r="L397" s="1405"/>
      <c r="M397" s="1405"/>
      <c r="N397" s="1405"/>
      <c r="O397" s="1405"/>
      <c r="P397" s="1405"/>
      <c r="Q397" s="1405"/>
      <c r="R397" s="1405"/>
      <c r="S397" s="1405"/>
      <c r="T397" s="1405"/>
      <c r="U397" s="1405"/>
      <c r="V397" s="1550">
        <v>59200</v>
      </c>
      <c r="W397" s="1341">
        <v>50191</v>
      </c>
      <c r="X397" s="1341">
        <v>57559</v>
      </c>
      <c r="Y397" s="1405"/>
      <c r="Z397" s="1405"/>
      <c r="AA397" s="1405"/>
      <c r="AB397" s="1405"/>
      <c r="AC397" s="1405"/>
      <c r="AD397" s="1405"/>
      <c r="AE397" s="1405"/>
      <c r="AF397" s="1405"/>
      <c r="AG397" s="1405"/>
      <c r="AH397" s="1953"/>
      <c r="AI397" s="1405"/>
      <c r="AJ397" s="1953"/>
      <c r="AK397" s="1408"/>
      <c r="AL397" s="1405"/>
      <c r="AM397" s="1405"/>
      <c r="AN397" s="1405"/>
      <c r="AO397" s="1405"/>
      <c r="AP397" s="1405"/>
      <c r="AQ397" s="1405"/>
      <c r="AR397" s="1405"/>
      <c r="AS397" s="1405"/>
      <c r="AT397" s="1405"/>
      <c r="AU397" s="1405"/>
      <c r="AV397" s="1405"/>
      <c r="AW397" s="1405"/>
      <c r="AX397" s="1405"/>
      <c r="AY397" s="1405"/>
      <c r="AZ397" s="1405"/>
      <c r="BA397" s="1405"/>
      <c r="BB397" s="1405"/>
      <c r="BC397" s="1405"/>
      <c r="BD397" s="1405"/>
      <c r="BE397" s="1405"/>
      <c r="BF397" s="1405"/>
      <c r="BG397" s="1405"/>
      <c r="BH397" s="1405"/>
      <c r="BI397" s="1405"/>
      <c r="BJ397" s="1405"/>
      <c r="BK397" s="1405"/>
      <c r="BL397" s="1405"/>
      <c r="BM397" s="1405"/>
    </row>
    <row r="398" spans="1:65" hidden="1" outlineLevel="1">
      <c r="A398" s="1341"/>
      <c r="B398" s="1350"/>
      <c r="C398" s="1341" t="s">
        <v>431</v>
      </c>
      <c r="D398" s="1402"/>
      <c r="E398" s="1402"/>
      <c r="F398" s="1402"/>
      <c r="G398" s="1402"/>
      <c r="H398" s="1402"/>
      <c r="I398" s="1402"/>
      <c r="J398" s="1341"/>
      <c r="K398" s="1341"/>
      <c r="L398" s="1405"/>
      <c r="M398" s="1405"/>
      <c r="N398" s="1405"/>
      <c r="O398" s="1405"/>
      <c r="P398" s="1405"/>
      <c r="Q398" s="1405"/>
      <c r="R398" s="1405"/>
      <c r="S398" s="1405"/>
      <c r="T398" s="1405"/>
      <c r="U398" s="1405"/>
      <c r="V398" s="1550">
        <v>97000</v>
      </c>
      <c r="W398" s="1341">
        <v>101755</v>
      </c>
      <c r="X398" s="1341">
        <v>106638</v>
      </c>
      <c r="Y398" s="1405"/>
      <c r="Z398" s="1405"/>
      <c r="AA398" s="1405"/>
      <c r="AB398" s="1405"/>
      <c r="AC398" s="1405"/>
      <c r="AD398" s="1405"/>
      <c r="AE398" s="1405"/>
      <c r="AF398" s="1405"/>
      <c r="AG398" s="1405"/>
      <c r="AH398" s="1953"/>
      <c r="AI398" s="1405"/>
      <c r="AJ398" s="1953"/>
      <c r="AK398" s="1408"/>
      <c r="AL398" s="1405"/>
      <c r="AM398" s="1405"/>
      <c r="AN398" s="1405"/>
      <c r="AO398" s="1405"/>
      <c r="AP398" s="1405"/>
      <c r="AQ398" s="1405"/>
      <c r="AR398" s="1405"/>
      <c r="AS398" s="1405"/>
      <c r="AT398" s="1405"/>
      <c r="AU398" s="1405"/>
      <c r="AV398" s="1405"/>
      <c r="AW398" s="1405"/>
      <c r="AX398" s="1405"/>
      <c r="AY398" s="1405"/>
      <c r="AZ398" s="1405"/>
      <c r="BA398" s="1405"/>
      <c r="BB398" s="1405"/>
      <c r="BC398" s="1405"/>
      <c r="BD398" s="1405"/>
      <c r="BE398" s="1405"/>
      <c r="BF398" s="1405"/>
      <c r="BG398" s="1405"/>
      <c r="BH398" s="1405"/>
      <c r="BI398" s="1405"/>
      <c r="BJ398" s="1405"/>
      <c r="BK398" s="1405"/>
      <c r="BL398" s="1405"/>
      <c r="BM398" s="1405"/>
    </row>
    <row r="399" spans="1:65" hidden="1" outlineLevel="1">
      <c r="A399" s="1341"/>
      <c r="B399" s="1350"/>
      <c r="C399" s="1341" t="s">
        <v>430</v>
      </c>
      <c r="D399" s="1402"/>
      <c r="E399" s="1402"/>
      <c r="F399" s="1402"/>
      <c r="G399" s="1402"/>
      <c r="H399" s="1402"/>
      <c r="I399" s="1402"/>
      <c r="J399" s="1341"/>
      <c r="K399" s="1341"/>
      <c r="L399" s="1405"/>
      <c r="M399" s="1405"/>
      <c r="N399" s="1405"/>
      <c r="O399" s="1405"/>
      <c r="P399" s="1405"/>
      <c r="Q399" s="1405"/>
      <c r="R399" s="1405"/>
      <c r="S399" s="1405"/>
      <c r="T399" s="1405"/>
      <c r="U399" s="1405"/>
      <c r="V399" s="1550">
        <v>65300</v>
      </c>
      <c r="W399" s="1341">
        <v>63378</v>
      </c>
      <c r="X399" s="1341">
        <v>63372</v>
      </c>
      <c r="Y399" s="1405"/>
      <c r="Z399" s="1405"/>
      <c r="AA399" s="1405"/>
      <c r="AB399" s="1405"/>
      <c r="AC399" s="1405"/>
      <c r="AD399" s="1405"/>
      <c r="AE399" s="1405"/>
      <c r="AF399" s="1405"/>
      <c r="AG399" s="1405"/>
      <c r="AH399" s="1953"/>
      <c r="AI399" s="1405"/>
      <c r="AJ399" s="1953"/>
      <c r="AK399" s="1408"/>
      <c r="AL399" s="1405"/>
      <c r="AM399" s="1405"/>
      <c r="AN399" s="1405"/>
      <c r="AO399" s="1405"/>
      <c r="AP399" s="1405"/>
      <c r="AQ399" s="1405"/>
      <c r="AR399" s="1405"/>
      <c r="AS399" s="1405"/>
      <c r="AT399" s="1405"/>
      <c r="AU399" s="1405"/>
      <c r="AV399" s="1405"/>
      <c r="AW399" s="1405"/>
      <c r="AX399" s="1405"/>
      <c r="AY399" s="1405"/>
      <c r="AZ399" s="1405"/>
      <c r="BA399" s="1405"/>
      <c r="BB399" s="1405"/>
      <c r="BC399" s="1405"/>
      <c r="BD399" s="1405"/>
      <c r="BE399" s="1405"/>
      <c r="BF399" s="1405"/>
      <c r="BG399" s="1405"/>
      <c r="BH399" s="1405"/>
      <c r="BI399" s="1405"/>
      <c r="BJ399" s="1405"/>
      <c r="BK399" s="1405"/>
      <c r="BL399" s="1405"/>
      <c r="BM399" s="1405"/>
    </row>
    <row r="400" spans="1:65" hidden="1" outlineLevel="1">
      <c r="A400" s="1341"/>
      <c r="B400" s="1350"/>
      <c r="C400" s="1341" t="s">
        <v>429</v>
      </c>
      <c r="D400" s="1402"/>
      <c r="E400" s="1402"/>
      <c r="F400" s="1402"/>
      <c r="G400" s="1402"/>
      <c r="H400" s="1402"/>
      <c r="I400" s="1402"/>
      <c r="J400" s="1341"/>
      <c r="K400" s="1341"/>
      <c r="L400" s="1405"/>
      <c r="M400" s="1405"/>
      <c r="N400" s="1405"/>
      <c r="O400" s="1405"/>
      <c r="P400" s="1405"/>
      <c r="Q400" s="1405"/>
      <c r="R400" s="1405"/>
      <c r="S400" s="1405"/>
      <c r="T400" s="1405"/>
      <c r="U400" s="1405"/>
      <c r="V400" s="1550">
        <v>19300</v>
      </c>
      <c r="W400" s="1341">
        <v>18333</v>
      </c>
      <c r="X400" s="1341">
        <v>17235</v>
      </c>
      <c r="Y400" s="1405"/>
      <c r="Z400" s="1405"/>
      <c r="AA400" s="1405"/>
      <c r="AB400" s="1405"/>
      <c r="AC400" s="1405"/>
      <c r="AD400" s="1405"/>
      <c r="AE400" s="1405"/>
      <c r="AF400" s="1405"/>
      <c r="AG400" s="1405"/>
      <c r="AH400" s="1953"/>
      <c r="AI400" s="1405"/>
      <c r="AJ400" s="1953"/>
      <c r="AK400" s="1408"/>
      <c r="AL400" s="1405"/>
      <c r="AM400" s="1405"/>
      <c r="AN400" s="1405"/>
      <c r="AO400" s="1405"/>
      <c r="AP400" s="1405"/>
      <c r="AQ400" s="1405"/>
      <c r="AR400" s="1405"/>
      <c r="AS400" s="1405"/>
      <c r="AT400" s="1405"/>
      <c r="AU400" s="1405"/>
      <c r="AV400" s="1405"/>
      <c r="AW400" s="1405"/>
      <c r="AX400" s="1405"/>
      <c r="AY400" s="1405"/>
      <c r="AZ400" s="1405"/>
      <c r="BA400" s="1405"/>
      <c r="BB400" s="1405"/>
      <c r="BC400" s="1405"/>
      <c r="BD400" s="1405"/>
      <c r="BE400" s="1405"/>
      <c r="BF400" s="1405"/>
      <c r="BG400" s="1405"/>
      <c r="BH400" s="1405"/>
      <c r="BI400" s="1405"/>
      <c r="BJ400" s="1405"/>
      <c r="BK400" s="1405"/>
      <c r="BL400" s="1405"/>
      <c r="BM400" s="1405"/>
    </row>
    <row r="401" spans="1:65" hidden="1" outlineLevel="1">
      <c r="A401" s="1341"/>
      <c r="B401" s="1350"/>
      <c r="C401" s="1341" t="s">
        <v>428</v>
      </c>
      <c r="D401" s="1402"/>
      <c r="E401" s="1402"/>
      <c r="F401" s="1402"/>
      <c r="G401" s="1402"/>
      <c r="H401" s="1402"/>
      <c r="I401" s="1402"/>
      <c r="J401" s="1341"/>
      <c r="K401" s="1341"/>
      <c r="L401" s="1405"/>
      <c r="M401" s="1405"/>
      <c r="N401" s="1405"/>
      <c r="O401" s="1405"/>
      <c r="P401" s="1405"/>
      <c r="Q401" s="1405"/>
      <c r="R401" s="1405"/>
      <c r="S401" s="1405"/>
      <c r="T401" s="1405"/>
      <c r="U401" s="1405"/>
      <c r="V401" s="1550">
        <v>13000</v>
      </c>
      <c r="W401" s="1341">
        <v>12842</v>
      </c>
      <c r="X401" s="1341">
        <v>14821</v>
      </c>
      <c r="Y401" s="1405"/>
      <c r="Z401" s="1405"/>
      <c r="AA401" s="1405"/>
      <c r="AB401" s="1405"/>
      <c r="AC401" s="1405"/>
      <c r="AD401" s="1405"/>
      <c r="AE401" s="1405"/>
      <c r="AF401" s="1405"/>
      <c r="AG401" s="1405"/>
      <c r="AH401" s="1953"/>
      <c r="AI401" s="1405"/>
      <c r="AJ401" s="1953"/>
      <c r="AK401" s="1408"/>
      <c r="AL401" s="1405"/>
      <c r="AM401" s="1405"/>
      <c r="AN401" s="1405"/>
      <c r="AO401" s="1405"/>
      <c r="AP401" s="1405"/>
      <c r="AQ401" s="1405"/>
      <c r="AR401" s="1405"/>
      <c r="AS401" s="1405"/>
      <c r="AT401" s="1405"/>
      <c r="AU401" s="1405"/>
      <c r="AV401" s="1405"/>
      <c r="AW401" s="1405"/>
      <c r="AX401" s="1405"/>
      <c r="AY401" s="1405"/>
      <c r="AZ401" s="1405"/>
      <c r="BA401" s="1405"/>
      <c r="BB401" s="1405"/>
      <c r="BC401" s="1405"/>
      <c r="BD401" s="1405"/>
      <c r="BE401" s="1405"/>
      <c r="BF401" s="1405"/>
      <c r="BG401" s="1405"/>
      <c r="BH401" s="1405"/>
      <c r="BI401" s="1405"/>
      <c r="BJ401" s="1405"/>
      <c r="BK401" s="1405"/>
      <c r="BL401" s="1405"/>
      <c r="BM401" s="1405"/>
    </row>
    <row r="402" spans="1:65" hidden="1" outlineLevel="1">
      <c r="A402" s="1341"/>
      <c r="B402" s="1350"/>
      <c r="C402" s="1341" t="s">
        <v>167</v>
      </c>
      <c r="D402" s="1402"/>
      <c r="E402" s="1402"/>
      <c r="F402" s="1402"/>
      <c r="G402" s="1402"/>
      <c r="H402" s="1402"/>
      <c r="I402" s="1402"/>
      <c r="J402" s="1341"/>
      <c r="K402" s="1341"/>
      <c r="L402" s="1405"/>
      <c r="M402" s="1405"/>
      <c r="N402" s="1405"/>
      <c r="O402" s="1405"/>
      <c r="P402" s="1405"/>
      <c r="Q402" s="1405"/>
      <c r="R402" s="1405"/>
      <c r="S402" s="1405"/>
      <c r="T402" s="1405"/>
      <c r="U402" s="1405"/>
      <c r="V402" s="1550">
        <v>28100</v>
      </c>
      <c r="W402" s="1341">
        <v>26037</v>
      </c>
      <c r="X402" s="1341">
        <v>28783</v>
      </c>
      <c r="Y402" s="1405"/>
      <c r="Z402" s="1405"/>
      <c r="AA402" s="1405"/>
      <c r="AB402" s="1405"/>
      <c r="AC402" s="1405"/>
      <c r="AD402" s="1405"/>
      <c r="AE402" s="1405"/>
      <c r="AF402" s="1405"/>
      <c r="AG402" s="1405"/>
      <c r="AH402" s="1953"/>
      <c r="AI402" s="1405"/>
      <c r="AJ402" s="1953"/>
      <c r="AK402" s="1408"/>
      <c r="AL402" s="1405"/>
      <c r="AM402" s="1405"/>
      <c r="AN402" s="1405"/>
      <c r="AO402" s="1405"/>
      <c r="AP402" s="1405"/>
      <c r="AQ402" s="1405"/>
      <c r="AR402" s="1405"/>
      <c r="AS402" s="1405"/>
      <c r="AT402" s="1405"/>
      <c r="AU402" s="1405"/>
      <c r="AV402" s="1405"/>
      <c r="AW402" s="1405"/>
      <c r="AX402" s="1405"/>
      <c r="AY402" s="1405"/>
      <c r="AZ402" s="1405"/>
      <c r="BA402" s="1405"/>
      <c r="BB402" s="1405"/>
      <c r="BC402" s="1405"/>
      <c r="BD402" s="1405"/>
      <c r="BE402" s="1405"/>
      <c r="BF402" s="1405"/>
      <c r="BG402" s="1405"/>
      <c r="BH402" s="1405"/>
      <c r="BI402" s="1405"/>
      <c r="BJ402" s="1405"/>
      <c r="BK402" s="1405"/>
      <c r="BL402" s="1405"/>
      <c r="BM402" s="1405"/>
    </row>
    <row r="403" spans="1:65" hidden="1" outlineLevel="1">
      <c r="A403" s="1341"/>
      <c r="B403" s="1485"/>
      <c r="C403" s="1484" t="s">
        <v>442</v>
      </c>
      <c r="D403" s="1548"/>
      <c r="E403" s="1548"/>
      <c r="F403" s="1548"/>
      <c r="G403" s="1548"/>
      <c r="H403" s="1548"/>
      <c r="I403" s="1548"/>
      <c r="J403" s="1484"/>
      <c r="K403" s="1484"/>
      <c r="L403" s="1437"/>
      <c r="M403" s="1437"/>
      <c r="N403" s="1437"/>
      <c r="O403" s="1437"/>
      <c r="P403" s="1437"/>
      <c r="Q403" s="1437"/>
      <c r="R403" s="1437"/>
      <c r="S403" s="1437"/>
      <c r="T403" s="1437"/>
      <c r="U403" s="1437"/>
      <c r="V403" s="1551"/>
      <c r="W403" s="1484">
        <v>17</v>
      </c>
      <c r="X403" s="1484">
        <v>22</v>
      </c>
      <c r="Y403" s="1437"/>
      <c r="Z403" s="1437"/>
      <c r="AA403" s="1437"/>
      <c r="AB403" s="1437"/>
      <c r="AC403" s="1437"/>
      <c r="AD403" s="1437"/>
      <c r="AE403" s="1437"/>
      <c r="AF403" s="1437"/>
      <c r="AG403" s="1437"/>
      <c r="AH403" s="1977"/>
      <c r="AI403" s="1437"/>
      <c r="AJ403" s="1977"/>
      <c r="AK403" s="1549"/>
      <c r="AL403" s="1437"/>
      <c r="AM403" s="1437"/>
      <c r="AN403" s="1437"/>
      <c r="AO403" s="1437"/>
      <c r="AP403" s="1437"/>
      <c r="AQ403" s="1405"/>
      <c r="AR403" s="1405"/>
      <c r="AS403" s="1405"/>
      <c r="AT403" s="1405"/>
      <c r="AU403" s="1405"/>
      <c r="AV403" s="1405"/>
      <c r="AW403" s="1405"/>
      <c r="AX403" s="1405"/>
      <c r="AY403" s="1405"/>
      <c r="AZ403" s="1405"/>
      <c r="BA403" s="1405"/>
      <c r="BB403" s="1405"/>
      <c r="BC403" s="1405"/>
      <c r="BD403" s="1405"/>
      <c r="BE403" s="1405"/>
      <c r="BF403" s="1405"/>
      <c r="BG403" s="1405"/>
      <c r="BH403" s="1405"/>
      <c r="BI403" s="1405"/>
      <c r="BJ403" s="1405"/>
      <c r="BK403" s="1405"/>
      <c r="BL403" s="1405"/>
      <c r="BM403" s="1405"/>
    </row>
    <row r="404" spans="1:65" hidden="1" outlineLevel="1">
      <c r="A404" s="1341"/>
      <c r="B404" s="1350"/>
      <c r="C404" s="1341" t="s">
        <v>427</v>
      </c>
      <c r="D404" s="1402"/>
      <c r="E404" s="1402"/>
      <c r="F404" s="1402"/>
      <c r="G404" s="1402"/>
      <c r="H404" s="1402"/>
      <c r="I404" s="1402"/>
      <c r="J404" s="1341"/>
      <c r="K404" s="1341"/>
      <c r="L404" s="1405"/>
      <c r="M404" s="1405"/>
      <c r="N404" s="1405"/>
      <c r="O404" s="1405"/>
      <c r="P404" s="1405"/>
      <c r="Q404" s="1405"/>
      <c r="R404" s="1405"/>
      <c r="S404" s="1405"/>
      <c r="T404" s="1405"/>
      <c r="U404" s="1405"/>
      <c r="V404" s="1550">
        <f>SUM(V396:V403)</f>
        <v>315300</v>
      </c>
      <c r="W404" s="1550">
        <f>SUM(W396:W403)</f>
        <v>305908</v>
      </c>
      <c r="X404" s="1550">
        <f>SUM(X396:X403)</f>
        <v>320985</v>
      </c>
      <c r="Y404" s="1405"/>
      <c r="Z404" s="1405"/>
      <c r="AA404" s="1405"/>
      <c r="AB404" s="1405"/>
      <c r="AC404" s="1405"/>
      <c r="AD404" s="1405"/>
      <c r="AE404" s="1405"/>
      <c r="AF404" s="1405"/>
      <c r="AG404" s="1405"/>
      <c r="AH404" s="1953"/>
      <c r="AI404" s="1405"/>
      <c r="AJ404" s="1953"/>
      <c r="AK404" s="1408"/>
      <c r="AL404" s="1405"/>
      <c r="AM404" s="1405"/>
      <c r="AN404" s="1405"/>
      <c r="AO404" s="1405"/>
      <c r="AP404" s="1405"/>
      <c r="AQ404" s="1405"/>
      <c r="AR404" s="1405"/>
      <c r="AS404" s="1405"/>
      <c r="AT404" s="1405"/>
      <c r="AU404" s="1405"/>
      <c r="AV404" s="1405"/>
      <c r="AW404" s="1405"/>
      <c r="AX404" s="1405"/>
      <c r="AY404" s="1405"/>
      <c r="AZ404" s="1405"/>
      <c r="BA404" s="1405"/>
      <c r="BB404" s="1405"/>
      <c r="BC404" s="1405"/>
      <c r="BD404" s="1405"/>
      <c r="BE404" s="1405"/>
      <c r="BF404" s="1405"/>
      <c r="BG404" s="1405"/>
      <c r="BH404" s="1405"/>
      <c r="BI404" s="1405"/>
      <c r="BJ404" s="1405"/>
      <c r="BK404" s="1405"/>
      <c r="BL404" s="1405"/>
      <c r="BM404" s="1405"/>
    </row>
    <row r="405" spans="1:65" hidden="1" outlineLevel="1">
      <c r="A405" s="1341"/>
      <c r="B405" s="1350"/>
      <c r="C405" s="1341"/>
      <c r="D405" s="1341"/>
      <c r="E405" s="1341"/>
      <c r="F405" s="1341"/>
      <c r="G405" s="1341"/>
      <c r="H405" s="1341"/>
      <c r="I405" s="1341"/>
      <c r="J405" s="1341"/>
      <c r="K405" s="1341"/>
      <c r="L405" s="1341"/>
      <c r="M405" s="1341"/>
      <c r="N405" s="1341"/>
      <c r="O405" s="1341"/>
      <c r="P405" s="1341"/>
      <c r="Q405" s="1341"/>
      <c r="R405" s="1341"/>
      <c r="S405" s="1341"/>
      <c r="T405" s="1341"/>
      <c r="U405" s="1341"/>
      <c r="V405" s="1341"/>
      <c r="W405" s="1341"/>
      <c r="X405" s="1341"/>
      <c r="Y405" s="1341"/>
      <c r="Z405" s="1341"/>
      <c r="AA405" s="1341"/>
      <c r="AB405" s="1341"/>
      <c r="AC405" s="1341"/>
      <c r="AD405" s="1341"/>
      <c r="AE405" s="1341"/>
      <c r="AF405" s="1341"/>
      <c r="AG405" s="1341"/>
      <c r="AH405" s="1950"/>
      <c r="AI405" s="1341"/>
      <c r="AJ405" s="1950"/>
      <c r="AK405" s="1399"/>
      <c r="AL405" s="1341"/>
      <c r="AM405" s="1341"/>
      <c r="AN405" s="1341"/>
      <c r="AO405" s="1341"/>
      <c r="AP405" s="1341"/>
      <c r="AQ405" s="1341"/>
      <c r="AR405" s="1341"/>
      <c r="AS405" s="1341"/>
      <c r="AT405" s="1341"/>
      <c r="AU405" s="1341"/>
      <c r="AV405" s="1341"/>
      <c r="AW405" s="1341"/>
      <c r="AX405" s="1341"/>
      <c r="AY405" s="1341"/>
      <c r="AZ405" s="1341"/>
      <c r="BA405" s="1341"/>
      <c r="BB405" s="1341"/>
      <c r="BC405" s="1341"/>
      <c r="BD405" s="1341"/>
      <c r="BE405" s="1341"/>
      <c r="BF405" s="1341"/>
      <c r="BG405" s="1341"/>
      <c r="BH405" s="1341"/>
      <c r="BI405" s="1341"/>
      <c r="BJ405" s="1341"/>
      <c r="BK405" s="1341"/>
      <c r="BL405" s="1341"/>
      <c r="BM405" s="1341"/>
    </row>
    <row r="406" spans="1:65" hidden="1" outlineLevel="1">
      <c r="A406" s="1341"/>
      <c r="B406" s="1350"/>
      <c r="C406" s="1341" t="s">
        <v>450</v>
      </c>
      <c r="D406" s="1402" t="str">
        <f t="shared" ref="D406:U406" si="771">D8</f>
        <v>92/3</v>
      </c>
      <c r="E406" s="1402" t="str">
        <f t="shared" si="771"/>
        <v>93/3</v>
      </c>
      <c r="F406" s="1402" t="str">
        <f t="shared" si="771"/>
        <v>94/3</v>
      </c>
      <c r="G406" s="1402" t="str">
        <f t="shared" si="771"/>
        <v>95/3</v>
      </c>
      <c r="H406" s="1402" t="str">
        <f t="shared" si="771"/>
        <v>96/3</v>
      </c>
      <c r="I406" s="1402" t="str">
        <f t="shared" si="771"/>
        <v>97/3</v>
      </c>
      <c r="J406" s="1402" t="str">
        <f t="shared" si="771"/>
        <v>98/3</v>
      </c>
      <c r="K406" s="1402" t="str">
        <f t="shared" si="771"/>
        <v>99/3</v>
      </c>
      <c r="L406" s="1333">
        <f t="shared" si="771"/>
        <v>36586</v>
      </c>
      <c r="M406" s="1333">
        <f t="shared" si="771"/>
        <v>36951</v>
      </c>
      <c r="N406" s="1333">
        <f t="shared" si="771"/>
        <v>37316</v>
      </c>
      <c r="O406" s="1333">
        <f t="shared" si="771"/>
        <v>37681</v>
      </c>
      <c r="P406" s="1333">
        <f t="shared" si="771"/>
        <v>38047</v>
      </c>
      <c r="Q406" s="1333">
        <f t="shared" si="771"/>
        <v>38412</v>
      </c>
      <c r="R406" s="1333">
        <f t="shared" si="771"/>
        <v>38777</v>
      </c>
      <c r="S406" s="1333">
        <f t="shared" si="771"/>
        <v>39142</v>
      </c>
      <c r="T406" s="1333">
        <f t="shared" si="771"/>
        <v>39508</v>
      </c>
      <c r="U406" s="1333">
        <f t="shared" si="771"/>
        <v>39873</v>
      </c>
      <c r="V406" s="1333">
        <f t="shared" ref="V406:AC406" si="772">+V366</f>
        <v>40238</v>
      </c>
      <c r="W406" s="1333">
        <f t="shared" si="772"/>
        <v>40603</v>
      </c>
      <c r="X406" s="1333">
        <f t="shared" si="772"/>
        <v>40969</v>
      </c>
      <c r="Y406" s="1333" t="str">
        <f t="shared" si="772"/>
        <v>2011/3予</v>
      </c>
      <c r="Z406" s="1333" t="str">
        <f t="shared" si="772"/>
        <v>2011/3予</v>
      </c>
      <c r="AA406" s="1333" t="str">
        <f t="shared" si="772"/>
        <v>2011/3予</v>
      </c>
      <c r="AB406" s="1333" t="str">
        <f t="shared" si="772"/>
        <v>2011/3予</v>
      </c>
      <c r="AC406" s="1333" t="str">
        <f t="shared" si="772"/>
        <v>2011/3予</v>
      </c>
      <c r="AD406" s="1333" t="str">
        <f t="shared" ref="AD406:AE406" si="773">+AD366</f>
        <v>2011/3予</v>
      </c>
      <c r="AE406" s="1333" t="str">
        <f t="shared" si="773"/>
        <v>2011/3予</v>
      </c>
      <c r="AF406" s="1333" t="str">
        <f t="shared" ref="AF406:AH406" si="774">+AF366</f>
        <v>2011/3予</v>
      </c>
      <c r="AG406" s="1333" t="str">
        <f t="shared" si="774"/>
        <v>2011/3予</v>
      </c>
      <c r="AH406" s="1940" t="str">
        <f t="shared" si="774"/>
        <v>2011/3予</v>
      </c>
      <c r="AI406" s="1333" t="str">
        <f t="shared" ref="AI406:AK406" si="775">+AI366</f>
        <v>2011/3予</v>
      </c>
      <c r="AJ406" s="1940" t="str">
        <f t="shared" ref="AJ406" si="776">+AJ366</f>
        <v>2011/3予</v>
      </c>
      <c r="AK406" s="1340" t="str">
        <f t="shared" si="775"/>
        <v>2011/3予</v>
      </c>
      <c r="AL406" s="1333" t="str">
        <f t="shared" ref="AL406" si="777">+AL366</f>
        <v>2011/3予</v>
      </c>
      <c r="AM406" s="1333" t="str">
        <f t="shared" ref="AM406:AN406" si="778">+AM366</f>
        <v>2011/3予</v>
      </c>
      <c r="AN406" s="1333" t="str">
        <f t="shared" si="778"/>
        <v>2011/3予</v>
      </c>
      <c r="AO406" s="1333" t="str">
        <f t="shared" ref="AO406" si="779">+AO366</f>
        <v>2011/3予</v>
      </c>
      <c r="AP406" s="1333" t="str">
        <f t="shared" ref="AP406" si="780">+AP366</f>
        <v>2011/3予</v>
      </c>
      <c r="AQ406" s="1333"/>
      <c r="AR406" s="1333"/>
      <c r="AS406" s="1333"/>
      <c r="AT406" s="1333"/>
      <c r="AU406" s="1333"/>
      <c r="AV406" s="1333"/>
      <c r="AW406" s="1333"/>
      <c r="AX406" s="1333"/>
      <c r="AY406" s="1333"/>
      <c r="AZ406" s="1333"/>
      <c r="BA406" s="1333"/>
      <c r="BB406" s="1333"/>
      <c r="BC406" s="1333"/>
      <c r="BD406" s="1333"/>
      <c r="BE406" s="1333"/>
      <c r="BF406" s="1333"/>
      <c r="BG406" s="1333"/>
      <c r="BH406" s="1333"/>
      <c r="BI406" s="1333"/>
      <c r="BJ406" s="1333"/>
      <c r="BK406" s="1333"/>
      <c r="BL406" s="1333"/>
      <c r="BM406" s="1333"/>
    </row>
    <row r="407" spans="1:65" hidden="1" outlineLevel="1">
      <c r="A407" s="1341"/>
      <c r="B407" s="1445"/>
      <c r="C407" s="1445" t="s">
        <v>447</v>
      </c>
      <c r="D407" s="1552" t="s">
        <v>449</v>
      </c>
      <c r="E407" s="1552" t="s">
        <v>449</v>
      </c>
      <c r="F407" s="1552" t="s">
        <v>449</v>
      </c>
      <c r="G407" s="1552" t="s">
        <v>449</v>
      </c>
      <c r="H407" s="1552" t="s">
        <v>449</v>
      </c>
      <c r="I407" s="1552" t="s">
        <v>449</v>
      </c>
      <c r="J407" s="1395">
        <f>J367*0.01</f>
        <v>603.71</v>
      </c>
      <c r="K407" s="1395">
        <f>K367*0.01</f>
        <v>488.07</v>
      </c>
      <c r="L407" s="1395">
        <f>L367*0.01</f>
        <v>411.97</v>
      </c>
      <c r="M407" s="1395">
        <v>300</v>
      </c>
      <c r="N407" s="1395">
        <v>400</v>
      </c>
      <c r="O407" s="1395">
        <v>250</v>
      </c>
      <c r="P407" s="1395">
        <v>-250</v>
      </c>
      <c r="Q407" s="1395"/>
      <c r="R407" s="1395"/>
      <c r="S407" s="1395"/>
      <c r="T407" s="1395"/>
      <c r="U407" s="1395"/>
      <c r="V407" s="1395"/>
      <c r="W407" s="1395"/>
      <c r="X407" s="1395"/>
      <c r="Y407" s="1395"/>
      <c r="Z407" s="1395"/>
      <c r="AA407" s="1395"/>
      <c r="AB407" s="1395"/>
      <c r="AC407" s="1396"/>
      <c r="AD407" s="1396"/>
      <c r="AE407" s="1396"/>
      <c r="AF407" s="1396"/>
      <c r="AG407" s="1396"/>
      <c r="AH407" s="1951"/>
      <c r="AI407" s="1396"/>
      <c r="AJ407" s="1951"/>
      <c r="AK407" s="1397"/>
      <c r="AL407" s="1396"/>
      <c r="AM407" s="1396"/>
      <c r="AN407" s="1396"/>
      <c r="AO407" s="1396"/>
      <c r="AP407" s="1396"/>
      <c r="AQ407" s="1341"/>
      <c r="AR407" s="1341"/>
      <c r="AS407" s="1341"/>
      <c r="AT407" s="1341"/>
      <c r="AU407" s="1341"/>
      <c r="AV407" s="1341"/>
      <c r="AW407" s="1341"/>
      <c r="AX407" s="1341"/>
      <c r="AY407" s="1341"/>
      <c r="AZ407" s="1341"/>
      <c r="BA407" s="1341"/>
      <c r="BB407" s="1341"/>
      <c r="BC407" s="1341"/>
      <c r="BD407" s="1341"/>
      <c r="BE407" s="1341"/>
      <c r="BF407" s="1341"/>
      <c r="BG407" s="1341"/>
      <c r="BH407" s="1341"/>
      <c r="BI407" s="1341"/>
      <c r="BJ407" s="1341"/>
      <c r="BK407" s="1341"/>
      <c r="BL407" s="1341"/>
      <c r="BM407" s="1341"/>
    </row>
    <row r="408" spans="1:65" hidden="1" outlineLevel="1">
      <c r="A408" s="1341"/>
      <c r="B408" s="367"/>
      <c r="C408" s="367" t="s">
        <v>446</v>
      </c>
      <c r="D408" s="1498" t="s">
        <v>449</v>
      </c>
      <c r="E408" s="1498" t="s">
        <v>449</v>
      </c>
      <c r="F408" s="1498" t="s">
        <v>449</v>
      </c>
      <c r="G408" s="1498" t="s">
        <v>449</v>
      </c>
      <c r="H408" s="1498" t="s">
        <v>449</v>
      </c>
      <c r="I408" s="1498" t="s">
        <v>449</v>
      </c>
      <c r="J408" s="1341">
        <f t="shared" ref="J408:P408" si="781">J411-J407-J409-J410</f>
        <v>4723.29</v>
      </c>
      <c r="K408" s="1341">
        <f t="shared" si="781"/>
        <v>7455.93</v>
      </c>
      <c r="L408" s="1341">
        <f t="shared" si="781"/>
        <v>7146.0299999999988</v>
      </c>
      <c r="M408" s="1341">
        <f t="shared" si="781"/>
        <v>5716</v>
      </c>
      <c r="N408" s="1341">
        <f t="shared" si="781"/>
        <v>4617</v>
      </c>
      <c r="O408" s="1341">
        <f t="shared" si="781"/>
        <v>6447</v>
      </c>
      <c r="P408" s="1341">
        <f t="shared" si="781"/>
        <v>6052</v>
      </c>
      <c r="Q408" s="1341"/>
      <c r="R408" s="1341"/>
      <c r="S408" s="1341"/>
      <c r="T408" s="1341"/>
      <c r="U408" s="1341"/>
      <c r="V408" s="1341"/>
      <c r="W408" s="1341"/>
      <c r="X408" s="1341"/>
      <c r="Y408" s="1341"/>
      <c r="Z408" s="1341"/>
      <c r="AA408" s="1341"/>
      <c r="AB408" s="1341"/>
      <c r="AC408" s="1341"/>
      <c r="AD408" s="1341"/>
      <c r="AE408" s="1341"/>
      <c r="AF408" s="1341"/>
      <c r="AG408" s="1341"/>
      <c r="AH408" s="1950"/>
      <c r="AI408" s="1341"/>
      <c r="AJ408" s="1950"/>
      <c r="AK408" s="1399"/>
      <c r="AL408" s="1341"/>
      <c r="AM408" s="1341"/>
      <c r="AN408" s="1341"/>
      <c r="AO408" s="1341"/>
      <c r="AP408" s="1341"/>
      <c r="AQ408" s="1341"/>
      <c r="AR408" s="1341"/>
      <c r="AS408" s="1341"/>
      <c r="AT408" s="1341"/>
      <c r="AU408" s="1341"/>
      <c r="AV408" s="1341"/>
      <c r="AW408" s="1341"/>
      <c r="AX408" s="1341"/>
      <c r="AY408" s="1341"/>
      <c r="AZ408" s="1341"/>
      <c r="BA408" s="1341"/>
      <c r="BB408" s="1341"/>
      <c r="BC408" s="1341"/>
      <c r="BD408" s="1341"/>
      <c r="BE408" s="1341"/>
      <c r="BF408" s="1341"/>
      <c r="BG408" s="1341"/>
      <c r="BH408" s="1341"/>
      <c r="BI408" s="1341"/>
      <c r="BJ408" s="1341"/>
      <c r="BK408" s="1341"/>
      <c r="BL408" s="1341"/>
      <c r="BM408" s="1341"/>
    </row>
    <row r="409" spans="1:65" hidden="1" outlineLevel="1">
      <c r="A409" s="1341"/>
      <c r="B409" s="367"/>
      <c r="C409" s="367" t="s">
        <v>445</v>
      </c>
      <c r="D409" s="1498" t="s">
        <v>449</v>
      </c>
      <c r="E409" s="1498" t="s">
        <v>449</v>
      </c>
      <c r="F409" s="1498" t="s">
        <v>449</v>
      </c>
      <c r="G409" s="1498" t="s">
        <v>449</v>
      </c>
      <c r="H409" s="1498" t="s">
        <v>449</v>
      </c>
      <c r="I409" s="1498" t="s">
        <v>449</v>
      </c>
      <c r="J409" s="1341">
        <f t="shared" ref="J409:P409" si="782">J436</f>
        <v>-1671</v>
      </c>
      <c r="K409" s="1341">
        <f t="shared" si="782"/>
        <v>-1700</v>
      </c>
      <c r="L409" s="1341">
        <f t="shared" si="782"/>
        <v>-1100</v>
      </c>
      <c r="M409" s="1341">
        <f t="shared" si="782"/>
        <v>-700</v>
      </c>
      <c r="N409" s="1341">
        <f t="shared" si="782"/>
        <v>-635</v>
      </c>
      <c r="O409" s="1341">
        <f t="shared" si="782"/>
        <v>20</v>
      </c>
      <c r="P409" s="1341">
        <f t="shared" si="782"/>
        <v>429</v>
      </c>
      <c r="Q409" s="1341"/>
      <c r="R409" s="1341"/>
      <c r="S409" s="1341"/>
      <c r="T409" s="1341"/>
      <c r="U409" s="1341"/>
      <c r="V409" s="1341"/>
      <c r="W409" s="1341"/>
      <c r="X409" s="1341"/>
      <c r="Y409" s="1341"/>
      <c r="Z409" s="1341"/>
      <c r="AA409" s="1341"/>
      <c r="AB409" s="1341"/>
      <c r="AC409" s="1341"/>
      <c r="AD409" s="1341"/>
      <c r="AE409" s="1341"/>
      <c r="AF409" s="1341"/>
      <c r="AG409" s="1341"/>
      <c r="AH409" s="1950"/>
      <c r="AI409" s="1341"/>
      <c r="AJ409" s="1950"/>
      <c r="AK409" s="1399"/>
      <c r="AL409" s="1341"/>
      <c r="AM409" s="1341"/>
      <c r="AN409" s="1341"/>
      <c r="AO409" s="1341"/>
      <c r="AP409" s="1341"/>
      <c r="AQ409" s="1341"/>
      <c r="AR409" s="1341"/>
      <c r="AS409" s="1341"/>
      <c r="AT409" s="1341"/>
      <c r="AU409" s="1341"/>
      <c r="AV409" s="1341"/>
      <c r="AW409" s="1341"/>
      <c r="AX409" s="1341"/>
      <c r="AY409" s="1341"/>
      <c r="AZ409" s="1341"/>
      <c r="BA409" s="1341"/>
      <c r="BB409" s="1341"/>
      <c r="BC409" s="1341"/>
      <c r="BD409" s="1341"/>
      <c r="BE409" s="1341"/>
      <c r="BF409" s="1341"/>
      <c r="BG409" s="1341"/>
      <c r="BH409" s="1341"/>
      <c r="BI409" s="1341"/>
      <c r="BJ409" s="1341"/>
      <c r="BK409" s="1341"/>
      <c r="BL409" s="1341"/>
      <c r="BM409" s="1341"/>
    </row>
    <row r="410" spans="1:65" hidden="1" outlineLevel="1">
      <c r="A410" s="1341"/>
      <c r="B410" s="367"/>
      <c r="C410" s="367" t="s">
        <v>444</v>
      </c>
      <c r="D410" s="1402" t="s">
        <v>449</v>
      </c>
      <c r="E410" s="1402" t="s">
        <v>449</v>
      </c>
      <c r="F410" s="1402" t="s">
        <v>449</v>
      </c>
      <c r="G410" s="1402" t="s">
        <v>449</v>
      </c>
      <c r="H410" s="1402" t="s">
        <v>449</v>
      </c>
      <c r="I410" s="1402" t="s">
        <v>449</v>
      </c>
      <c r="J410" s="1341">
        <f>J391-1000</f>
        <v>1542</v>
      </c>
      <c r="K410" s="1341">
        <f>K391-1000</f>
        <v>1531</v>
      </c>
      <c r="L410" s="1341">
        <f>L391-1000</f>
        <v>1551</v>
      </c>
      <c r="M410" s="1341">
        <v>1500</v>
      </c>
      <c r="N410" s="1341">
        <v>1400</v>
      </c>
      <c r="O410" s="1341">
        <f>2209-1114</f>
        <v>1095</v>
      </c>
      <c r="P410" s="1341">
        <f>1946-933</f>
        <v>1013</v>
      </c>
      <c r="Q410" s="1341"/>
      <c r="R410" s="1341"/>
      <c r="S410" s="1341"/>
      <c r="T410" s="1341"/>
      <c r="U410" s="1341"/>
      <c r="V410" s="1341"/>
      <c r="W410" s="1341"/>
      <c r="X410" s="1341"/>
      <c r="Y410" s="1341"/>
      <c r="Z410" s="1341"/>
      <c r="AA410" s="1341"/>
      <c r="AB410" s="1341"/>
      <c r="AC410" s="1341"/>
      <c r="AD410" s="1341"/>
      <c r="AE410" s="1341"/>
      <c r="AF410" s="1341"/>
      <c r="AG410" s="1341"/>
      <c r="AH410" s="1950"/>
      <c r="AI410" s="1341"/>
      <c r="AJ410" s="1950"/>
      <c r="AK410" s="1399"/>
      <c r="AL410" s="1341"/>
      <c r="AM410" s="1341"/>
      <c r="AN410" s="1341"/>
      <c r="AO410" s="1341"/>
      <c r="AP410" s="1341"/>
      <c r="AQ410" s="1341"/>
      <c r="AR410" s="1341"/>
      <c r="AS410" s="1341"/>
      <c r="AT410" s="1341"/>
      <c r="AU410" s="1341"/>
      <c r="AV410" s="1341"/>
      <c r="AW410" s="1341"/>
      <c r="AX410" s="1341"/>
      <c r="AY410" s="1341"/>
      <c r="AZ410" s="1341"/>
      <c r="BA410" s="1341"/>
      <c r="BB410" s="1341"/>
      <c r="BC410" s="1341"/>
      <c r="BD410" s="1341"/>
      <c r="BE410" s="1341"/>
      <c r="BF410" s="1341"/>
      <c r="BG410" s="1341"/>
      <c r="BH410" s="1341"/>
      <c r="BI410" s="1341"/>
      <c r="BJ410" s="1341"/>
      <c r="BK410" s="1341"/>
      <c r="BL410" s="1341"/>
      <c r="BM410" s="1341"/>
    </row>
    <row r="411" spans="1:65" hidden="1" outlineLevel="1">
      <c r="A411" s="1341"/>
      <c r="B411" s="1485"/>
      <c r="C411" s="1484" t="s">
        <v>427</v>
      </c>
      <c r="D411" s="1548" t="s">
        <v>449</v>
      </c>
      <c r="E411" s="1548" t="s">
        <v>449</v>
      </c>
      <c r="F411" s="1548" t="s">
        <v>449</v>
      </c>
      <c r="G411" s="1548" t="s">
        <v>449</v>
      </c>
      <c r="H411" s="1548" t="s">
        <v>449</v>
      </c>
      <c r="I411" s="1548" t="s">
        <v>449</v>
      </c>
      <c r="J411" s="1484">
        <f t="shared" ref="J411:P411" si="783">J327</f>
        <v>5198</v>
      </c>
      <c r="K411" s="1484">
        <f t="shared" si="783"/>
        <v>7775</v>
      </c>
      <c r="L411" s="1484">
        <f t="shared" si="783"/>
        <v>8009</v>
      </c>
      <c r="M411" s="1484">
        <f t="shared" si="783"/>
        <v>6816</v>
      </c>
      <c r="N411" s="1484">
        <f t="shared" si="783"/>
        <v>5782</v>
      </c>
      <c r="O411" s="1484">
        <f t="shared" si="783"/>
        <v>7812</v>
      </c>
      <c r="P411" s="1484">
        <f t="shared" si="783"/>
        <v>7244</v>
      </c>
      <c r="Q411" s="1484"/>
      <c r="R411" s="1484"/>
      <c r="S411" s="1484"/>
      <c r="T411" s="1484"/>
      <c r="U411" s="1484"/>
      <c r="V411" s="1484"/>
      <c r="W411" s="1484"/>
      <c r="X411" s="1484"/>
      <c r="Y411" s="1484"/>
      <c r="Z411" s="1484"/>
      <c r="AA411" s="1484"/>
      <c r="AB411" s="1484"/>
      <c r="AC411" s="1484"/>
      <c r="AD411" s="1484"/>
      <c r="AE411" s="1484"/>
      <c r="AF411" s="1484"/>
      <c r="AG411" s="1484"/>
      <c r="AH411" s="1978"/>
      <c r="AI411" s="1484"/>
      <c r="AJ411" s="1978"/>
      <c r="AK411" s="1553"/>
      <c r="AL411" s="1484"/>
      <c r="AM411" s="1484"/>
      <c r="AN411" s="1484"/>
      <c r="AO411" s="1484"/>
      <c r="AP411" s="1484"/>
      <c r="AQ411" s="1341"/>
      <c r="AR411" s="1341"/>
      <c r="AS411" s="1341"/>
      <c r="AT411" s="1341"/>
      <c r="AU411" s="1341"/>
      <c r="AV411" s="1341"/>
      <c r="AW411" s="1341"/>
      <c r="AX411" s="1341"/>
      <c r="AY411" s="1341"/>
      <c r="AZ411" s="1341"/>
      <c r="BA411" s="1341"/>
      <c r="BB411" s="1341"/>
      <c r="BC411" s="1341"/>
      <c r="BD411" s="1341"/>
      <c r="BE411" s="1341"/>
      <c r="BF411" s="1341"/>
      <c r="BG411" s="1341"/>
      <c r="BH411" s="1341"/>
      <c r="BI411" s="1341"/>
      <c r="BJ411" s="1341"/>
      <c r="BK411" s="1341"/>
      <c r="BL411" s="1341"/>
      <c r="BM411" s="1341"/>
    </row>
    <row r="412" spans="1:65" hidden="1" outlineLevel="1">
      <c r="A412" s="1341"/>
      <c r="B412" s="1350"/>
      <c r="C412" s="1341"/>
      <c r="D412" s="1341"/>
      <c r="E412" s="1341"/>
      <c r="F412" s="1341"/>
      <c r="G412" s="1341"/>
      <c r="H412" s="1341"/>
      <c r="I412" s="1341"/>
      <c r="J412" s="1341"/>
      <c r="K412" s="1341"/>
      <c r="L412" s="1341"/>
      <c r="M412" s="1341"/>
      <c r="N412" s="1341"/>
      <c r="O412" s="1341"/>
      <c r="P412" s="1341"/>
      <c r="Q412" s="1341"/>
      <c r="R412" s="1341"/>
      <c r="S412" s="1341"/>
      <c r="T412" s="1341"/>
      <c r="U412" s="1341"/>
      <c r="V412" s="1341"/>
      <c r="W412" s="1341"/>
      <c r="X412" s="1341"/>
      <c r="Y412" s="1341"/>
      <c r="Z412" s="1341"/>
      <c r="AA412" s="1341"/>
      <c r="AB412" s="1341"/>
      <c r="AC412" s="1341"/>
      <c r="AD412" s="1341"/>
      <c r="AE412" s="1341"/>
      <c r="AF412" s="1341"/>
      <c r="AG412" s="1341"/>
      <c r="AH412" s="1950"/>
      <c r="AI412" s="1341"/>
      <c r="AJ412" s="1950"/>
      <c r="AK412" s="1399"/>
      <c r="AL412" s="1341"/>
      <c r="AM412" s="1341"/>
      <c r="AN412" s="1341"/>
      <c r="AO412" s="1341"/>
      <c r="AP412" s="1341"/>
      <c r="AQ412" s="1341"/>
      <c r="AR412" s="1341"/>
      <c r="AS412" s="1341"/>
      <c r="AT412" s="1341"/>
      <c r="AU412" s="1341"/>
      <c r="AV412" s="1341"/>
      <c r="AW412" s="1341"/>
      <c r="AX412" s="1341"/>
      <c r="AY412" s="1341"/>
      <c r="AZ412" s="1341"/>
      <c r="BA412" s="1341"/>
      <c r="BB412" s="1341"/>
      <c r="BC412" s="1341"/>
      <c r="BD412" s="1341"/>
      <c r="BE412" s="1341"/>
      <c r="BF412" s="1341"/>
      <c r="BG412" s="1341"/>
      <c r="BH412" s="1341"/>
      <c r="BI412" s="1341"/>
      <c r="BJ412" s="1341"/>
      <c r="BK412" s="1341"/>
      <c r="BL412" s="1341"/>
      <c r="BM412" s="1341"/>
    </row>
    <row r="413" spans="1:65" hidden="1" outlineLevel="1">
      <c r="A413" s="1341"/>
      <c r="B413" s="1350"/>
      <c r="C413" s="1341" t="s">
        <v>448</v>
      </c>
      <c r="D413" s="1402" t="str">
        <f t="shared" ref="D413:P413" si="784">D406</f>
        <v>92/3</v>
      </c>
      <c r="E413" s="1402" t="str">
        <f t="shared" si="784"/>
        <v>93/3</v>
      </c>
      <c r="F413" s="1402" t="str">
        <f t="shared" si="784"/>
        <v>94/3</v>
      </c>
      <c r="G413" s="1402" t="str">
        <f t="shared" si="784"/>
        <v>95/3</v>
      </c>
      <c r="H413" s="1402" t="str">
        <f t="shared" si="784"/>
        <v>96/3</v>
      </c>
      <c r="I413" s="1402" t="str">
        <f t="shared" si="784"/>
        <v>97/3</v>
      </c>
      <c r="J413" s="1402" t="str">
        <f t="shared" si="784"/>
        <v>98/3</v>
      </c>
      <c r="K413" s="1402" t="str">
        <f t="shared" si="784"/>
        <v>99/3</v>
      </c>
      <c r="L413" s="1402">
        <f t="shared" si="784"/>
        <v>36586</v>
      </c>
      <c r="M413" s="1402">
        <f t="shared" si="784"/>
        <v>36951</v>
      </c>
      <c r="N413" s="1402">
        <f t="shared" si="784"/>
        <v>37316</v>
      </c>
      <c r="O413" s="1402">
        <f t="shared" si="784"/>
        <v>37681</v>
      </c>
      <c r="P413" s="1402">
        <f t="shared" si="784"/>
        <v>38047</v>
      </c>
      <c r="Q413" s="1402"/>
      <c r="R413" s="1402"/>
      <c r="S413" s="1402"/>
      <c r="T413" s="1402"/>
      <c r="U413" s="1402"/>
      <c r="V413" s="1402"/>
      <c r="W413" s="1402"/>
      <c r="X413" s="1402"/>
      <c r="Y413" s="1402"/>
      <c r="Z413" s="1402"/>
      <c r="AA413" s="1402"/>
      <c r="AB413" s="1402"/>
      <c r="AC413" s="1402"/>
      <c r="AD413" s="1402"/>
      <c r="AE413" s="1402"/>
      <c r="AF413" s="1402"/>
      <c r="AG413" s="1402"/>
      <c r="AH413" s="1952"/>
      <c r="AI413" s="1402"/>
      <c r="AJ413" s="1952"/>
      <c r="AK413" s="1554"/>
      <c r="AL413" s="1402"/>
      <c r="AM413" s="1402"/>
      <c r="AN413" s="1402"/>
      <c r="AO413" s="1402"/>
      <c r="AP413" s="1402"/>
      <c r="AQ413" s="1402"/>
      <c r="AR413" s="1402"/>
      <c r="AS413" s="1402"/>
      <c r="AT413" s="1402"/>
      <c r="AU413" s="1402"/>
      <c r="AV413" s="1402"/>
      <c r="AW413" s="1402"/>
      <c r="AX413" s="1402"/>
      <c r="AY413" s="1402"/>
      <c r="AZ413" s="1402"/>
      <c r="BA413" s="1402"/>
      <c r="BB413" s="1402"/>
      <c r="BC413" s="1402"/>
      <c r="BD413" s="1402"/>
      <c r="BE413" s="1402"/>
      <c r="BF413" s="1402"/>
      <c r="BG413" s="1402"/>
      <c r="BH413" s="1402"/>
      <c r="BI413" s="1402"/>
      <c r="BJ413" s="1402"/>
      <c r="BK413" s="1402"/>
      <c r="BL413" s="1402"/>
      <c r="BM413" s="1402"/>
    </row>
    <row r="414" spans="1:65" hidden="1" outlineLevel="1">
      <c r="A414" s="1341"/>
      <c r="B414" s="1445"/>
      <c r="C414" s="1445" t="s">
        <v>447</v>
      </c>
      <c r="D414" s="1552"/>
      <c r="E414" s="1552"/>
      <c r="F414" s="1552"/>
      <c r="G414" s="1552"/>
      <c r="H414" s="1552"/>
      <c r="I414" s="1552"/>
      <c r="J414" s="1395"/>
      <c r="K414" s="1395"/>
      <c r="L414" s="1430">
        <f>L407/L367*100</f>
        <v>1</v>
      </c>
      <c r="M414" s="1430">
        <f>M407/M367*100</f>
        <v>0.75058170081813402</v>
      </c>
      <c r="N414" s="1430">
        <f>N407/N367*100</f>
        <v>1.0975442447523667</v>
      </c>
      <c r="O414" s="1430">
        <f>O407/O367*100</f>
        <v>0.64521124216068337</v>
      </c>
      <c r="P414" s="1430">
        <f>P407/P367*100</f>
        <v>-0.77150969016170845</v>
      </c>
      <c r="Q414" s="1430"/>
      <c r="R414" s="1430"/>
      <c r="S414" s="1430"/>
      <c r="T414" s="1430"/>
      <c r="U414" s="1430"/>
      <c r="V414" s="1430"/>
      <c r="W414" s="1430"/>
      <c r="X414" s="1430"/>
      <c r="Y414" s="1430"/>
      <c r="Z414" s="1430"/>
      <c r="AA414" s="1430"/>
      <c r="AB414" s="1430"/>
      <c r="AC414" s="1555"/>
      <c r="AD414" s="1555"/>
      <c r="AE414" s="1555"/>
      <c r="AF414" s="1555"/>
      <c r="AG414" s="1555"/>
      <c r="AH414" s="1979"/>
      <c r="AI414" s="1555"/>
      <c r="AJ414" s="1979"/>
      <c r="AK414" s="1556"/>
      <c r="AL414" s="1555"/>
      <c r="AM414" s="1555"/>
      <c r="AN414" s="1555"/>
      <c r="AO414" s="1555"/>
      <c r="AP414" s="1555"/>
      <c r="AQ414" s="1405"/>
      <c r="AR414" s="1405"/>
      <c r="AS414" s="1405"/>
      <c r="AT414" s="1405"/>
      <c r="AU414" s="1405"/>
      <c r="AV414" s="1405"/>
      <c r="AW414" s="1405"/>
      <c r="AX414" s="1405"/>
      <c r="AY414" s="1405"/>
      <c r="AZ414" s="1405"/>
      <c r="BA414" s="1405"/>
      <c r="BB414" s="1405"/>
      <c r="BC414" s="1405"/>
      <c r="BD414" s="1405"/>
      <c r="BE414" s="1405"/>
      <c r="BF414" s="1405"/>
      <c r="BG414" s="1405"/>
      <c r="BH414" s="1405"/>
      <c r="BI414" s="1405"/>
      <c r="BJ414" s="1405"/>
      <c r="BK414" s="1405"/>
      <c r="BL414" s="1405"/>
      <c r="BM414" s="1405"/>
    </row>
    <row r="415" spans="1:65" hidden="1" outlineLevel="1">
      <c r="A415" s="1341"/>
      <c r="B415" s="367"/>
      <c r="C415" s="367" t="s">
        <v>446</v>
      </c>
      <c r="D415" s="1498"/>
      <c r="E415" s="1498"/>
      <c r="F415" s="1498"/>
      <c r="G415" s="1498"/>
      <c r="H415" s="1498"/>
      <c r="I415" s="1498"/>
      <c r="J415" s="1341"/>
      <c r="K415" s="1341"/>
      <c r="L415" s="1405">
        <f>L408/L369*100</f>
        <v>4.7413563168056676</v>
      </c>
      <c r="M415" s="1405">
        <f>M408/M369*100</f>
        <v>3.7094963365803326</v>
      </c>
      <c r="N415" s="1405">
        <f>N408/N369*100</f>
        <v>2.869626830420406</v>
      </c>
      <c r="O415" s="1405">
        <f>O408/O369*100</f>
        <v>3.9122994392795589</v>
      </c>
      <c r="P415" s="1405">
        <f>P408/P369*100</f>
        <v>3.6263407034573669</v>
      </c>
      <c r="Q415" s="1405"/>
      <c r="R415" s="1405"/>
      <c r="S415" s="1405"/>
      <c r="T415" s="1405"/>
      <c r="U415" s="1405"/>
      <c r="V415" s="1405"/>
      <c r="W415" s="1405"/>
      <c r="X415" s="1405"/>
      <c r="Y415" s="1405"/>
      <c r="Z415" s="1405"/>
      <c r="AA415" s="1405"/>
      <c r="AB415" s="1405"/>
      <c r="AC415" s="1405"/>
      <c r="AD415" s="1405"/>
      <c r="AE415" s="1405"/>
      <c r="AF415" s="1405"/>
      <c r="AG415" s="1405"/>
      <c r="AH415" s="1953"/>
      <c r="AI415" s="1405"/>
      <c r="AJ415" s="1953"/>
      <c r="AK415" s="1408"/>
      <c r="AL415" s="1405"/>
      <c r="AM415" s="1405"/>
      <c r="AN415" s="1405"/>
      <c r="AO415" s="1405"/>
      <c r="AP415" s="1405"/>
      <c r="AQ415" s="1405"/>
      <c r="AR415" s="1405"/>
      <c r="AS415" s="1405"/>
      <c r="AT415" s="1405"/>
      <c r="AU415" s="1405"/>
      <c r="AV415" s="1405"/>
      <c r="AW415" s="1405"/>
      <c r="AX415" s="1405"/>
      <c r="AY415" s="1405"/>
      <c r="AZ415" s="1405"/>
      <c r="BA415" s="1405"/>
      <c r="BB415" s="1405"/>
      <c r="BC415" s="1405"/>
      <c r="BD415" s="1405"/>
      <c r="BE415" s="1405"/>
      <c r="BF415" s="1405"/>
      <c r="BG415" s="1405"/>
      <c r="BH415" s="1405"/>
      <c r="BI415" s="1405"/>
      <c r="BJ415" s="1405"/>
      <c r="BK415" s="1405"/>
      <c r="BL415" s="1405"/>
      <c r="BM415" s="1405"/>
    </row>
    <row r="416" spans="1:65" hidden="1" outlineLevel="1">
      <c r="A416" s="1341"/>
      <c r="B416" s="367"/>
      <c r="C416" s="367" t="s">
        <v>445</v>
      </c>
      <c r="D416" s="1498"/>
      <c r="E416" s="1498"/>
      <c r="F416" s="1498"/>
      <c r="G416" s="1498"/>
      <c r="H416" s="1498"/>
      <c r="I416" s="1498"/>
      <c r="J416" s="1341"/>
      <c r="K416" s="1341"/>
      <c r="L416" s="1405">
        <f>L409/L389*100</f>
        <v>-10.234462225530331</v>
      </c>
      <c r="M416" s="1405">
        <f>M409/M389*100</f>
        <v>-6.2260962376589877</v>
      </c>
      <c r="N416" s="1405">
        <f>N409/N389*100</f>
        <v>-5.4722509479489831</v>
      </c>
      <c r="O416" s="1405">
        <f>O409/O389*100</f>
        <v>0.16742005692281936</v>
      </c>
      <c r="P416" s="1405">
        <f>P409/P389*100</f>
        <v>3.6989136057941026</v>
      </c>
      <c r="Q416" s="1405"/>
      <c r="R416" s="1405"/>
      <c r="S416" s="1405"/>
      <c r="T416" s="1405"/>
      <c r="U416" s="1405"/>
      <c r="V416" s="1405"/>
      <c r="W416" s="1405"/>
      <c r="X416" s="1405"/>
      <c r="Y416" s="1405"/>
      <c r="Z416" s="1405"/>
      <c r="AA416" s="1405"/>
      <c r="AB416" s="1405"/>
      <c r="AC416" s="1405"/>
      <c r="AD416" s="1405"/>
      <c r="AE416" s="1405"/>
      <c r="AF416" s="1405"/>
      <c r="AG416" s="1405"/>
      <c r="AH416" s="1953"/>
      <c r="AI416" s="1405"/>
      <c r="AJ416" s="1953"/>
      <c r="AK416" s="1408"/>
      <c r="AL416" s="1405"/>
      <c r="AM416" s="1405"/>
      <c r="AN416" s="1405"/>
      <c r="AO416" s="1405"/>
      <c r="AP416" s="1405"/>
      <c r="AQ416" s="1405"/>
      <c r="AR416" s="1405"/>
      <c r="AS416" s="1405"/>
      <c r="AT416" s="1405"/>
      <c r="AU416" s="1405"/>
      <c r="AV416" s="1405"/>
      <c r="AW416" s="1405"/>
      <c r="AX416" s="1405"/>
      <c r="AY416" s="1405"/>
      <c r="AZ416" s="1405"/>
      <c r="BA416" s="1405"/>
      <c r="BB416" s="1405"/>
      <c r="BC416" s="1405"/>
      <c r="BD416" s="1405"/>
      <c r="BE416" s="1405"/>
      <c r="BF416" s="1405"/>
      <c r="BG416" s="1405"/>
      <c r="BH416" s="1405"/>
      <c r="BI416" s="1405"/>
      <c r="BJ416" s="1405"/>
      <c r="BK416" s="1405"/>
      <c r="BL416" s="1405"/>
      <c r="BM416" s="1405"/>
    </row>
    <row r="417" spans="1:65" hidden="1" outlineLevel="1">
      <c r="A417" s="1341"/>
      <c r="B417" s="367"/>
      <c r="C417" s="367" t="s">
        <v>444</v>
      </c>
      <c r="D417" s="1402"/>
      <c r="E417" s="1402"/>
      <c r="F417" s="1402"/>
      <c r="G417" s="1402"/>
      <c r="H417" s="1402"/>
      <c r="I417" s="1402"/>
      <c r="J417" s="1341"/>
      <c r="K417" s="1341"/>
      <c r="L417" s="1405">
        <f>L410/L391*100</f>
        <v>60.799686397491179</v>
      </c>
      <c r="M417" s="1405">
        <f>M410/M391*100</f>
        <v>59.713375796178347</v>
      </c>
      <c r="N417" s="1405">
        <f>N410/N391*100</f>
        <v>58.139534883720934</v>
      </c>
      <c r="O417" s="1405">
        <f>O410/O391*100</f>
        <v>49.569941149841554</v>
      </c>
      <c r="P417" s="1405">
        <f>P410/P391*100</f>
        <v>52.055498458376157</v>
      </c>
      <c r="Q417" s="1405"/>
      <c r="R417" s="1405"/>
      <c r="S417" s="1405"/>
      <c r="T417" s="1405"/>
      <c r="U417" s="1405"/>
      <c r="V417" s="1405"/>
      <c r="W417" s="1405"/>
      <c r="X417" s="1405"/>
      <c r="Y417" s="1405"/>
      <c r="Z417" s="1405"/>
      <c r="AA417" s="1405"/>
      <c r="AB417" s="1405"/>
      <c r="AC417" s="1405"/>
      <c r="AD417" s="1405"/>
      <c r="AE417" s="1405"/>
      <c r="AF417" s="1405"/>
      <c r="AG417" s="1405"/>
      <c r="AH417" s="1953"/>
      <c r="AI417" s="1405"/>
      <c r="AJ417" s="1953"/>
      <c r="AK417" s="1408"/>
      <c r="AL417" s="1405"/>
      <c r="AM417" s="1405"/>
      <c r="AN417" s="1405"/>
      <c r="AO417" s="1405"/>
      <c r="AP417" s="1405"/>
      <c r="AQ417" s="1405"/>
      <c r="AR417" s="1405"/>
      <c r="AS417" s="1405"/>
      <c r="AT417" s="1405"/>
      <c r="AU417" s="1405"/>
      <c r="AV417" s="1405"/>
      <c r="AW417" s="1405"/>
      <c r="AX417" s="1405"/>
      <c r="AY417" s="1405"/>
      <c r="AZ417" s="1405"/>
      <c r="BA417" s="1405"/>
      <c r="BB417" s="1405"/>
      <c r="BC417" s="1405"/>
      <c r="BD417" s="1405"/>
      <c r="BE417" s="1405"/>
      <c r="BF417" s="1405"/>
      <c r="BG417" s="1405"/>
      <c r="BH417" s="1405"/>
      <c r="BI417" s="1405"/>
      <c r="BJ417" s="1405"/>
      <c r="BK417" s="1405"/>
      <c r="BL417" s="1405"/>
      <c r="BM417" s="1405"/>
    </row>
    <row r="418" spans="1:65" hidden="1" outlineLevel="1">
      <c r="A418" s="1341"/>
      <c r="B418" s="1485"/>
      <c r="C418" s="1484" t="s">
        <v>427</v>
      </c>
      <c r="D418" s="1548"/>
      <c r="E418" s="1548"/>
      <c r="F418" s="1548"/>
      <c r="G418" s="1548"/>
      <c r="H418" s="1548"/>
      <c r="I418" s="1548"/>
      <c r="J418" s="1484"/>
      <c r="K418" s="1484"/>
      <c r="L418" s="1437">
        <f>L411/L393*100</f>
        <v>3.9027741907189113</v>
      </c>
      <c r="M418" s="1437">
        <f>M411/M393*100</f>
        <v>3.2798244600993183</v>
      </c>
      <c r="N418" s="1437">
        <f>N411/N393*100</f>
        <v>2.735759336452976</v>
      </c>
      <c r="O418" s="1437">
        <f>O411/O393*100</f>
        <v>3.5885892783315727</v>
      </c>
      <c r="P418" s="1437">
        <f>P411/P393*100</f>
        <v>3.4035275655662991</v>
      </c>
      <c r="Q418" s="1437"/>
      <c r="R418" s="1437"/>
      <c r="S418" s="1437"/>
      <c r="T418" s="1437"/>
      <c r="U418" s="1437"/>
      <c r="V418" s="1437"/>
      <c r="W418" s="1437"/>
      <c r="X418" s="1437"/>
      <c r="Y418" s="1437"/>
      <c r="Z418" s="1437"/>
      <c r="AA418" s="1437"/>
      <c r="AB418" s="1437"/>
      <c r="AC418" s="1437"/>
      <c r="AD418" s="1437"/>
      <c r="AE418" s="1437"/>
      <c r="AF418" s="1437"/>
      <c r="AG418" s="1437"/>
      <c r="AH418" s="1977"/>
      <c r="AI418" s="1437"/>
      <c r="AJ418" s="1977"/>
      <c r="AK418" s="1549"/>
      <c r="AL418" s="1437"/>
      <c r="AM418" s="1437"/>
      <c r="AN418" s="1437"/>
      <c r="AO418" s="1437"/>
      <c r="AP418" s="1437"/>
      <c r="AQ418" s="1405"/>
      <c r="AR418" s="1405"/>
      <c r="AS418" s="1405"/>
      <c r="AT418" s="1405"/>
      <c r="AU418" s="1405"/>
      <c r="AV418" s="1405"/>
      <c r="AW418" s="1405"/>
      <c r="AX418" s="1405"/>
      <c r="AY418" s="1405"/>
      <c r="AZ418" s="1405"/>
      <c r="BA418" s="1405"/>
      <c r="BB418" s="1405"/>
      <c r="BC418" s="1405"/>
      <c r="BD418" s="1405"/>
      <c r="BE418" s="1405"/>
      <c r="BF418" s="1405"/>
      <c r="BG418" s="1405"/>
      <c r="BH418" s="1405"/>
      <c r="BI418" s="1405"/>
      <c r="BJ418" s="1405"/>
      <c r="BK418" s="1405"/>
      <c r="BL418" s="1405"/>
      <c r="BM418" s="1405"/>
    </row>
    <row r="419" spans="1:65" hidden="1" outlineLevel="1">
      <c r="A419" s="1341"/>
      <c r="B419" s="1485"/>
      <c r="C419" s="1484" t="s">
        <v>434</v>
      </c>
      <c r="D419" s="1548"/>
      <c r="E419" s="1548"/>
      <c r="F419" s="1548"/>
      <c r="G419" s="1548"/>
      <c r="H419" s="1548"/>
      <c r="I419" s="1548"/>
      <c r="J419" s="1484"/>
      <c r="K419" s="1484"/>
      <c r="L419" s="1437"/>
      <c r="M419" s="1437"/>
      <c r="N419" s="1437"/>
      <c r="O419" s="1437"/>
      <c r="P419" s="1437"/>
      <c r="Q419" s="1437"/>
      <c r="R419" s="1437"/>
      <c r="S419" s="1437"/>
      <c r="T419" s="1437"/>
      <c r="U419" s="1437"/>
      <c r="V419" s="1437"/>
      <c r="W419" s="1437"/>
      <c r="X419" s="1437"/>
      <c r="Y419" s="1437"/>
      <c r="Z419" s="1437"/>
      <c r="AA419" s="1437"/>
      <c r="AB419" s="1437"/>
      <c r="AC419" s="1437"/>
      <c r="AD419" s="1437"/>
      <c r="AE419" s="1437"/>
      <c r="AF419" s="1437"/>
      <c r="AG419" s="1437"/>
      <c r="AH419" s="1977"/>
      <c r="AI419" s="1437"/>
      <c r="AJ419" s="1977"/>
      <c r="AK419" s="1549"/>
      <c r="AL419" s="1437"/>
      <c r="AM419" s="1437"/>
      <c r="AN419" s="1437"/>
      <c r="AO419" s="1437"/>
      <c r="AP419" s="1437"/>
      <c r="AQ419" s="1405"/>
      <c r="AR419" s="1405"/>
      <c r="AS419" s="1405"/>
      <c r="AT419" s="1405"/>
      <c r="AU419" s="1405"/>
      <c r="AV419" s="1405"/>
      <c r="AW419" s="1405"/>
      <c r="AX419" s="1405"/>
      <c r="AY419" s="1405"/>
      <c r="AZ419" s="1405"/>
      <c r="BA419" s="1405"/>
      <c r="BB419" s="1405"/>
      <c r="BC419" s="1405"/>
      <c r="BD419" s="1405"/>
      <c r="BE419" s="1405"/>
      <c r="BF419" s="1405"/>
      <c r="BG419" s="1405"/>
      <c r="BH419" s="1405"/>
      <c r="BI419" s="1405"/>
      <c r="BJ419" s="1405"/>
      <c r="BK419" s="1405"/>
      <c r="BL419" s="1405"/>
      <c r="BM419" s="1405"/>
    </row>
    <row r="420" spans="1:65" hidden="1" outlineLevel="1">
      <c r="A420" s="1341"/>
      <c r="B420" s="1350"/>
      <c r="C420" s="1341" t="s">
        <v>433</v>
      </c>
      <c r="D420" s="1402"/>
      <c r="E420" s="1402"/>
      <c r="F420" s="1402"/>
      <c r="G420" s="1402"/>
      <c r="H420" s="1402"/>
      <c r="I420" s="1402"/>
      <c r="J420" s="1341"/>
      <c r="K420" s="1341"/>
      <c r="L420" s="1405"/>
      <c r="M420" s="1405"/>
      <c r="N420" s="1405"/>
      <c r="O420" s="1405"/>
      <c r="P420" s="1405"/>
      <c r="Q420" s="1405"/>
      <c r="R420" s="1405"/>
      <c r="S420" s="1405"/>
      <c r="T420" s="1405"/>
      <c r="U420" s="1405"/>
      <c r="V420" s="1550">
        <v>390</v>
      </c>
      <c r="W420" s="367">
        <v>707</v>
      </c>
      <c r="X420" s="367">
        <v>864</v>
      </c>
      <c r="Y420" s="1405"/>
      <c r="Z420" s="1405"/>
      <c r="AA420" s="1405"/>
      <c r="AB420" s="1405"/>
      <c r="AC420" s="1405"/>
      <c r="AD420" s="1405"/>
      <c r="AE420" s="1405"/>
      <c r="AF420" s="1405"/>
      <c r="AG420" s="1405"/>
      <c r="AH420" s="1953"/>
      <c r="AI420" s="1405"/>
      <c r="AJ420" s="1953"/>
      <c r="AK420" s="1408"/>
      <c r="AL420" s="1405"/>
      <c r="AM420" s="1405"/>
      <c r="AN420" s="1405"/>
      <c r="AO420" s="1405"/>
      <c r="AP420" s="1405"/>
      <c r="AQ420" s="1405"/>
      <c r="AR420" s="1405"/>
      <c r="AS420" s="1405"/>
      <c r="AT420" s="1405"/>
      <c r="AU420" s="1405"/>
      <c r="AV420" s="1405"/>
      <c r="AW420" s="1405"/>
      <c r="AX420" s="1405"/>
      <c r="AY420" s="1405"/>
      <c r="AZ420" s="1405"/>
      <c r="BA420" s="1405"/>
      <c r="BB420" s="1405"/>
      <c r="BC420" s="1405"/>
      <c r="BD420" s="1405"/>
      <c r="BE420" s="1405"/>
      <c r="BF420" s="1405"/>
      <c r="BG420" s="1405"/>
      <c r="BH420" s="1405"/>
      <c r="BI420" s="1405"/>
      <c r="BJ420" s="1405"/>
      <c r="BK420" s="1405"/>
      <c r="BL420" s="1405"/>
      <c r="BM420" s="1405"/>
    </row>
    <row r="421" spans="1:65" hidden="1" outlineLevel="1">
      <c r="A421" s="1341"/>
      <c r="B421" s="1350"/>
      <c r="C421" s="1341" t="s">
        <v>432</v>
      </c>
      <c r="D421" s="1402"/>
      <c r="E421" s="1402"/>
      <c r="F421" s="1402"/>
      <c r="G421" s="1402"/>
      <c r="H421" s="1402"/>
      <c r="I421" s="1402"/>
      <c r="J421" s="1341"/>
      <c r="K421" s="1341"/>
      <c r="L421" s="1405"/>
      <c r="M421" s="1405"/>
      <c r="N421" s="1405"/>
      <c r="O421" s="1405"/>
      <c r="P421" s="1405"/>
      <c r="Q421" s="1405"/>
      <c r="R421" s="1405"/>
      <c r="S421" s="1405"/>
      <c r="T421" s="1405"/>
      <c r="U421" s="1405"/>
      <c r="V421" s="1550">
        <v>12128</v>
      </c>
      <c r="W421" s="367">
        <v>7447</v>
      </c>
      <c r="X421" s="367">
        <v>8286</v>
      </c>
      <c r="Y421" s="1405"/>
      <c r="Z421" s="1405"/>
      <c r="AA421" s="1405"/>
      <c r="AB421" s="1405"/>
      <c r="AC421" s="1405"/>
      <c r="AD421" s="1405"/>
      <c r="AE421" s="1405"/>
      <c r="AF421" s="1405"/>
      <c r="AG421" s="1405"/>
      <c r="AH421" s="1953"/>
      <c r="AI421" s="1405"/>
      <c r="AJ421" s="1953"/>
      <c r="AK421" s="1408"/>
      <c r="AL421" s="1405"/>
      <c r="AM421" s="1405"/>
      <c r="AN421" s="1405"/>
      <c r="AO421" s="1405"/>
      <c r="AP421" s="1405"/>
      <c r="AQ421" s="1405"/>
      <c r="AR421" s="1405"/>
      <c r="AS421" s="1405"/>
      <c r="AT421" s="1405"/>
      <c r="AU421" s="1405"/>
      <c r="AV421" s="1405"/>
      <c r="AW421" s="1405"/>
      <c r="AX421" s="1405"/>
      <c r="AY421" s="1405"/>
      <c r="AZ421" s="1405"/>
      <c r="BA421" s="1405"/>
      <c r="BB421" s="1405"/>
      <c r="BC421" s="1405"/>
      <c r="BD421" s="1405"/>
      <c r="BE421" s="1405"/>
      <c r="BF421" s="1405"/>
      <c r="BG421" s="1405"/>
      <c r="BH421" s="1405"/>
      <c r="BI421" s="1405"/>
      <c r="BJ421" s="1405"/>
      <c r="BK421" s="1405"/>
      <c r="BL421" s="1405"/>
      <c r="BM421" s="1405"/>
    </row>
    <row r="422" spans="1:65" hidden="1" outlineLevel="1">
      <c r="A422" s="1341"/>
      <c r="B422" s="1350"/>
      <c r="C422" s="1341" t="s">
        <v>431</v>
      </c>
      <c r="D422" s="1402"/>
      <c r="E422" s="1402"/>
      <c r="F422" s="1402"/>
      <c r="G422" s="1402"/>
      <c r="H422" s="1402"/>
      <c r="I422" s="1402"/>
      <c r="J422" s="1341"/>
      <c r="K422" s="1341"/>
      <c r="L422" s="1405"/>
      <c r="M422" s="1405"/>
      <c r="N422" s="1405"/>
      <c r="O422" s="1405"/>
      <c r="P422" s="1405"/>
      <c r="Q422" s="1405"/>
      <c r="R422" s="1405"/>
      <c r="S422" s="1405"/>
      <c r="T422" s="1405"/>
      <c r="U422" s="1405"/>
      <c r="V422" s="1550">
        <v>12350</v>
      </c>
      <c r="W422" s="367">
        <v>11640</v>
      </c>
      <c r="X422" s="367">
        <v>10706</v>
      </c>
      <c r="Y422" s="1405"/>
      <c r="Z422" s="1405"/>
      <c r="AA422" s="1405"/>
      <c r="AB422" s="1405"/>
      <c r="AC422" s="1405"/>
      <c r="AD422" s="1405"/>
      <c r="AE422" s="1405"/>
      <c r="AF422" s="1405"/>
      <c r="AG422" s="1405"/>
      <c r="AH422" s="1953"/>
      <c r="AI422" s="1405"/>
      <c r="AJ422" s="1953"/>
      <c r="AK422" s="1408"/>
      <c r="AL422" s="1405"/>
      <c r="AM422" s="1405"/>
      <c r="AN422" s="1405"/>
      <c r="AO422" s="1405"/>
      <c r="AP422" s="1405"/>
      <c r="AQ422" s="1405"/>
      <c r="AR422" s="1405"/>
      <c r="AS422" s="1405"/>
      <c r="AT422" s="1405"/>
      <c r="AU422" s="1405"/>
      <c r="AV422" s="1405"/>
      <c r="AW422" s="1405"/>
      <c r="AX422" s="1405"/>
      <c r="AY422" s="1405"/>
      <c r="AZ422" s="1405"/>
      <c r="BA422" s="1405"/>
      <c r="BB422" s="1405"/>
      <c r="BC422" s="1405"/>
      <c r="BD422" s="1405"/>
      <c r="BE422" s="1405"/>
      <c r="BF422" s="1405"/>
      <c r="BG422" s="1405"/>
      <c r="BH422" s="1405"/>
      <c r="BI422" s="1405"/>
      <c r="BJ422" s="1405"/>
      <c r="BK422" s="1405"/>
      <c r="BL422" s="1405"/>
      <c r="BM422" s="1405"/>
    </row>
    <row r="423" spans="1:65" hidden="1" outlineLevel="1">
      <c r="A423" s="1341"/>
      <c r="B423" s="1350"/>
      <c r="C423" s="1341" t="s">
        <v>430</v>
      </c>
      <c r="D423" s="1402"/>
      <c r="E423" s="1402"/>
      <c r="F423" s="1402"/>
      <c r="G423" s="1402"/>
      <c r="H423" s="1402"/>
      <c r="I423" s="1402"/>
      <c r="J423" s="1341"/>
      <c r="K423" s="1341"/>
      <c r="L423" s="1405"/>
      <c r="M423" s="1405"/>
      <c r="N423" s="1405"/>
      <c r="O423" s="1405"/>
      <c r="P423" s="1405"/>
      <c r="Q423" s="1405"/>
      <c r="R423" s="1405"/>
      <c r="S423" s="1405"/>
      <c r="T423" s="1405"/>
      <c r="U423" s="1405"/>
      <c r="V423" s="1550">
        <v>4169</v>
      </c>
      <c r="W423" s="367">
        <v>4287</v>
      </c>
      <c r="X423" s="367">
        <v>3607</v>
      </c>
      <c r="Y423" s="1405"/>
      <c r="Z423" s="1405"/>
      <c r="AA423" s="1405"/>
      <c r="AB423" s="1405"/>
      <c r="AC423" s="1405"/>
      <c r="AD423" s="1405"/>
      <c r="AE423" s="1405"/>
      <c r="AF423" s="1405"/>
      <c r="AG423" s="1405"/>
      <c r="AH423" s="1953"/>
      <c r="AI423" s="1405"/>
      <c r="AJ423" s="1953"/>
      <c r="AK423" s="1408"/>
      <c r="AL423" s="1405"/>
      <c r="AM423" s="1405"/>
      <c r="AN423" s="1405"/>
      <c r="AO423" s="1405"/>
      <c r="AP423" s="1405"/>
      <c r="AQ423" s="1405"/>
      <c r="AR423" s="1405"/>
      <c r="AS423" s="1405"/>
      <c r="AT423" s="1405"/>
      <c r="AU423" s="1405"/>
      <c r="AV423" s="1405"/>
      <c r="AW423" s="1405"/>
      <c r="AX423" s="1405"/>
      <c r="AY423" s="1405"/>
      <c r="AZ423" s="1405"/>
      <c r="BA423" s="1405"/>
      <c r="BB423" s="1405"/>
      <c r="BC423" s="1405"/>
      <c r="BD423" s="1405"/>
      <c r="BE423" s="1405"/>
      <c r="BF423" s="1405"/>
      <c r="BG423" s="1405"/>
      <c r="BH423" s="1405"/>
      <c r="BI423" s="1405"/>
      <c r="BJ423" s="1405"/>
      <c r="BK423" s="1405"/>
      <c r="BL423" s="1405"/>
      <c r="BM423" s="1405"/>
    </row>
    <row r="424" spans="1:65" hidden="1" outlineLevel="1">
      <c r="A424" s="1341"/>
      <c r="B424" s="1350"/>
      <c r="C424" s="1341" t="s">
        <v>429</v>
      </c>
      <c r="D424" s="1402"/>
      <c r="E424" s="1402"/>
      <c r="F424" s="1402"/>
      <c r="G424" s="1402"/>
      <c r="H424" s="1402"/>
      <c r="I424" s="1402"/>
      <c r="J424" s="1341"/>
      <c r="K424" s="1341"/>
      <c r="L424" s="1405"/>
      <c r="M424" s="1405"/>
      <c r="N424" s="1405"/>
      <c r="O424" s="1405"/>
      <c r="P424" s="1405"/>
      <c r="Q424" s="1405"/>
      <c r="R424" s="1405"/>
      <c r="S424" s="1405"/>
      <c r="T424" s="1405"/>
      <c r="U424" s="1405"/>
      <c r="V424" s="1550">
        <v>637</v>
      </c>
      <c r="W424" s="367">
        <v>543</v>
      </c>
      <c r="X424" s="367">
        <v>578</v>
      </c>
      <c r="Y424" s="1405"/>
      <c r="Z424" s="1405"/>
      <c r="AA424" s="1405"/>
      <c r="AB424" s="1405"/>
      <c r="AC424" s="1405"/>
      <c r="AD424" s="1405"/>
      <c r="AE424" s="1405"/>
      <c r="AF424" s="1405"/>
      <c r="AG424" s="1405"/>
      <c r="AH424" s="1953"/>
      <c r="AI424" s="1405"/>
      <c r="AJ424" s="1953"/>
      <c r="AK424" s="1408"/>
      <c r="AL424" s="1405"/>
      <c r="AM424" s="1405"/>
      <c r="AN424" s="1405"/>
      <c r="AO424" s="1405"/>
      <c r="AP424" s="1405"/>
      <c r="AQ424" s="1405"/>
      <c r="AR424" s="1405"/>
      <c r="AS424" s="1405"/>
      <c r="AT424" s="1405"/>
      <c r="AU424" s="1405"/>
      <c r="AV424" s="1405"/>
      <c r="AW424" s="1405"/>
      <c r="AX424" s="1405"/>
      <c r="AY424" s="1405"/>
      <c r="AZ424" s="1405"/>
      <c r="BA424" s="1405"/>
      <c r="BB424" s="1405"/>
      <c r="BC424" s="1405"/>
      <c r="BD424" s="1405"/>
      <c r="BE424" s="1405"/>
      <c r="BF424" s="1405"/>
      <c r="BG424" s="1405"/>
      <c r="BH424" s="1405"/>
      <c r="BI424" s="1405"/>
      <c r="BJ424" s="1405"/>
      <c r="BK424" s="1405"/>
      <c r="BL424" s="1405"/>
      <c r="BM424" s="1405"/>
    </row>
    <row r="425" spans="1:65" hidden="1" outlineLevel="1">
      <c r="A425" s="1341"/>
      <c r="B425" s="1350" t="s">
        <v>443</v>
      </c>
      <c r="C425" s="1341" t="s">
        <v>428</v>
      </c>
      <c r="D425" s="1402"/>
      <c r="E425" s="1402"/>
      <c r="F425" s="1402"/>
      <c r="G425" s="1402"/>
      <c r="H425" s="1402"/>
      <c r="I425" s="1402"/>
      <c r="J425" s="1341"/>
      <c r="K425" s="1341"/>
      <c r="L425" s="1405"/>
      <c r="M425" s="1405"/>
      <c r="N425" s="1405"/>
      <c r="O425" s="1405"/>
      <c r="P425" s="1405"/>
      <c r="Q425" s="1405"/>
      <c r="R425" s="1405"/>
      <c r="S425" s="1405"/>
      <c r="T425" s="1405"/>
      <c r="U425" s="1405"/>
      <c r="V425" s="1550">
        <v>882</v>
      </c>
      <c r="W425" s="367">
        <v>550</v>
      </c>
      <c r="X425" s="367">
        <v>1152</v>
      </c>
      <c r="Y425" s="1405"/>
      <c r="Z425" s="1405"/>
      <c r="AA425" s="1405"/>
      <c r="AB425" s="1405"/>
      <c r="AC425" s="1405"/>
      <c r="AD425" s="1405"/>
      <c r="AE425" s="1405"/>
      <c r="AF425" s="1405"/>
      <c r="AG425" s="1405"/>
      <c r="AH425" s="1953"/>
      <c r="AI425" s="1405"/>
      <c r="AJ425" s="1953"/>
      <c r="AK425" s="1408"/>
      <c r="AL425" s="1405"/>
      <c r="AM425" s="1405"/>
      <c r="AN425" s="1405"/>
      <c r="AO425" s="1405"/>
      <c r="AP425" s="1405"/>
      <c r="AQ425" s="1405"/>
      <c r="AR425" s="1405"/>
      <c r="AS425" s="1405"/>
      <c r="AT425" s="1405"/>
      <c r="AU425" s="1405"/>
      <c r="AV425" s="1405"/>
      <c r="AW425" s="1405"/>
      <c r="AX425" s="1405"/>
      <c r="AY425" s="1405"/>
      <c r="AZ425" s="1405"/>
      <c r="BA425" s="1405"/>
      <c r="BB425" s="1405"/>
      <c r="BC425" s="1405"/>
      <c r="BD425" s="1405"/>
      <c r="BE425" s="1405"/>
      <c r="BF425" s="1405"/>
      <c r="BG425" s="1405"/>
      <c r="BH425" s="1405"/>
      <c r="BI425" s="1405"/>
      <c r="BJ425" s="1405"/>
      <c r="BK425" s="1405"/>
      <c r="BL425" s="1405"/>
      <c r="BM425" s="1405"/>
    </row>
    <row r="426" spans="1:65" hidden="1" outlineLevel="1">
      <c r="A426" s="1341"/>
      <c r="B426" s="1350"/>
      <c r="C426" s="1341" t="s">
        <v>167</v>
      </c>
      <c r="D426" s="1402"/>
      <c r="E426" s="1402"/>
      <c r="F426" s="1402"/>
      <c r="G426" s="1402"/>
      <c r="H426" s="1402"/>
      <c r="I426" s="1402"/>
      <c r="J426" s="1341"/>
      <c r="K426" s="1341"/>
      <c r="L426" s="1405"/>
      <c r="M426" s="1405"/>
      <c r="N426" s="1405"/>
      <c r="O426" s="1405"/>
      <c r="P426" s="1405"/>
      <c r="Q426" s="1405"/>
      <c r="R426" s="1405"/>
      <c r="S426" s="1405"/>
      <c r="T426" s="1405"/>
      <c r="U426" s="1405"/>
      <c r="V426" s="1550">
        <v>1363</v>
      </c>
      <c r="W426" s="367">
        <v>1202</v>
      </c>
      <c r="X426" s="367">
        <v>1460</v>
      </c>
      <c r="Y426" s="1405"/>
      <c r="Z426" s="1405"/>
      <c r="AA426" s="1405"/>
      <c r="AB426" s="1405"/>
      <c r="AC426" s="1405"/>
      <c r="AD426" s="1405"/>
      <c r="AE426" s="1405"/>
      <c r="AF426" s="1405"/>
      <c r="AG426" s="1405"/>
      <c r="AH426" s="1953"/>
      <c r="AI426" s="1405"/>
      <c r="AJ426" s="1953"/>
      <c r="AK426" s="1408"/>
      <c r="AL426" s="1405"/>
      <c r="AM426" s="1405"/>
      <c r="AN426" s="1405"/>
      <c r="AO426" s="1405"/>
      <c r="AP426" s="1405"/>
      <c r="AQ426" s="1405"/>
      <c r="AR426" s="1405"/>
      <c r="AS426" s="1405"/>
      <c r="AT426" s="1405"/>
      <c r="AU426" s="1405"/>
      <c r="AV426" s="1405"/>
      <c r="AW426" s="1405"/>
      <c r="AX426" s="1405"/>
      <c r="AY426" s="1405"/>
      <c r="AZ426" s="1405"/>
      <c r="BA426" s="1405"/>
      <c r="BB426" s="1405"/>
      <c r="BC426" s="1405"/>
      <c r="BD426" s="1405"/>
      <c r="BE426" s="1405"/>
      <c r="BF426" s="1405"/>
      <c r="BG426" s="1405"/>
      <c r="BH426" s="1405"/>
      <c r="BI426" s="1405"/>
      <c r="BJ426" s="1405"/>
      <c r="BK426" s="1405"/>
      <c r="BL426" s="1405"/>
      <c r="BM426" s="1405"/>
    </row>
    <row r="427" spans="1:65" hidden="1" outlineLevel="1">
      <c r="A427" s="1341"/>
      <c r="B427" s="1485"/>
      <c r="C427" s="1484" t="s">
        <v>442</v>
      </c>
      <c r="D427" s="1548"/>
      <c r="E427" s="1548"/>
      <c r="F427" s="1548"/>
      <c r="G427" s="1548"/>
      <c r="H427" s="1548"/>
      <c r="I427" s="1548"/>
      <c r="J427" s="1484"/>
      <c r="K427" s="1484"/>
      <c r="L427" s="1437"/>
      <c r="M427" s="1437"/>
      <c r="N427" s="1437"/>
      <c r="O427" s="1437"/>
      <c r="P427" s="1437"/>
      <c r="Q427" s="1437"/>
      <c r="R427" s="1437"/>
      <c r="S427" s="1437"/>
      <c r="T427" s="1437"/>
      <c r="U427" s="1437"/>
      <c r="V427" s="1551"/>
      <c r="W427" s="1384">
        <v>-567</v>
      </c>
      <c r="X427" s="1384">
        <v>-1141</v>
      </c>
      <c r="Y427" s="1437"/>
      <c r="Z427" s="1437"/>
      <c r="AA427" s="1437"/>
      <c r="AB427" s="1437"/>
      <c r="AC427" s="1437"/>
      <c r="AD427" s="1437"/>
      <c r="AE427" s="1437"/>
      <c r="AF427" s="1437"/>
      <c r="AG427" s="1437"/>
      <c r="AH427" s="1977"/>
      <c r="AI427" s="1437"/>
      <c r="AJ427" s="1977"/>
      <c r="AK427" s="1549"/>
      <c r="AL427" s="1437"/>
      <c r="AM427" s="1437"/>
      <c r="AN427" s="1437"/>
      <c r="AO427" s="1437"/>
      <c r="AP427" s="1437"/>
      <c r="AQ427" s="1405"/>
      <c r="AR427" s="1405"/>
      <c r="AS427" s="1405"/>
      <c r="AT427" s="1405"/>
      <c r="AU427" s="1405"/>
      <c r="AV427" s="1405"/>
      <c r="AW427" s="1405"/>
      <c r="AX427" s="1405"/>
      <c r="AY427" s="1405"/>
      <c r="AZ427" s="1405"/>
      <c r="BA427" s="1405"/>
      <c r="BB427" s="1405"/>
      <c r="BC427" s="1405"/>
      <c r="BD427" s="1405"/>
      <c r="BE427" s="1405"/>
      <c r="BF427" s="1405"/>
      <c r="BG427" s="1405"/>
      <c r="BH427" s="1405"/>
      <c r="BI427" s="1405"/>
      <c r="BJ427" s="1405"/>
      <c r="BK427" s="1405"/>
      <c r="BL427" s="1405"/>
      <c r="BM427" s="1405"/>
    </row>
    <row r="428" spans="1:65" hidden="1" outlineLevel="1">
      <c r="A428" s="1341"/>
      <c r="B428" s="1350"/>
      <c r="C428" s="1341" t="s">
        <v>427</v>
      </c>
      <c r="D428" s="1402"/>
      <c r="E428" s="1402"/>
      <c r="F428" s="1402"/>
      <c r="G428" s="1402"/>
      <c r="H428" s="1402"/>
      <c r="I428" s="1402"/>
      <c r="J428" s="1341"/>
      <c r="K428" s="1341"/>
      <c r="L428" s="1405"/>
      <c r="M428" s="1405"/>
      <c r="N428" s="1405"/>
      <c r="O428" s="1405"/>
      <c r="P428" s="1405"/>
      <c r="Q428" s="1405"/>
      <c r="R428" s="1405"/>
      <c r="S428" s="1405"/>
      <c r="T428" s="1405"/>
      <c r="U428" s="1405"/>
      <c r="V428" s="1550">
        <v>31121</v>
      </c>
      <c r="W428" s="367">
        <f>SUM(W420:W427)</f>
        <v>25809</v>
      </c>
      <c r="X428" s="367">
        <v>25514</v>
      </c>
      <c r="Y428" s="1405"/>
      <c r="Z428" s="1405"/>
      <c r="AA428" s="1405"/>
      <c r="AB428" s="1405"/>
      <c r="AC428" s="1405"/>
      <c r="AD428" s="1405"/>
      <c r="AE428" s="1405"/>
      <c r="AF428" s="1405"/>
      <c r="AG428" s="1405"/>
      <c r="AH428" s="1953"/>
      <c r="AI428" s="1405"/>
      <c r="AJ428" s="1953"/>
      <c r="AK428" s="1408"/>
      <c r="AL428" s="1405"/>
      <c r="AM428" s="1405"/>
      <c r="AN428" s="1405"/>
      <c r="AO428" s="1405"/>
      <c r="AP428" s="1405"/>
      <c r="AQ428" s="1405"/>
      <c r="AR428" s="1405"/>
      <c r="AS428" s="1405"/>
      <c r="AT428" s="1405"/>
      <c r="AU428" s="1405"/>
      <c r="AV428" s="1405"/>
      <c r="AW428" s="1405"/>
      <c r="AX428" s="1405"/>
      <c r="AY428" s="1405"/>
      <c r="AZ428" s="1405"/>
      <c r="BA428" s="1405"/>
      <c r="BB428" s="1405"/>
      <c r="BC428" s="1405"/>
      <c r="BD428" s="1405"/>
      <c r="BE428" s="1405"/>
      <c r="BF428" s="1405"/>
      <c r="BG428" s="1405"/>
      <c r="BH428" s="1405"/>
      <c r="BI428" s="1405"/>
      <c r="BJ428" s="1405"/>
      <c r="BK428" s="1405"/>
      <c r="BL428" s="1405"/>
      <c r="BM428" s="1405"/>
    </row>
    <row r="429" spans="1:65" hidden="1" outlineLevel="1">
      <c r="A429" s="1341"/>
      <c r="B429" s="1350"/>
      <c r="C429" s="1341"/>
      <c r="D429" s="1341"/>
      <c r="E429" s="1341"/>
      <c r="F429" s="1341"/>
      <c r="G429" s="1341"/>
      <c r="H429" s="1341"/>
      <c r="I429" s="1341"/>
      <c r="J429" s="1341"/>
      <c r="K429" s="1341"/>
      <c r="L429" s="1341"/>
      <c r="M429" s="1341"/>
      <c r="N429" s="1341"/>
      <c r="O429" s="1341"/>
      <c r="P429" s="1341"/>
      <c r="Q429" s="1341"/>
      <c r="R429" s="1341"/>
      <c r="S429" s="1341"/>
      <c r="T429" s="1341"/>
      <c r="U429" s="1341"/>
      <c r="V429" s="1341"/>
      <c r="W429" s="1341"/>
      <c r="X429" s="1341"/>
      <c r="Y429" s="1341"/>
      <c r="Z429" s="1341"/>
      <c r="AA429" s="1341"/>
      <c r="AB429" s="1341"/>
      <c r="AC429" s="1341"/>
      <c r="AD429" s="1341"/>
      <c r="AE429" s="1341"/>
      <c r="AF429" s="1341"/>
      <c r="AG429" s="1341"/>
      <c r="AH429" s="1950"/>
      <c r="AI429" s="1341"/>
      <c r="AJ429" s="1950"/>
      <c r="AK429" s="1399"/>
      <c r="AL429" s="1341"/>
      <c r="AM429" s="1341"/>
      <c r="AN429" s="1341"/>
      <c r="AO429" s="1341"/>
      <c r="AP429" s="1341"/>
      <c r="AQ429" s="1341"/>
      <c r="AR429" s="1341"/>
      <c r="AS429" s="1341"/>
      <c r="AT429" s="1341"/>
      <c r="AU429" s="1341"/>
      <c r="AV429" s="1341"/>
      <c r="AW429" s="1341"/>
      <c r="AX429" s="1341"/>
      <c r="AY429" s="1341"/>
      <c r="AZ429" s="1341"/>
      <c r="BA429" s="1341"/>
      <c r="BB429" s="1341"/>
      <c r="BC429" s="1341"/>
      <c r="BD429" s="1341"/>
      <c r="BE429" s="1341"/>
      <c r="BF429" s="1341"/>
      <c r="BG429" s="1341"/>
      <c r="BH429" s="1341"/>
      <c r="BI429" s="1341"/>
      <c r="BJ429" s="1341"/>
      <c r="BK429" s="1341"/>
      <c r="BL429" s="1341"/>
      <c r="BM429" s="1341"/>
    </row>
    <row r="430" spans="1:65" hidden="1" outlineLevel="1">
      <c r="A430" s="1341"/>
      <c r="B430" s="1350"/>
      <c r="C430" s="1341" t="s">
        <v>441</v>
      </c>
      <c r="D430" s="1341"/>
      <c r="E430" s="1402" t="str">
        <f t="shared" ref="E430:P430" si="785">E406</f>
        <v>93/3</v>
      </c>
      <c r="F430" s="1402" t="str">
        <f t="shared" si="785"/>
        <v>94/3</v>
      </c>
      <c r="G430" s="1402" t="str">
        <f t="shared" si="785"/>
        <v>95/3</v>
      </c>
      <c r="H430" s="1402" t="str">
        <f t="shared" si="785"/>
        <v>96/3</v>
      </c>
      <c r="I430" s="1402" t="str">
        <f t="shared" si="785"/>
        <v>97/3</v>
      </c>
      <c r="J430" s="1402" t="str">
        <f t="shared" si="785"/>
        <v>98/3</v>
      </c>
      <c r="K430" s="1402" t="str">
        <f t="shared" si="785"/>
        <v>99/3</v>
      </c>
      <c r="L430" s="1402">
        <f t="shared" si="785"/>
        <v>36586</v>
      </c>
      <c r="M430" s="1402">
        <f t="shared" si="785"/>
        <v>36951</v>
      </c>
      <c r="N430" s="1402">
        <f t="shared" si="785"/>
        <v>37316</v>
      </c>
      <c r="O430" s="1402">
        <f t="shared" si="785"/>
        <v>37681</v>
      </c>
      <c r="P430" s="1402">
        <f t="shared" si="785"/>
        <v>38047</v>
      </c>
      <c r="Q430" s="1402"/>
      <c r="R430" s="1402"/>
      <c r="S430" s="1402"/>
      <c r="T430" s="1402"/>
      <c r="U430" s="1402"/>
      <c r="V430" s="1402"/>
      <c r="W430" s="1402"/>
      <c r="X430" s="1402"/>
      <c r="Y430" s="1402"/>
      <c r="Z430" s="1402"/>
      <c r="AA430" s="1402"/>
      <c r="AB430" s="1402"/>
      <c r="AC430" s="1402"/>
      <c r="AD430" s="1402"/>
      <c r="AE430" s="1402"/>
      <c r="AF430" s="1402"/>
      <c r="AG430" s="1402"/>
      <c r="AH430" s="1952"/>
      <c r="AI430" s="1402"/>
      <c r="AJ430" s="1952"/>
      <c r="AK430" s="1554"/>
      <c r="AL430" s="1402"/>
      <c r="AM430" s="1402"/>
      <c r="AN430" s="1402"/>
      <c r="AO430" s="1402"/>
      <c r="AP430" s="1402"/>
      <c r="AQ430" s="1402"/>
      <c r="AR430" s="1402"/>
      <c r="AS430" s="1402"/>
      <c r="AT430" s="1402"/>
      <c r="AU430" s="1402"/>
      <c r="AV430" s="1402"/>
      <c r="AW430" s="1402"/>
      <c r="AX430" s="1402"/>
      <c r="AY430" s="1402"/>
      <c r="AZ430" s="1402"/>
      <c r="BA430" s="1402"/>
      <c r="BB430" s="1402"/>
      <c r="BC430" s="1402"/>
      <c r="BD430" s="1402"/>
      <c r="BE430" s="1402"/>
      <c r="BF430" s="1402"/>
      <c r="BG430" s="1402"/>
      <c r="BH430" s="1402"/>
      <c r="BI430" s="1402"/>
      <c r="BJ430" s="1402"/>
      <c r="BK430" s="1402"/>
      <c r="BL430" s="1402"/>
      <c r="BM430" s="1402"/>
    </row>
    <row r="431" spans="1:65" hidden="1" outlineLevel="1">
      <c r="A431" s="1341"/>
      <c r="B431" s="1500"/>
      <c r="C431" s="1395" t="s">
        <v>282</v>
      </c>
      <c r="D431" s="1395"/>
      <c r="E431" s="1395">
        <f t="shared" ref="E431:P431" si="786">E389</f>
        <v>6265</v>
      </c>
      <c r="F431" s="1395">
        <f t="shared" si="786"/>
        <v>6522</v>
      </c>
      <c r="G431" s="1395">
        <f t="shared" si="786"/>
        <v>7061</v>
      </c>
      <c r="H431" s="1395">
        <f t="shared" si="786"/>
        <v>7143</v>
      </c>
      <c r="I431" s="1395">
        <f t="shared" si="786"/>
        <v>7019</v>
      </c>
      <c r="J431" s="1395">
        <f t="shared" si="786"/>
        <v>7835</v>
      </c>
      <c r="K431" s="1395">
        <f t="shared" si="786"/>
        <v>9076</v>
      </c>
      <c r="L431" s="1395">
        <f t="shared" si="786"/>
        <v>10748</v>
      </c>
      <c r="M431" s="1395">
        <f t="shared" si="786"/>
        <v>11243</v>
      </c>
      <c r="N431" s="1395">
        <f t="shared" si="786"/>
        <v>11604</v>
      </c>
      <c r="O431" s="1395">
        <f t="shared" si="786"/>
        <v>11946</v>
      </c>
      <c r="P431" s="1395">
        <f t="shared" si="786"/>
        <v>11598</v>
      </c>
      <c r="Q431" s="1395"/>
      <c r="R431" s="1395"/>
      <c r="S431" s="1395"/>
      <c r="T431" s="1395"/>
      <c r="U431" s="1395"/>
      <c r="V431" s="1395"/>
      <c r="W431" s="1395"/>
      <c r="X431" s="1395"/>
      <c r="Y431" s="1395"/>
      <c r="Z431" s="1395"/>
      <c r="AA431" s="1395"/>
      <c r="AB431" s="1395"/>
      <c r="AC431" s="1396"/>
      <c r="AD431" s="1396"/>
      <c r="AE431" s="1396"/>
      <c r="AF431" s="1396"/>
      <c r="AG431" s="1396"/>
      <c r="AH431" s="1951"/>
      <c r="AI431" s="1396"/>
      <c r="AJ431" s="1951"/>
      <c r="AK431" s="1397"/>
      <c r="AL431" s="1396"/>
      <c r="AM431" s="1396"/>
      <c r="AN431" s="1396"/>
      <c r="AO431" s="1396"/>
      <c r="AP431" s="1396"/>
      <c r="AQ431" s="1341"/>
      <c r="AR431" s="1341"/>
      <c r="AS431" s="1341"/>
      <c r="AT431" s="1341"/>
      <c r="AU431" s="1341"/>
      <c r="AV431" s="1341"/>
      <c r="AW431" s="1341"/>
      <c r="AX431" s="1341"/>
      <c r="AY431" s="1341"/>
      <c r="AZ431" s="1341"/>
      <c r="BA431" s="1341"/>
      <c r="BB431" s="1341"/>
      <c r="BC431" s="1341"/>
      <c r="BD431" s="1341"/>
      <c r="BE431" s="1341"/>
      <c r="BF431" s="1341"/>
      <c r="BG431" s="1341"/>
      <c r="BH431" s="1341"/>
      <c r="BI431" s="1341"/>
      <c r="BJ431" s="1341"/>
      <c r="BK431" s="1341"/>
      <c r="BL431" s="1341"/>
      <c r="BM431" s="1341"/>
    </row>
    <row r="432" spans="1:65" hidden="1" outlineLevel="1">
      <c r="A432" s="1341"/>
      <c r="B432" s="1350"/>
      <c r="C432" s="1341" t="s">
        <v>440</v>
      </c>
      <c r="D432" s="1341"/>
      <c r="E432" s="1341">
        <v>5146</v>
      </c>
      <c r="F432" s="1341">
        <v>5473</v>
      </c>
      <c r="G432" s="1341">
        <v>6167</v>
      </c>
      <c r="H432" s="1341">
        <v>6060</v>
      </c>
      <c r="I432" s="1341">
        <v>6387</v>
      </c>
      <c r="J432" s="1341">
        <v>8306</v>
      </c>
      <c r="K432" s="1341">
        <v>9570</v>
      </c>
      <c r="L432" s="1341">
        <v>10725</v>
      </c>
      <c r="M432" s="1341">
        <v>10591</v>
      </c>
      <c r="N432" s="1341">
        <v>10839</v>
      </c>
      <c r="O432" s="1341">
        <v>10926</v>
      </c>
      <c r="P432" s="1341">
        <v>10169</v>
      </c>
      <c r="Q432" s="1341"/>
      <c r="R432" s="1341"/>
      <c r="S432" s="1341"/>
      <c r="T432" s="1341"/>
      <c r="U432" s="1341"/>
      <c r="V432" s="1341"/>
      <c r="W432" s="1341"/>
      <c r="X432" s="1341"/>
      <c r="Y432" s="1341"/>
      <c r="Z432" s="1341"/>
      <c r="AA432" s="1341"/>
      <c r="AB432" s="1341"/>
      <c r="AC432" s="1341"/>
      <c r="AD432" s="1341"/>
      <c r="AE432" s="1341"/>
      <c r="AF432" s="1341"/>
      <c r="AG432" s="1341"/>
      <c r="AH432" s="1950"/>
      <c r="AI432" s="1341"/>
      <c r="AJ432" s="1950"/>
      <c r="AK432" s="1399"/>
      <c r="AL432" s="1341"/>
      <c r="AM432" s="1341"/>
      <c r="AN432" s="1341"/>
      <c r="AO432" s="1341"/>
      <c r="AP432" s="1341"/>
      <c r="AQ432" s="1341"/>
      <c r="AR432" s="1341"/>
      <c r="AS432" s="1341"/>
      <c r="AT432" s="1341"/>
      <c r="AU432" s="1341"/>
      <c r="AV432" s="1341"/>
      <c r="AW432" s="1341"/>
      <c r="AX432" s="1341"/>
      <c r="AY432" s="1341"/>
      <c r="AZ432" s="1341"/>
      <c r="BA432" s="1341"/>
      <c r="BB432" s="1341"/>
      <c r="BC432" s="1341"/>
      <c r="BD432" s="1341"/>
      <c r="BE432" s="1341"/>
      <c r="BF432" s="1341"/>
      <c r="BG432" s="1341"/>
      <c r="BH432" s="1341"/>
      <c r="BI432" s="1341"/>
      <c r="BJ432" s="1341"/>
      <c r="BK432" s="1341"/>
      <c r="BL432" s="1341"/>
      <c r="BM432" s="1341"/>
    </row>
    <row r="433" spans="1:65" hidden="1" outlineLevel="1">
      <c r="A433" s="1341"/>
      <c r="B433" s="1350"/>
      <c r="C433" s="1341" t="s">
        <v>439</v>
      </c>
      <c r="D433" s="1341"/>
      <c r="E433" s="1341">
        <v>1086</v>
      </c>
      <c r="F433" s="1341">
        <v>1019</v>
      </c>
      <c r="G433" s="1341">
        <v>1291</v>
      </c>
      <c r="H433" s="1341">
        <v>1243</v>
      </c>
      <c r="I433" s="1341">
        <v>1334</v>
      </c>
      <c r="J433" s="1341">
        <v>1924</v>
      </c>
      <c r="K433" s="1341">
        <v>2271</v>
      </c>
      <c r="L433" s="1341">
        <v>2193</v>
      </c>
      <c r="M433" s="1341">
        <v>1939</v>
      </c>
      <c r="N433" s="1341">
        <v>1798</v>
      </c>
      <c r="O433" s="1341">
        <v>1820</v>
      </c>
      <c r="P433" s="1341">
        <v>1587</v>
      </c>
      <c r="Q433" s="1341"/>
      <c r="R433" s="1341"/>
      <c r="S433" s="1341"/>
      <c r="T433" s="1341"/>
      <c r="U433" s="1341"/>
      <c r="V433" s="1341"/>
      <c r="W433" s="1341"/>
      <c r="X433" s="1341"/>
      <c r="Y433" s="1341"/>
      <c r="Z433" s="1341"/>
      <c r="AA433" s="1341"/>
      <c r="AB433" s="1341"/>
      <c r="AC433" s="1341"/>
      <c r="AD433" s="1341"/>
      <c r="AE433" s="1341"/>
      <c r="AF433" s="1341"/>
      <c r="AG433" s="1341"/>
      <c r="AH433" s="1950"/>
      <c r="AI433" s="1341"/>
      <c r="AJ433" s="1950"/>
      <c r="AK433" s="1399"/>
      <c r="AL433" s="1341"/>
      <c r="AM433" s="1341"/>
      <c r="AN433" s="1341"/>
      <c r="AO433" s="1341"/>
      <c r="AP433" s="1341"/>
      <c r="AQ433" s="1341"/>
      <c r="AR433" s="1341"/>
      <c r="AS433" s="1341"/>
      <c r="AT433" s="1341"/>
      <c r="AU433" s="1341"/>
      <c r="AV433" s="1341"/>
      <c r="AW433" s="1341"/>
      <c r="AX433" s="1341"/>
      <c r="AY433" s="1341"/>
      <c r="AZ433" s="1341"/>
      <c r="BA433" s="1341"/>
      <c r="BB433" s="1341"/>
      <c r="BC433" s="1341"/>
      <c r="BD433" s="1341"/>
      <c r="BE433" s="1341"/>
      <c r="BF433" s="1341"/>
      <c r="BG433" s="1341"/>
      <c r="BH433" s="1341"/>
      <c r="BI433" s="1341"/>
      <c r="BJ433" s="1341"/>
      <c r="BK433" s="1341"/>
      <c r="BL433" s="1341"/>
      <c r="BM433" s="1341"/>
    </row>
    <row r="434" spans="1:65" hidden="1" outlineLevel="1">
      <c r="A434" s="1341"/>
      <c r="B434" s="1350"/>
      <c r="C434" s="1341" t="s">
        <v>438</v>
      </c>
      <c r="D434" s="1341"/>
      <c r="E434" s="1341">
        <f t="shared" ref="E434:P434" si="787">E432-E433</f>
        <v>4060</v>
      </c>
      <c r="F434" s="1341">
        <f t="shared" si="787"/>
        <v>4454</v>
      </c>
      <c r="G434" s="1341">
        <f t="shared" si="787"/>
        <v>4876</v>
      </c>
      <c r="H434" s="1341">
        <f t="shared" si="787"/>
        <v>4817</v>
      </c>
      <c r="I434" s="1341">
        <f t="shared" si="787"/>
        <v>5053</v>
      </c>
      <c r="J434" s="1341">
        <f t="shared" si="787"/>
        <v>6382</v>
      </c>
      <c r="K434" s="1341">
        <f t="shared" si="787"/>
        <v>7299</v>
      </c>
      <c r="L434" s="1341">
        <f t="shared" si="787"/>
        <v>8532</v>
      </c>
      <c r="M434" s="1341">
        <f t="shared" si="787"/>
        <v>8652</v>
      </c>
      <c r="N434" s="1341">
        <f t="shared" si="787"/>
        <v>9041</v>
      </c>
      <c r="O434" s="1341">
        <f t="shared" si="787"/>
        <v>9106</v>
      </c>
      <c r="P434" s="1341">
        <f t="shared" si="787"/>
        <v>8582</v>
      </c>
      <c r="Q434" s="1341"/>
      <c r="R434" s="1341"/>
      <c r="S434" s="1341"/>
      <c r="T434" s="1341"/>
      <c r="U434" s="1341"/>
      <c r="V434" s="1341"/>
      <c r="W434" s="1341"/>
      <c r="X434" s="1341"/>
      <c r="Y434" s="1341"/>
      <c r="Z434" s="1341"/>
      <c r="AA434" s="1341"/>
      <c r="AB434" s="1341"/>
      <c r="AC434" s="1341"/>
      <c r="AD434" s="1341"/>
      <c r="AE434" s="1341"/>
      <c r="AF434" s="1341"/>
      <c r="AG434" s="1341"/>
      <c r="AH434" s="1950"/>
      <c r="AI434" s="1341"/>
      <c r="AJ434" s="1950"/>
      <c r="AK434" s="1399"/>
      <c r="AL434" s="1341"/>
      <c r="AM434" s="1341"/>
      <c r="AN434" s="1341"/>
      <c r="AO434" s="1341"/>
      <c r="AP434" s="1341"/>
      <c r="AQ434" s="1341"/>
      <c r="AR434" s="1341"/>
      <c r="AS434" s="1341"/>
      <c r="AT434" s="1341"/>
      <c r="AU434" s="1341"/>
      <c r="AV434" s="1341"/>
      <c r="AW434" s="1341"/>
      <c r="AX434" s="1341"/>
      <c r="AY434" s="1341"/>
      <c r="AZ434" s="1341"/>
      <c r="BA434" s="1341"/>
      <c r="BB434" s="1341"/>
      <c r="BC434" s="1341"/>
      <c r="BD434" s="1341"/>
      <c r="BE434" s="1341"/>
      <c r="BF434" s="1341"/>
      <c r="BG434" s="1341"/>
      <c r="BH434" s="1341"/>
      <c r="BI434" s="1341"/>
      <c r="BJ434" s="1341"/>
      <c r="BK434" s="1341"/>
      <c r="BL434" s="1341"/>
      <c r="BM434" s="1341"/>
    </row>
    <row r="435" spans="1:65" hidden="1" outlineLevel="1">
      <c r="A435" s="1341"/>
      <c r="B435" s="1350"/>
      <c r="C435" s="1341" t="s">
        <v>437</v>
      </c>
      <c r="D435" s="1341"/>
      <c r="E435" s="1341">
        <v>1200</v>
      </c>
      <c r="F435" s="1341">
        <v>1200</v>
      </c>
      <c r="G435" s="1341">
        <v>1200</v>
      </c>
      <c r="H435" s="1341">
        <v>1200</v>
      </c>
      <c r="I435" s="1341">
        <v>1200</v>
      </c>
      <c r="J435" s="1341">
        <v>1200</v>
      </c>
      <c r="K435" s="1341">
        <f>K431-K432-K436</f>
        <v>1206</v>
      </c>
      <c r="L435" s="1341">
        <f>L431-L432-L436</f>
        <v>1123</v>
      </c>
      <c r="M435" s="1341">
        <f>M431-M432-M436</f>
        <v>1352</v>
      </c>
      <c r="N435" s="1341">
        <v>1400</v>
      </c>
      <c r="O435" s="1341">
        <v>1000</v>
      </c>
      <c r="P435" s="1341">
        <v>1000</v>
      </c>
      <c r="Q435" s="1341"/>
      <c r="R435" s="1341"/>
      <c r="S435" s="1341"/>
      <c r="T435" s="1341"/>
      <c r="U435" s="1341"/>
      <c r="V435" s="1341"/>
      <c r="W435" s="1341"/>
      <c r="X435" s="1341"/>
      <c r="Y435" s="1341"/>
      <c r="Z435" s="1341"/>
      <c r="AA435" s="1341"/>
      <c r="AB435" s="1341"/>
      <c r="AC435" s="1341"/>
      <c r="AD435" s="1341"/>
      <c r="AE435" s="1341"/>
      <c r="AF435" s="1341"/>
      <c r="AG435" s="1341"/>
      <c r="AH435" s="1950"/>
      <c r="AI435" s="1341"/>
      <c r="AJ435" s="1950"/>
      <c r="AK435" s="1399"/>
      <c r="AL435" s="1341"/>
      <c r="AM435" s="1341"/>
      <c r="AN435" s="1341"/>
      <c r="AO435" s="1341"/>
      <c r="AP435" s="1341"/>
      <c r="AQ435" s="1341"/>
      <c r="AR435" s="1341"/>
      <c r="AS435" s="1341"/>
      <c r="AT435" s="1341"/>
      <c r="AU435" s="1341"/>
      <c r="AV435" s="1341"/>
      <c r="AW435" s="1341"/>
      <c r="AX435" s="1341"/>
      <c r="AY435" s="1341"/>
      <c r="AZ435" s="1341"/>
      <c r="BA435" s="1341"/>
      <c r="BB435" s="1341"/>
      <c r="BC435" s="1341"/>
      <c r="BD435" s="1341"/>
      <c r="BE435" s="1341"/>
      <c r="BF435" s="1341"/>
      <c r="BG435" s="1341"/>
      <c r="BH435" s="1341"/>
      <c r="BI435" s="1341"/>
      <c r="BJ435" s="1341"/>
      <c r="BK435" s="1341"/>
      <c r="BL435" s="1341"/>
      <c r="BM435" s="1341"/>
    </row>
    <row r="436" spans="1:65" hidden="1" outlineLevel="1">
      <c r="A436" s="1341"/>
      <c r="B436" s="1485"/>
      <c r="C436" s="1484" t="s">
        <v>436</v>
      </c>
      <c r="D436" s="1484"/>
      <c r="E436" s="1484">
        <f t="shared" ref="E436:J436" si="788">E431-E432-E435</f>
        <v>-81</v>
      </c>
      <c r="F436" s="1484">
        <f t="shared" si="788"/>
        <v>-151</v>
      </c>
      <c r="G436" s="1484">
        <f t="shared" si="788"/>
        <v>-306</v>
      </c>
      <c r="H436" s="1484">
        <f t="shared" si="788"/>
        <v>-117</v>
      </c>
      <c r="I436" s="1484">
        <f t="shared" si="788"/>
        <v>-568</v>
      </c>
      <c r="J436" s="1484">
        <f t="shared" si="788"/>
        <v>-1671</v>
      </c>
      <c r="K436" s="1484">
        <v>-1700</v>
      </c>
      <c r="L436" s="1484">
        <v>-1100</v>
      </c>
      <c r="M436" s="1484">
        <v>-700</v>
      </c>
      <c r="N436" s="1484">
        <f>N431-N432-N435</f>
        <v>-635</v>
      </c>
      <c r="O436" s="1484">
        <f>O431-O432-O435</f>
        <v>20</v>
      </c>
      <c r="P436" s="1484">
        <f>P431-P432-P435</f>
        <v>429</v>
      </c>
      <c r="Q436" s="1484"/>
      <c r="R436" s="1484"/>
      <c r="S436" s="1484"/>
      <c r="T436" s="1484"/>
      <c r="U436" s="1484"/>
      <c r="V436" s="1484"/>
      <c r="W436" s="1484"/>
      <c r="X436" s="1484"/>
      <c r="Y436" s="1484"/>
      <c r="Z436" s="1484"/>
      <c r="AA436" s="1484"/>
      <c r="AB436" s="1484"/>
      <c r="AC436" s="1484"/>
      <c r="AD436" s="1484"/>
      <c r="AE436" s="1484"/>
      <c r="AF436" s="1484"/>
      <c r="AG436" s="1484"/>
      <c r="AH436" s="1978"/>
      <c r="AI436" s="1484"/>
      <c r="AJ436" s="1978"/>
      <c r="AK436" s="1553"/>
      <c r="AL436" s="1484"/>
      <c r="AM436" s="1484"/>
      <c r="AN436" s="1484"/>
      <c r="AO436" s="1484"/>
      <c r="AP436" s="1484"/>
      <c r="AQ436" s="1341"/>
      <c r="AR436" s="1341"/>
      <c r="AS436" s="1341"/>
      <c r="AT436" s="1341"/>
      <c r="AU436" s="1341"/>
      <c r="AV436" s="1341"/>
      <c r="AW436" s="1341"/>
      <c r="AX436" s="1341"/>
      <c r="AY436" s="1341"/>
      <c r="AZ436" s="1341"/>
      <c r="BA436" s="1341"/>
      <c r="BB436" s="1341"/>
      <c r="BC436" s="1341"/>
      <c r="BD436" s="1341"/>
      <c r="BE436" s="1341"/>
      <c r="BF436" s="1341"/>
      <c r="BG436" s="1341"/>
      <c r="BH436" s="1341"/>
      <c r="BI436" s="1341"/>
      <c r="BJ436" s="1341"/>
      <c r="BK436" s="1341"/>
      <c r="BL436" s="1341"/>
      <c r="BM436" s="1341"/>
    </row>
    <row r="437" spans="1:65" hidden="1" outlineLevel="1">
      <c r="A437" s="1402"/>
      <c r="B437" s="1557"/>
      <c r="C437" s="1402"/>
      <c r="D437" s="1402"/>
      <c r="E437" s="1402"/>
      <c r="F437" s="1402"/>
      <c r="G437" s="1402"/>
      <c r="H437" s="1402"/>
      <c r="I437" s="1402"/>
      <c r="J437" s="1402"/>
      <c r="K437" s="1402"/>
      <c r="L437" s="1402"/>
      <c r="M437" s="1402"/>
      <c r="N437" s="1402"/>
      <c r="O437" s="1402"/>
      <c r="P437" s="1402"/>
      <c r="Q437" s="1402"/>
      <c r="R437" s="1402"/>
      <c r="S437" s="1402"/>
      <c r="T437" s="1402"/>
      <c r="U437" s="1402"/>
      <c r="V437" s="1402"/>
      <c r="W437" s="1402"/>
      <c r="X437" s="1402"/>
      <c r="Y437" s="1402"/>
      <c r="Z437" s="1402"/>
      <c r="AA437" s="1402"/>
      <c r="AB437" s="1402"/>
      <c r="AC437" s="1402"/>
      <c r="AD437" s="1402"/>
      <c r="AE437" s="1402"/>
      <c r="AF437" s="1402"/>
      <c r="AG437" s="1402"/>
      <c r="AH437" s="1952"/>
      <c r="AI437" s="1402"/>
      <c r="AJ437" s="1952"/>
      <c r="AK437" s="1554"/>
      <c r="AL437" s="1402"/>
      <c r="AM437" s="1402"/>
      <c r="AN437" s="1402"/>
      <c r="AO437" s="1402"/>
      <c r="AP437" s="1402"/>
      <c r="AQ437" s="1402"/>
      <c r="AR437" s="1402"/>
      <c r="AS437" s="1402"/>
      <c r="AT437" s="1402"/>
      <c r="AU437" s="1402"/>
      <c r="AV437" s="1402"/>
      <c r="AW437" s="1402"/>
      <c r="AX437" s="1402"/>
      <c r="AY437" s="1402"/>
      <c r="AZ437" s="1402"/>
      <c r="BA437" s="1402"/>
      <c r="BB437" s="1402"/>
      <c r="BC437" s="1402"/>
      <c r="BD437" s="1402"/>
      <c r="BE437" s="1402"/>
      <c r="BF437" s="1402"/>
      <c r="BG437" s="1402"/>
      <c r="BH437" s="1402"/>
      <c r="BI437" s="1402"/>
      <c r="BJ437" s="1402"/>
      <c r="BK437" s="1402"/>
      <c r="BL437" s="1402"/>
      <c r="BM437" s="1402"/>
    </row>
    <row r="438" spans="1:65" hidden="1" outlineLevel="1">
      <c r="A438" s="1402"/>
      <c r="B438" s="1485"/>
      <c r="C438" s="1484" t="s">
        <v>435</v>
      </c>
      <c r="D438" s="1548"/>
      <c r="E438" s="1548"/>
      <c r="F438" s="1548"/>
      <c r="G438" s="1548"/>
      <c r="H438" s="1548"/>
      <c r="I438" s="1548"/>
      <c r="J438" s="1484"/>
      <c r="K438" s="1484"/>
      <c r="L438" s="1437"/>
      <c r="M438" s="1437"/>
      <c r="N438" s="1437"/>
      <c r="O438" s="1437"/>
      <c r="P438" s="1437"/>
      <c r="Q438" s="1437"/>
      <c r="R438" s="1437"/>
      <c r="S438" s="1437"/>
      <c r="T438" s="1437"/>
      <c r="U438" s="1437"/>
      <c r="V438" s="1437"/>
      <c r="W438" s="1437"/>
      <c r="X438" s="1437"/>
      <c r="Y438" s="1437"/>
      <c r="Z438" s="1437"/>
      <c r="AA438" s="1437"/>
      <c r="AB438" s="1437"/>
      <c r="AC438" s="1437"/>
      <c r="AD438" s="1437"/>
      <c r="AE438" s="1437"/>
      <c r="AF438" s="1437"/>
      <c r="AG438" s="1437"/>
      <c r="AH438" s="1977"/>
      <c r="AI438" s="1437"/>
      <c r="AJ438" s="1977"/>
      <c r="AK438" s="1549"/>
      <c r="AL438" s="1437"/>
      <c r="AM438" s="1437"/>
      <c r="AN438" s="1437"/>
      <c r="AO438" s="1437"/>
      <c r="AP438" s="1437"/>
      <c r="AQ438" s="1405"/>
      <c r="AR438" s="1405"/>
      <c r="AS438" s="1405"/>
      <c r="AT438" s="1405"/>
      <c r="AU438" s="1405"/>
      <c r="AV438" s="1405"/>
      <c r="AW438" s="1405"/>
      <c r="AX438" s="1405"/>
      <c r="AY438" s="1405"/>
      <c r="AZ438" s="1405"/>
      <c r="BA438" s="1405"/>
      <c r="BB438" s="1405"/>
      <c r="BC438" s="1405"/>
      <c r="BD438" s="1405"/>
      <c r="BE438" s="1405"/>
      <c r="BF438" s="1405"/>
      <c r="BG438" s="1405"/>
      <c r="BH438" s="1405"/>
      <c r="BI438" s="1405"/>
      <c r="BJ438" s="1405"/>
      <c r="BK438" s="1405"/>
      <c r="BL438" s="1405"/>
      <c r="BM438" s="1405"/>
    </row>
    <row r="439" spans="1:65" hidden="1" outlineLevel="1">
      <c r="A439" s="1402"/>
      <c r="B439" s="1350"/>
      <c r="C439" s="1341" t="s">
        <v>433</v>
      </c>
      <c r="D439" s="1402"/>
      <c r="E439" s="1402"/>
      <c r="F439" s="1402"/>
      <c r="G439" s="1402"/>
      <c r="H439" s="1402"/>
      <c r="I439" s="1402"/>
      <c r="J439" s="1341"/>
      <c r="K439" s="1341"/>
      <c r="L439" s="1405"/>
      <c r="M439" s="1405"/>
      <c r="N439" s="1405"/>
      <c r="O439" s="1405"/>
      <c r="P439" s="1405"/>
      <c r="Q439" s="1405"/>
      <c r="R439" s="1405"/>
      <c r="S439" s="1405"/>
      <c r="T439" s="1405"/>
      <c r="U439" s="1405"/>
      <c r="V439" s="1550"/>
      <c r="W439" s="1405">
        <f t="shared" ref="W439:X444" si="789">(W396/V396-1)*100</f>
        <v>-0.13473053892215647</v>
      </c>
      <c r="X439" s="1405">
        <f t="shared" si="789"/>
        <v>-2.3984410133413236</v>
      </c>
      <c r="Y439" s="1405"/>
      <c r="Z439" s="1405"/>
      <c r="AA439" s="1405"/>
      <c r="AB439" s="1405"/>
      <c r="AC439" s="1405"/>
      <c r="AD439" s="1405"/>
      <c r="AE439" s="1405"/>
      <c r="AF439" s="1405"/>
      <c r="AG439" s="1405"/>
      <c r="AH439" s="1953"/>
      <c r="AI439" s="1405"/>
      <c r="AJ439" s="1953"/>
      <c r="AK439" s="1408"/>
      <c r="AL439" s="1405"/>
      <c r="AM439" s="1405"/>
      <c r="AN439" s="1405"/>
      <c r="AO439" s="1405"/>
      <c r="AP439" s="1405"/>
      <c r="AQ439" s="1405"/>
      <c r="AR439" s="1405"/>
      <c r="AS439" s="1405"/>
      <c r="AT439" s="1405"/>
      <c r="AU439" s="1405"/>
      <c r="AV439" s="1405"/>
      <c r="AW439" s="1405"/>
      <c r="AX439" s="1405"/>
      <c r="AY439" s="1405"/>
      <c r="AZ439" s="1405"/>
      <c r="BA439" s="1405"/>
      <c r="BB439" s="1405"/>
      <c r="BC439" s="1405"/>
      <c r="BD439" s="1405"/>
      <c r="BE439" s="1405"/>
      <c r="BF439" s="1405"/>
      <c r="BG439" s="1405"/>
      <c r="BH439" s="1405"/>
      <c r="BI439" s="1405"/>
      <c r="BJ439" s="1405"/>
      <c r="BK439" s="1405"/>
      <c r="BL439" s="1405"/>
      <c r="BM439" s="1405"/>
    </row>
    <row r="440" spans="1:65" hidden="1" outlineLevel="1">
      <c r="A440" s="1402"/>
      <c r="B440" s="1350"/>
      <c r="C440" s="1341" t="s">
        <v>432</v>
      </c>
      <c r="D440" s="1402"/>
      <c r="E440" s="1402"/>
      <c r="F440" s="1402"/>
      <c r="G440" s="1402"/>
      <c r="H440" s="1402"/>
      <c r="I440" s="1402"/>
      <c r="J440" s="1341"/>
      <c r="K440" s="1341"/>
      <c r="L440" s="1405"/>
      <c r="M440" s="1405"/>
      <c r="N440" s="1405"/>
      <c r="O440" s="1405"/>
      <c r="P440" s="1405"/>
      <c r="Q440" s="1405"/>
      <c r="R440" s="1405"/>
      <c r="S440" s="1405"/>
      <c r="T440" s="1405"/>
      <c r="U440" s="1405"/>
      <c r="V440" s="1550"/>
      <c r="W440" s="1405">
        <f t="shared" si="789"/>
        <v>-15.217905405405407</v>
      </c>
      <c r="X440" s="1405">
        <f t="shared" si="789"/>
        <v>14.679922695303937</v>
      </c>
      <c r="Y440" s="1405"/>
      <c r="Z440" s="1405"/>
      <c r="AA440" s="1405"/>
      <c r="AB440" s="1405"/>
      <c r="AC440" s="1405"/>
      <c r="AD440" s="1405"/>
      <c r="AE440" s="1405"/>
      <c r="AF440" s="1405"/>
      <c r="AG440" s="1405"/>
      <c r="AH440" s="1953"/>
      <c r="AI440" s="1405"/>
      <c r="AJ440" s="1953"/>
      <c r="AK440" s="1408"/>
      <c r="AL440" s="1405"/>
      <c r="AM440" s="1405"/>
      <c r="AN440" s="1405"/>
      <c r="AO440" s="1405"/>
      <c r="AP440" s="1405"/>
      <c r="AQ440" s="1405"/>
      <c r="AR440" s="1405"/>
      <c r="AS440" s="1405"/>
      <c r="AT440" s="1405"/>
      <c r="AU440" s="1405"/>
      <c r="AV440" s="1405"/>
      <c r="AW440" s="1405"/>
      <c r="AX440" s="1405"/>
      <c r="AY440" s="1405"/>
      <c r="AZ440" s="1405"/>
      <c r="BA440" s="1405"/>
      <c r="BB440" s="1405"/>
      <c r="BC440" s="1405"/>
      <c r="BD440" s="1405"/>
      <c r="BE440" s="1405"/>
      <c r="BF440" s="1405"/>
      <c r="BG440" s="1405"/>
      <c r="BH440" s="1405"/>
      <c r="BI440" s="1405"/>
      <c r="BJ440" s="1405"/>
      <c r="BK440" s="1405"/>
      <c r="BL440" s="1405"/>
      <c r="BM440" s="1405"/>
    </row>
    <row r="441" spans="1:65" hidden="1" outlineLevel="1">
      <c r="A441" s="1402"/>
      <c r="B441" s="1350"/>
      <c r="C441" s="1341" t="s">
        <v>431</v>
      </c>
      <c r="D441" s="1402"/>
      <c r="E441" s="1402"/>
      <c r="F441" s="1402"/>
      <c r="G441" s="1402"/>
      <c r="H441" s="1402"/>
      <c r="I441" s="1402"/>
      <c r="J441" s="1341"/>
      <c r="K441" s="1341"/>
      <c r="L441" s="1405"/>
      <c r="M441" s="1405"/>
      <c r="N441" s="1405"/>
      <c r="O441" s="1405"/>
      <c r="P441" s="1405"/>
      <c r="Q441" s="1405"/>
      <c r="R441" s="1405"/>
      <c r="S441" s="1405"/>
      <c r="T441" s="1405"/>
      <c r="U441" s="1405"/>
      <c r="V441" s="1550"/>
      <c r="W441" s="1405">
        <f t="shared" si="789"/>
        <v>4.9020618556701034</v>
      </c>
      <c r="X441" s="1405">
        <f t="shared" si="789"/>
        <v>4.7987813866640527</v>
      </c>
      <c r="Y441" s="1405"/>
      <c r="Z441" s="1405"/>
      <c r="AA441" s="1405"/>
      <c r="AB441" s="1405"/>
      <c r="AC441" s="1405"/>
      <c r="AD441" s="1405"/>
      <c r="AE441" s="1405"/>
      <c r="AF441" s="1405"/>
      <c r="AG441" s="1405"/>
      <c r="AH441" s="1953"/>
      <c r="AI441" s="1405"/>
      <c r="AJ441" s="1953"/>
      <c r="AK441" s="1408"/>
      <c r="AL441" s="1405"/>
      <c r="AM441" s="1405"/>
      <c r="AN441" s="1405"/>
      <c r="AO441" s="1405"/>
      <c r="AP441" s="1405"/>
      <c r="AQ441" s="1405"/>
      <c r="AR441" s="1405"/>
      <c r="AS441" s="1405"/>
      <c r="AT441" s="1405"/>
      <c r="AU441" s="1405"/>
      <c r="AV441" s="1405"/>
      <c r="AW441" s="1405"/>
      <c r="AX441" s="1405"/>
      <c r="AY441" s="1405"/>
      <c r="AZ441" s="1405"/>
      <c r="BA441" s="1405"/>
      <c r="BB441" s="1405"/>
      <c r="BC441" s="1405"/>
      <c r="BD441" s="1405"/>
      <c r="BE441" s="1405"/>
      <c r="BF441" s="1405"/>
      <c r="BG441" s="1405"/>
      <c r="BH441" s="1405"/>
      <c r="BI441" s="1405"/>
      <c r="BJ441" s="1405"/>
      <c r="BK441" s="1405"/>
      <c r="BL441" s="1405"/>
      <c r="BM441" s="1405"/>
    </row>
    <row r="442" spans="1:65" hidden="1" outlineLevel="1">
      <c r="A442" s="1402"/>
      <c r="B442" s="1350"/>
      <c r="C442" s="1341" t="s">
        <v>430</v>
      </c>
      <c r="D442" s="1402"/>
      <c r="E442" s="1402"/>
      <c r="F442" s="1402"/>
      <c r="G442" s="1402"/>
      <c r="H442" s="1402"/>
      <c r="I442" s="1402"/>
      <c r="J442" s="1341"/>
      <c r="K442" s="1341"/>
      <c r="L442" s="1405"/>
      <c r="M442" s="1405"/>
      <c r="N442" s="1405"/>
      <c r="O442" s="1405"/>
      <c r="P442" s="1405"/>
      <c r="Q442" s="1405"/>
      <c r="R442" s="1405"/>
      <c r="S442" s="1405"/>
      <c r="T442" s="1405"/>
      <c r="U442" s="1405"/>
      <c r="V442" s="1550"/>
      <c r="W442" s="1405">
        <f t="shared" si="789"/>
        <v>-2.9433384379785599</v>
      </c>
      <c r="X442" s="1405">
        <f t="shared" si="789"/>
        <v>-9.4670074789360292E-3</v>
      </c>
      <c r="Y442" s="1405"/>
      <c r="Z442" s="1405"/>
      <c r="AA442" s="1405"/>
      <c r="AB442" s="1405"/>
      <c r="AC442" s="1405"/>
      <c r="AD442" s="1405"/>
      <c r="AE442" s="1405"/>
      <c r="AF442" s="1405"/>
      <c r="AG442" s="1405"/>
      <c r="AH442" s="1953"/>
      <c r="AI442" s="1405"/>
      <c r="AJ442" s="1953"/>
      <c r="AK442" s="1408"/>
      <c r="AL442" s="1405"/>
      <c r="AM442" s="1405"/>
      <c r="AN442" s="1405"/>
      <c r="AO442" s="1405"/>
      <c r="AP442" s="1405"/>
      <c r="AQ442" s="1405"/>
      <c r="AR442" s="1405"/>
      <c r="AS442" s="1405"/>
      <c r="AT442" s="1405"/>
      <c r="AU442" s="1405"/>
      <c r="AV442" s="1405"/>
      <c r="AW442" s="1405"/>
      <c r="AX442" s="1405"/>
      <c r="AY442" s="1405"/>
      <c r="AZ442" s="1405"/>
      <c r="BA442" s="1405"/>
      <c r="BB442" s="1405"/>
      <c r="BC442" s="1405"/>
      <c r="BD442" s="1405"/>
      <c r="BE442" s="1405"/>
      <c r="BF442" s="1405"/>
      <c r="BG442" s="1405"/>
      <c r="BH442" s="1405"/>
      <c r="BI442" s="1405"/>
      <c r="BJ442" s="1405"/>
      <c r="BK442" s="1405"/>
      <c r="BL442" s="1405"/>
      <c r="BM442" s="1405"/>
    </row>
    <row r="443" spans="1:65" hidden="1" outlineLevel="1">
      <c r="A443" s="1402"/>
      <c r="B443" s="1350"/>
      <c r="C443" s="1341" t="s">
        <v>429</v>
      </c>
      <c r="D443" s="1402"/>
      <c r="E443" s="1402"/>
      <c r="F443" s="1402"/>
      <c r="G443" s="1402"/>
      <c r="H443" s="1402"/>
      <c r="I443" s="1402"/>
      <c r="J443" s="1341"/>
      <c r="K443" s="1341"/>
      <c r="L443" s="1405"/>
      <c r="M443" s="1405"/>
      <c r="N443" s="1405"/>
      <c r="O443" s="1405"/>
      <c r="P443" s="1405"/>
      <c r="Q443" s="1405"/>
      <c r="R443" s="1405"/>
      <c r="S443" s="1405"/>
      <c r="T443" s="1405"/>
      <c r="U443" s="1405"/>
      <c r="V443" s="1550"/>
      <c r="W443" s="1405">
        <f t="shared" si="789"/>
        <v>-5.0103626943005182</v>
      </c>
      <c r="X443" s="1405">
        <f t="shared" si="789"/>
        <v>-5.9891998036327943</v>
      </c>
      <c r="Y443" s="1405"/>
      <c r="Z443" s="1405"/>
      <c r="AA443" s="1405"/>
      <c r="AB443" s="1405"/>
      <c r="AC443" s="1405"/>
      <c r="AD443" s="1405"/>
      <c r="AE443" s="1405"/>
      <c r="AF443" s="1405"/>
      <c r="AG443" s="1405"/>
      <c r="AH443" s="1953"/>
      <c r="AI443" s="1405"/>
      <c r="AJ443" s="1953"/>
      <c r="AK443" s="1408"/>
      <c r="AL443" s="1405"/>
      <c r="AM443" s="1405"/>
      <c r="AN443" s="1405"/>
      <c r="AO443" s="1405"/>
      <c r="AP443" s="1405"/>
      <c r="AQ443" s="1405"/>
      <c r="AR443" s="1405"/>
      <c r="AS443" s="1405"/>
      <c r="AT443" s="1405"/>
      <c r="AU443" s="1405"/>
      <c r="AV443" s="1405"/>
      <c r="AW443" s="1405"/>
      <c r="AX443" s="1405"/>
      <c r="AY443" s="1405"/>
      <c r="AZ443" s="1405"/>
      <c r="BA443" s="1405"/>
      <c r="BB443" s="1405"/>
      <c r="BC443" s="1405"/>
      <c r="BD443" s="1405"/>
      <c r="BE443" s="1405"/>
      <c r="BF443" s="1405"/>
      <c r="BG443" s="1405"/>
      <c r="BH443" s="1405"/>
      <c r="BI443" s="1405"/>
      <c r="BJ443" s="1405"/>
      <c r="BK443" s="1405"/>
      <c r="BL443" s="1405"/>
      <c r="BM443" s="1405"/>
    </row>
    <row r="444" spans="1:65" hidden="1" outlineLevel="1">
      <c r="A444" s="1402"/>
      <c r="B444" s="1350"/>
      <c r="C444" s="1341" t="s">
        <v>428</v>
      </c>
      <c r="D444" s="1402"/>
      <c r="E444" s="1402"/>
      <c r="F444" s="1402"/>
      <c r="G444" s="1402"/>
      <c r="H444" s="1402"/>
      <c r="I444" s="1402"/>
      <c r="J444" s="1341"/>
      <c r="K444" s="1341"/>
      <c r="L444" s="1405"/>
      <c r="M444" s="1405"/>
      <c r="N444" s="1405"/>
      <c r="O444" s="1405"/>
      <c r="P444" s="1405"/>
      <c r="Q444" s="1405"/>
      <c r="R444" s="1405"/>
      <c r="S444" s="1405"/>
      <c r="T444" s="1405"/>
      <c r="U444" s="1405"/>
      <c r="V444" s="1550"/>
      <c r="W444" s="1405">
        <f t="shared" si="789"/>
        <v>-1.2153846153846182</v>
      </c>
      <c r="X444" s="1405">
        <f t="shared" si="789"/>
        <v>15.410372216165701</v>
      </c>
      <c r="Y444" s="1405"/>
      <c r="Z444" s="1405"/>
      <c r="AA444" s="1405"/>
      <c r="AB444" s="1405"/>
      <c r="AC444" s="1405"/>
      <c r="AD444" s="1405"/>
      <c r="AE444" s="1405"/>
      <c r="AF444" s="1405"/>
      <c r="AG444" s="1405"/>
      <c r="AH444" s="1953"/>
      <c r="AI444" s="1405"/>
      <c r="AJ444" s="1953"/>
      <c r="AK444" s="1408"/>
      <c r="AL444" s="1405"/>
      <c r="AM444" s="1405"/>
      <c r="AN444" s="1405"/>
      <c r="AO444" s="1405"/>
      <c r="AP444" s="1405"/>
      <c r="AQ444" s="1405"/>
      <c r="AR444" s="1405"/>
      <c r="AS444" s="1405"/>
      <c r="AT444" s="1405"/>
      <c r="AU444" s="1405"/>
      <c r="AV444" s="1405"/>
      <c r="AW444" s="1405"/>
      <c r="AX444" s="1405"/>
      <c r="AY444" s="1405"/>
      <c r="AZ444" s="1405"/>
      <c r="BA444" s="1405"/>
      <c r="BB444" s="1405"/>
      <c r="BC444" s="1405"/>
      <c r="BD444" s="1405"/>
      <c r="BE444" s="1405"/>
      <c r="BF444" s="1405"/>
      <c r="BG444" s="1405"/>
      <c r="BH444" s="1405"/>
      <c r="BI444" s="1405"/>
      <c r="BJ444" s="1405"/>
      <c r="BK444" s="1405"/>
      <c r="BL444" s="1405"/>
      <c r="BM444" s="1405"/>
    </row>
    <row r="445" spans="1:65" hidden="1" outlineLevel="1">
      <c r="A445" s="1402"/>
      <c r="B445" s="1485"/>
      <c r="C445" s="1484" t="s">
        <v>167</v>
      </c>
      <c r="D445" s="1548"/>
      <c r="E445" s="1548"/>
      <c r="F445" s="1548"/>
      <c r="G445" s="1548"/>
      <c r="H445" s="1548"/>
      <c r="I445" s="1548"/>
      <c r="J445" s="1484"/>
      <c r="K445" s="1484"/>
      <c r="L445" s="1437"/>
      <c r="M445" s="1437"/>
      <c r="N445" s="1437"/>
      <c r="O445" s="1437"/>
      <c r="P445" s="1437"/>
      <c r="Q445" s="1437"/>
      <c r="R445" s="1437"/>
      <c r="S445" s="1437"/>
      <c r="T445" s="1437"/>
      <c r="U445" s="1437"/>
      <c r="V445" s="1551"/>
      <c r="W445" s="1437" t="e">
        <f>(W403/V403-1)*100</f>
        <v>#DIV/0!</v>
      </c>
      <c r="X445" s="1437">
        <f>(X403/W403-1)*100</f>
        <v>29.411764705882359</v>
      </c>
      <c r="Y445" s="1437"/>
      <c r="Z445" s="1437"/>
      <c r="AA445" s="1437"/>
      <c r="AB445" s="1437"/>
      <c r="AC445" s="1437"/>
      <c r="AD445" s="1437"/>
      <c r="AE445" s="1437"/>
      <c r="AF445" s="1437"/>
      <c r="AG445" s="1437"/>
      <c r="AH445" s="1977"/>
      <c r="AI445" s="1437"/>
      <c r="AJ445" s="1977"/>
      <c r="AK445" s="1549"/>
      <c r="AL445" s="1437"/>
      <c r="AM445" s="1437"/>
      <c r="AN445" s="1437"/>
      <c r="AO445" s="1437"/>
      <c r="AP445" s="1437"/>
      <c r="AQ445" s="1405"/>
      <c r="AR445" s="1405"/>
      <c r="AS445" s="1405"/>
      <c r="AT445" s="1405"/>
      <c r="AU445" s="1405"/>
      <c r="AV445" s="1405"/>
      <c r="AW445" s="1405"/>
      <c r="AX445" s="1405"/>
      <c r="AY445" s="1405"/>
      <c r="AZ445" s="1405"/>
      <c r="BA445" s="1405"/>
      <c r="BB445" s="1405"/>
      <c r="BC445" s="1405"/>
      <c r="BD445" s="1405"/>
      <c r="BE445" s="1405"/>
      <c r="BF445" s="1405"/>
      <c r="BG445" s="1405"/>
      <c r="BH445" s="1405"/>
      <c r="BI445" s="1405"/>
      <c r="BJ445" s="1405"/>
      <c r="BK445" s="1405"/>
      <c r="BL445" s="1405"/>
      <c r="BM445" s="1405"/>
    </row>
    <row r="446" spans="1:65" hidden="1" outlineLevel="1">
      <c r="A446" s="1402"/>
      <c r="B446" s="1350"/>
      <c r="C446" s="1341" t="s">
        <v>427</v>
      </c>
      <c r="D446" s="1402"/>
      <c r="E446" s="1402"/>
      <c r="F446" s="1402"/>
      <c r="G446" s="1402"/>
      <c r="H446" s="1402"/>
      <c r="I446" s="1402"/>
      <c r="J446" s="1341"/>
      <c r="K446" s="1341"/>
      <c r="L446" s="1405"/>
      <c r="M446" s="1405"/>
      <c r="N446" s="1405"/>
      <c r="O446" s="1405"/>
      <c r="P446" s="1405"/>
      <c r="Q446" s="1405"/>
      <c r="R446" s="1405"/>
      <c r="S446" s="1405"/>
      <c r="T446" s="1405"/>
      <c r="U446" s="1405"/>
      <c r="V446" s="1550"/>
      <c r="W446" s="1405">
        <f>(W404/V404-1)*100</f>
        <v>-2.9787503964478268</v>
      </c>
      <c r="X446" s="1405">
        <f>(X404/W404-1)*100</f>
        <v>4.9286059861134657</v>
      </c>
      <c r="Y446" s="1405"/>
      <c r="Z446" s="1405"/>
      <c r="AA446" s="1405"/>
      <c r="AB446" s="1405"/>
      <c r="AC446" s="1405"/>
      <c r="AD446" s="1405"/>
      <c r="AE446" s="1405"/>
      <c r="AF446" s="1405"/>
      <c r="AG446" s="1405"/>
      <c r="AH446" s="1953"/>
      <c r="AI446" s="1405"/>
      <c r="AJ446" s="1953"/>
      <c r="AK446" s="1408"/>
      <c r="AL446" s="1405"/>
      <c r="AM446" s="1405"/>
      <c r="AN446" s="1405"/>
      <c r="AO446" s="1405"/>
      <c r="AP446" s="1405"/>
      <c r="AQ446" s="1405"/>
      <c r="AR446" s="1405"/>
      <c r="AS446" s="1405"/>
      <c r="AT446" s="1405"/>
      <c r="AU446" s="1405"/>
      <c r="AV446" s="1405"/>
      <c r="AW446" s="1405"/>
      <c r="AX446" s="1405"/>
      <c r="AY446" s="1405"/>
      <c r="AZ446" s="1405"/>
      <c r="BA446" s="1405"/>
      <c r="BB446" s="1405"/>
      <c r="BC446" s="1405"/>
      <c r="BD446" s="1405"/>
      <c r="BE446" s="1405"/>
      <c r="BF446" s="1405"/>
      <c r="BG446" s="1405"/>
      <c r="BH446" s="1405"/>
      <c r="BI446" s="1405"/>
      <c r="BJ446" s="1405"/>
      <c r="BK446" s="1405"/>
      <c r="BL446" s="1405"/>
      <c r="BM446" s="1405"/>
    </row>
    <row r="447" spans="1:65" hidden="1" outlineLevel="1">
      <c r="A447" s="1402"/>
      <c r="B447" s="1557"/>
      <c r="C447" s="1402"/>
      <c r="D447" s="1402"/>
      <c r="E447" s="1402"/>
      <c r="F447" s="1402"/>
      <c r="G447" s="1402"/>
      <c r="H447" s="1402"/>
      <c r="I447" s="1402"/>
      <c r="J447" s="1402"/>
      <c r="K447" s="1402"/>
      <c r="L447" s="1402"/>
      <c r="M447" s="1402"/>
      <c r="N447" s="1402"/>
      <c r="O447" s="1402"/>
      <c r="P447" s="1402"/>
      <c r="Q447" s="1402"/>
      <c r="R447" s="1402"/>
      <c r="S447" s="1402"/>
      <c r="T447" s="1402"/>
      <c r="U447" s="1402"/>
      <c r="V447" s="1402"/>
      <c r="W447" s="1402"/>
      <c r="X447" s="1402"/>
      <c r="Y447" s="1402"/>
      <c r="Z447" s="1402"/>
      <c r="AA447" s="1402"/>
      <c r="AB447" s="1402"/>
      <c r="AC447" s="1402"/>
      <c r="AD447" s="1402"/>
      <c r="AE447" s="1402"/>
      <c r="AF447" s="1402"/>
      <c r="AG447" s="1402"/>
      <c r="AH447" s="1952"/>
      <c r="AI447" s="1402"/>
      <c r="AJ447" s="1952"/>
      <c r="AK447" s="1554"/>
      <c r="AL447" s="1402"/>
      <c r="AM447" s="1402"/>
      <c r="AN447" s="1402"/>
      <c r="AO447" s="1402"/>
      <c r="AP447" s="1402"/>
      <c r="AQ447" s="1402"/>
      <c r="AR447" s="1402"/>
      <c r="AS447" s="1402"/>
      <c r="AT447" s="1402"/>
      <c r="AU447" s="1402"/>
      <c r="AV447" s="1402"/>
      <c r="AW447" s="1402"/>
      <c r="AX447" s="1402"/>
      <c r="AY447" s="1402"/>
      <c r="AZ447" s="1402"/>
      <c r="BA447" s="1402"/>
      <c r="BB447" s="1402"/>
      <c r="BC447" s="1402"/>
      <c r="BD447" s="1402"/>
      <c r="BE447" s="1402"/>
      <c r="BF447" s="1402"/>
      <c r="BG447" s="1402"/>
      <c r="BH447" s="1402"/>
      <c r="BI447" s="1402"/>
      <c r="BJ447" s="1402"/>
      <c r="BK447" s="1402"/>
      <c r="BL447" s="1402"/>
      <c r="BM447" s="1402"/>
    </row>
    <row r="448" spans="1:65" hidden="1" outlineLevel="1">
      <c r="A448" s="1402"/>
      <c r="B448" s="1485"/>
      <c r="C448" s="1484" t="s">
        <v>434</v>
      </c>
      <c r="D448" s="1548"/>
      <c r="E448" s="1548"/>
      <c r="F448" s="1548"/>
      <c r="G448" s="1548"/>
      <c r="H448" s="1548"/>
      <c r="I448" s="1548"/>
      <c r="J448" s="1484"/>
      <c r="K448" s="1484"/>
      <c r="L448" s="1437"/>
      <c r="M448" s="1437"/>
      <c r="N448" s="1437"/>
      <c r="O448" s="1437"/>
      <c r="P448" s="1437"/>
      <c r="Q448" s="1437"/>
      <c r="R448" s="1437"/>
      <c r="S448" s="1437"/>
      <c r="T448" s="1437"/>
      <c r="U448" s="1437"/>
      <c r="V448" s="1437"/>
      <c r="W448" s="1437"/>
      <c r="X448" s="1437"/>
      <c r="Y448" s="1437"/>
      <c r="Z448" s="1437"/>
      <c r="AA448" s="1437"/>
      <c r="AB448" s="1437"/>
      <c r="AC448" s="1437"/>
      <c r="AD448" s="1437"/>
      <c r="AE448" s="1437"/>
      <c r="AF448" s="1437"/>
      <c r="AG448" s="1437"/>
      <c r="AH448" s="1977"/>
      <c r="AI448" s="1437"/>
      <c r="AJ448" s="1977"/>
      <c r="AK448" s="1549"/>
      <c r="AL448" s="1437"/>
      <c r="AM448" s="1437"/>
      <c r="AN448" s="1437"/>
      <c r="AO448" s="1437"/>
      <c r="AP448" s="1437"/>
      <c r="AQ448" s="1405"/>
      <c r="AR448" s="1405"/>
      <c r="AS448" s="1405"/>
      <c r="AT448" s="1405"/>
      <c r="AU448" s="1405"/>
      <c r="AV448" s="1405"/>
      <c r="AW448" s="1405"/>
      <c r="AX448" s="1405"/>
      <c r="AY448" s="1405"/>
      <c r="AZ448" s="1405"/>
      <c r="BA448" s="1405"/>
      <c r="BB448" s="1405"/>
      <c r="BC448" s="1405"/>
      <c r="BD448" s="1405"/>
      <c r="BE448" s="1405"/>
      <c r="BF448" s="1405"/>
      <c r="BG448" s="1405"/>
      <c r="BH448" s="1405"/>
      <c r="BI448" s="1405"/>
      <c r="BJ448" s="1405"/>
      <c r="BK448" s="1405"/>
      <c r="BL448" s="1405"/>
      <c r="BM448" s="1405"/>
    </row>
    <row r="449" spans="1:65" hidden="1" outlineLevel="1">
      <c r="A449" s="1402"/>
      <c r="B449" s="1350"/>
      <c r="C449" s="1341" t="s">
        <v>433</v>
      </c>
      <c r="D449" s="1402"/>
      <c r="E449" s="1402"/>
      <c r="F449" s="1402"/>
      <c r="G449" s="1402"/>
      <c r="H449" s="1402"/>
      <c r="I449" s="1402"/>
      <c r="J449" s="1341"/>
      <c r="K449" s="1341"/>
      <c r="L449" s="1405"/>
      <c r="M449" s="1405"/>
      <c r="N449" s="1405"/>
      <c r="O449" s="1405"/>
      <c r="P449" s="1405"/>
      <c r="Q449" s="1405"/>
      <c r="R449" s="1405"/>
      <c r="S449" s="1405"/>
      <c r="T449" s="1405"/>
      <c r="U449" s="1405"/>
      <c r="V449" s="1550"/>
      <c r="W449" s="1405">
        <f t="shared" ref="W449:X455" si="790">(W420/V420-1)*100</f>
        <v>81.282051282051285</v>
      </c>
      <c r="X449" s="1405">
        <f t="shared" si="790"/>
        <v>22.206506364922205</v>
      </c>
      <c r="Y449" s="1405"/>
      <c r="Z449" s="1405"/>
      <c r="AA449" s="1405"/>
      <c r="AB449" s="1405"/>
      <c r="AC449" s="1405"/>
      <c r="AD449" s="1405"/>
      <c r="AE449" s="1405"/>
      <c r="AF449" s="1405"/>
      <c r="AG449" s="1405"/>
      <c r="AH449" s="1953"/>
      <c r="AI449" s="1405"/>
      <c r="AJ449" s="1953"/>
      <c r="AK449" s="1408"/>
      <c r="AL449" s="1405"/>
      <c r="AM449" s="1405"/>
      <c r="AN449" s="1405"/>
      <c r="AO449" s="1405"/>
      <c r="AP449" s="1405"/>
      <c r="AQ449" s="1405"/>
      <c r="AR449" s="1405"/>
      <c r="AS449" s="1405"/>
      <c r="AT449" s="1405"/>
      <c r="AU449" s="1405"/>
      <c r="AV449" s="1405"/>
      <c r="AW449" s="1405"/>
      <c r="AX449" s="1405"/>
      <c r="AY449" s="1405"/>
      <c r="AZ449" s="1405"/>
      <c r="BA449" s="1405"/>
      <c r="BB449" s="1405"/>
      <c r="BC449" s="1405"/>
      <c r="BD449" s="1405"/>
      <c r="BE449" s="1405"/>
      <c r="BF449" s="1405"/>
      <c r="BG449" s="1405"/>
      <c r="BH449" s="1405"/>
      <c r="BI449" s="1405"/>
      <c r="BJ449" s="1405"/>
      <c r="BK449" s="1405"/>
      <c r="BL449" s="1405"/>
      <c r="BM449" s="1405"/>
    </row>
    <row r="450" spans="1:65" hidden="1" outlineLevel="1">
      <c r="A450" s="1402"/>
      <c r="B450" s="1350"/>
      <c r="C450" s="1341" t="s">
        <v>432</v>
      </c>
      <c r="D450" s="1402"/>
      <c r="E450" s="1402"/>
      <c r="F450" s="1402"/>
      <c r="G450" s="1402"/>
      <c r="H450" s="1402"/>
      <c r="I450" s="1402"/>
      <c r="J450" s="1341"/>
      <c r="K450" s="1341"/>
      <c r="L450" s="1405"/>
      <c r="M450" s="1405"/>
      <c r="N450" s="1405"/>
      <c r="O450" s="1405"/>
      <c r="P450" s="1405"/>
      <c r="Q450" s="1405"/>
      <c r="R450" s="1405"/>
      <c r="S450" s="1405"/>
      <c r="T450" s="1405"/>
      <c r="U450" s="1405"/>
      <c r="V450" s="1550"/>
      <c r="W450" s="1405">
        <f t="shared" si="790"/>
        <v>-38.596635883905016</v>
      </c>
      <c r="X450" s="1405">
        <f t="shared" si="790"/>
        <v>11.266281724184246</v>
      </c>
      <c r="Y450" s="1405"/>
      <c r="Z450" s="1405"/>
      <c r="AA450" s="1405"/>
      <c r="AB450" s="1405"/>
      <c r="AC450" s="1405"/>
      <c r="AD450" s="1405"/>
      <c r="AE450" s="1405"/>
      <c r="AF450" s="1405"/>
      <c r="AG450" s="1405"/>
      <c r="AH450" s="1953"/>
      <c r="AI450" s="1405"/>
      <c r="AJ450" s="1953"/>
      <c r="AK450" s="1408"/>
      <c r="AL450" s="1405"/>
      <c r="AM450" s="1405"/>
      <c r="AN450" s="1405"/>
      <c r="AO450" s="1405"/>
      <c r="AP450" s="1405"/>
      <c r="AQ450" s="1405"/>
      <c r="AR450" s="1405"/>
      <c r="AS450" s="1405"/>
      <c r="AT450" s="1405"/>
      <c r="AU450" s="1405"/>
      <c r="AV450" s="1405"/>
      <c r="AW450" s="1405"/>
      <c r="AX450" s="1405"/>
      <c r="AY450" s="1405"/>
      <c r="AZ450" s="1405"/>
      <c r="BA450" s="1405"/>
      <c r="BB450" s="1405"/>
      <c r="BC450" s="1405"/>
      <c r="BD450" s="1405"/>
      <c r="BE450" s="1405"/>
      <c r="BF450" s="1405"/>
      <c r="BG450" s="1405"/>
      <c r="BH450" s="1405"/>
      <c r="BI450" s="1405"/>
      <c r="BJ450" s="1405"/>
      <c r="BK450" s="1405"/>
      <c r="BL450" s="1405"/>
      <c r="BM450" s="1405"/>
    </row>
    <row r="451" spans="1:65" hidden="1" outlineLevel="1">
      <c r="A451" s="1402"/>
      <c r="B451" s="1350"/>
      <c r="C451" s="1341" t="s">
        <v>431</v>
      </c>
      <c r="D451" s="1402"/>
      <c r="E451" s="1402"/>
      <c r="F451" s="1402"/>
      <c r="G451" s="1402"/>
      <c r="H451" s="1402"/>
      <c r="I451" s="1402"/>
      <c r="J451" s="1341"/>
      <c r="K451" s="1341"/>
      <c r="L451" s="1405"/>
      <c r="M451" s="1405"/>
      <c r="N451" s="1405"/>
      <c r="O451" s="1405"/>
      <c r="P451" s="1405"/>
      <c r="Q451" s="1405"/>
      <c r="R451" s="1405"/>
      <c r="S451" s="1405"/>
      <c r="T451" s="1405"/>
      <c r="U451" s="1405"/>
      <c r="V451" s="1550"/>
      <c r="W451" s="1405">
        <f t="shared" si="790"/>
        <v>-5.7489878542510091</v>
      </c>
      <c r="X451" s="1405">
        <f t="shared" si="790"/>
        <v>-8.0240549828178747</v>
      </c>
      <c r="Y451" s="1405"/>
      <c r="Z451" s="1405"/>
      <c r="AA451" s="1405"/>
      <c r="AB451" s="1405"/>
      <c r="AC451" s="1405"/>
      <c r="AD451" s="1405"/>
      <c r="AE451" s="1405"/>
      <c r="AF451" s="1405"/>
      <c r="AG451" s="1405"/>
      <c r="AH451" s="1953"/>
      <c r="AI451" s="1405"/>
      <c r="AJ451" s="1953"/>
      <c r="AK451" s="1408"/>
      <c r="AL451" s="1405"/>
      <c r="AM451" s="1405"/>
      <c r="AN451" s="1405"/>
      <c r="AO451" s="1405"/>
      <c r="AP451" s="1405"/>
      <c r="AQ451" s="1405"/>
      <c r="AR451" s="1405"/>
      <c r="AS451" s="1405"/>
      <c r="AT451" s="1405"/>
      <c r="AU451" s="1405"/>
      <c r="AV451" s="1405"/>
      <c r="AW451" s="1405"/>
      <c r="AX451" s="1405"/>
      <c r="AY451" s="1405"/>
      <c r="AZ451" s="1405"/>
      <c r="BA451" s="1405"/>
      <c r="BB451" s="1405"/>
      <c r="BC451" s="1405"/>
      <c r="BD451" s="1405"/>
      <c r="BE451" s="1405"/>
      <c r="BF451" s="1405"/>
      <c r="BG451" s="1405"/>
      <c r="BH451" s="1405"/>
      <c r="BI451" s="1405"/>
      <c r="BJ451" s="1405"/>
      <c r="BK451" s="1405"/>
      <c r="BL451" s="1405"/>
      <c r="BM451" s="1405"/>
    </row>
    <row r="452" spans="1:65" hidden="1" outlineLevel="1">
      <c r="A452" s="1402"/>
      <c r="B452" s="1350"/>
      <c r="C452" s="1341" t="s">
        <v>430</v>
      </c>
      <c r="D452" s="1402"/>
      <c r="E452" s="1402"/>
      <c r="F452" s="1402"/>
      <c r="G452" s="1402"/>
      <c r="H452" s="1402"/>
      <c r="I452" s="1402"/>
      <c r="J452" s="1341"/>
      <c r="K452" s="1341"/>
      <c r="L452" s="1405"/>
      <c r="M452" s="1405"/>
      <c r="N452" s="1405"/>
      <c r="O452" s="1405"/>
      <c r="P452" s="1405"/>
      <c r="Q452" s="1405"/>
      <c r="R452" s="1405"/>
      <c r="S452" s="1405"/>
      <c r="T452" s="1405"/>
      <c r="U452" s="1405"/>
      <c r="V452" s="1550"/>
      <c r="W452" s="1405">
        <f t="shared" si="790"/>
        <v>2.8304149676181334</v>
      </c>
      <c r="X452" s="1405">
        <f t="shared" si="790"/>
        <v>-15.861908094238398</v>
      </c>
      <c r="Y452" s="1405"/>
      <c r="Z452" s="1405"/>
      <c r="AA452" s="1405"/>
      <c r="AB452" s="1405"/>
      <c r="AC452" s="1405"/>
      <c r="AD452" s="1405"/>
      <c r="AE452" s="1405"/>
      <c r="AF452" s="1405"/>
      <c r="AG452" s="1405"/>
      <c r="AH452" s="1953"/>
      <c r="AI452" s="1405"/>
      <c r="AJ452" s="1953"/>
      <c r="AK452" s="1408"/>
      <c r="AL452" s="1405"/>
      <c r="AM452" s="1405"/>
      <c r="AN452" s="1405"/>
      <c r="AO452" s="1405"/>
      <c r="AP452" s="1405"/>
      <c r="AQ452" s="1405"/>
      <c r="AR452" s="1405"/>
      <c r="AS452" s="1405"/>
      <c r="AT452" s="1405"/>
      <c r="AU452" s="1405"/>
      <c r="AV452" s="1405"/>
      <c r="AW452" s="1405"/>
      <c r="AX452" s="1405"/>
      <c r="AY452" s="1405"/>
      <c r="AZ452" s="1405"/>
      <c r="BA452" s="1405"/>
      <c r="BB452" s="1405"/>
      <c r="BC452" s="1405"/>
      <c r="BD452" s="1405"/>
      <c r="BE452" s="1405"/>
      <c r="BF452" s="1405"/>
      <c r="BG452" s="1405"/>
      <c r="BH452" s="1405"/>
      <c r="BI452" s="1405"/>
      <c r="BJ452" s="1405"/>
      <c r="BK452" s="1405"/>
      <c r="BL452" s="1405"/>
      <c r="BM452" s="1405"/>
    </row>
    <row r="453" spans="1:65" hidden="1" outlineLevel="1">
      <c r="A453" s="1402"/>
      <c r="B453" s="1350"/>
      <c r="C453" s="1341" t="s">
        <v>429</v>
      </c>
      <c r="D453" s="1402"/>
      <c r="E453" s="1402"/>
      <c r="F453" s="1402"/>
      <c r="G453" s="1402"/>
      <c r="H453" s="1402"/>
      <c r="I453" s="1402"/>
      <c r="J453" s="1341"/>
      <c r="K453" s="1341"/>
      <c r="L453" s="1405"/>
      <c r="M453" s="1405"/>
      <c r="N453" s="1405"/>
      <c r="O453" s="1405"/>
      <c r="P453" s="1405"/>
      <c r="Q453" s="1405"/>
      <c r="R453" s="1405"/>
      <c r="S453" s="1405"/>
      <c r="T453" s="1405"/>
      <c r="U453" s="1405"/>
      <c r="V453" s="1550"/>
      <c r="W453" s="1405">
        <f t="shared" si="790"/>
        <v>-14.756671899529039</v>
      </c>
      <c r="X453" s="1405">
        <f t="shared" si="790"/>
        <v>6.4456721915285398</v>
      </c>
      <c r="Y453" s="1405"/>
      <c r="Z453" s="1405"/>
      <c r="AA453" s="1405"/>
      <c r="AB453" s="1405"/>
      <c r="AC453" s="1405"/>
      <c r="AD453" s="1405"/>
      <c r="AE453" s="1405"/>
      <c r="AF453" s="1405"/>
      <c r="AG453" s="1405"/>
      <c r="AH453" s="1953"/>
      <c r="AI453" s="1405"/>
      <c r="AJ453" s="1953"/>
      <c r="AK453" s="1408"/>
      <c r="AL453" s="1405"/>
      <c r="AM453" s="1405"/>
      <c r="AN453" s="1405"/>
      <c r="AO453" s="1405"/>
      <c r="AP453" s="1405"/>
      <c r="AQ453" s="1405"/>
      <c r="AR453" s="1405"/>
      <c r="AS453" s="1405"/>
      <c r="AT453" s="1405"/>
      <c r="AU453" s="1405"/>
      <c r="AV453" s="1405"/>
      <c r="AW453" s="1405"/>
      <c r="AX453" s="1405"/>
      <c r="AY453" s="1405"/>
      <c r="AZ453" s="1405"/>
      <c r="BA453" s="1405"/>
      <c r="BB453" s="1405"/>
      <c r="BC453" s="1405"/>
      <c r="BD453" s="1405"/>
      <c r="BE453" s="1405"/>
      <c r="BF453" s="1405"/>
      <c r="BG453" s="1405"/>
      <c r="BH453" s="1405"/>
      <c r="BI453" s="1405"/>
      <c r="BJ453" s="1405"/>
      <c r="BK453" s="1405"/>
      <c r="BL453" s="1405"/>
      <c r="BM453" s="1405"/>
    </row>
    <row r="454" spans="1:65" hidden="1" outlineLevel="1">
      <c r="A454" s="1402"/>
      <c r="B454" s="1350"/>
      <c r="C454" s="1341" t="s">
        <v>428</v>
      </c>
      <c r="D454" s="1402"/>
      <c r="E454" s="1402"/>
      <c r="F454" s="1402"/>
      <c r="G454" s="1402"/>
      <c r="H454" s="1402"/>
      <c r="I454" s="1402"/>
      <c r="J454" s="1341"/>
      <c r="K454" s="1341"/>
      <c r="L454" s="1405"/>
      <c r="M454" s="1405"/>
      <c r="N454" s="1405"/>
      <c r="O454" s="1405"/>
      <c r="P454" s="1405"/>
      <c r="Q454" s="1405"/>
      <c r="R454" s="1405"/>
      <c r="S454" s="1405"/>
      <c r="T454" s="1405"/>
      <c r="U454" s="1405"/>
      <c r="V454" s="1550"/>
      <c r="W454" s="1405">
        <f t="shared" si="790"/>
        <v>-37.641723356009074</v>
      </c>
      <c r="X454" s="1405">
        <f t="shared" si="790"/>
        <v>109.45454545454547</v>
      </c>
      <c r="Y454" s="1405"/>
      <c r="Z454" s="1405"/>
      <c r="AA454" s="1405"/>
      <c r="AB454" s="1405"/>
      <c r="AC454" s="1405"/>
      <c r="AD454" s="1405"/>
      <c r="AE454" s="1405"/>
      <c r="AF454" s="1405"/>
      <c r="AG454" s="1405"/>
      <c r="AH454" s="1953"/>
      <c r="AI454" s="1405"/>
      <c r="AJ454" s="1953"/>
      <c r="AK454" s="1408"/>
      <c r="AL454" s="1405"/>
      <c r="AM454" s="1405"/>
      <c r="AN454" s="1405"/>
      <c r="AO454" s="1405"/>
      <c r="AP454" s="1405"/>
      <c r="AQ454" s="1405"/>
      <c r="AR454" s="1405"/>
      <c r="AS454" s="1405"/>
      <c r="AT454" s="1405"/>
      <c r="AU454" s="1405"/>
      <c r="AV454" s="1405"/>
      <c r="AW454" s="1405"/>
      <c r="AX454" s="1405"/>
      <c r="AY454" s="1405"/>
      <c r="AZ454" s="1405"/>
      <c r="BA454" s="1405"/>
      <c r="BB454" s="1405"/>
      <c r="BC454" s="1405"/>
      <c r="BD454" s="1405"/>
      <c r="BE454" s="1405"/>
      <c r="BF454" s="1405"/>
      <c r="BG454" s="1405"/>
      <c r="BH454" s="1405"/>
      <c r="BI454" s="1405"/>
      <c r="BJ454" s="1405"/>
      <c r="BK454" s="1405"/>
      <c r="BL454" s="1405"/>
      <c r="BM454" s="1405"/>
    </row>
    <row r="455" spans="1:65" hidden="1" outlineLevel="1">
      <c r="A455" s="1402"/>
      <c r="B455" s="1485"/>
      <c r="C455" s="1484" t="s">
        <v>167</v>
      </c>
      <c r="D455" s="1548"/>
      <c r="E455" s="1548"/>
      <c r="F455" s="1548"/>
      <c r="G455" s="1548"/>
      <c r="H455" s="1548"/>
      <c r="I455" s="1548"/>
      <c r="J455" s="1484"/>
      <c r="K455" s="1484"/>
      <c r="L455" s="1437"/>
      <c r="M455" s="1437"/>
      <c r="N455" s="1437"/>
      <c r="O455" s="1437"/>
      <c r="P455" s="1437"/>
      <c r="Q455" s="1437"/>
      <c r="R455" s="1437"/>
      <c r="S455" s="1437"/>
      <c r="T455" s="1437"/>
      <c r="U455" s="1437"/>
      <c r="V455" s="1551"/>
      <c r="W455" s="1437">
        <f t="shared" si="790"/>
        <v>-11.812179016874547</v>
      </c>
      <c r="X455" s="1437">
        <f t="shared" si="790"/>
        <v>21.464226289517473</v>
      </c>
      <c r="Y455" s="1437"/>
      <c r="Z455" s="1437"/>
      <c r="AA455" s="1437"/>
      <c r="AB455" s="1437"/>
      <c r="AC455" s="1437"/>
      <c r="AD455" s="1437"/>
      <c r="AE455" s="1437"/>
      <c r="AF455" s="1437"/>
      <c r="AG455" s="1437"/>
      <c r="AH455" s="1977"/>
      <c r="AI455" s="1437"/>
      <c r="AJ455" s="1977"/>
      <c r="AK455" s="1549"/>
      <c r="AL455" s="1437"/>
      <c r="AM455" s="1437"/>
      <c r="AN455" s="1437"/>
      <c r="AO455" s="1437"/>
      <c r="AP455" s="1437"/>
      <c r="AQ455" s="1405"/>
      <c r="AR455" s="1405"/>
      <c r="AS455" s="1405"/>
      <c r="AT455" s="1405"/>
      <c r="AU455" s="1405"/>
      <c r="AV455" s="1405"/>
      <c r="AW455" s="1405"/>
      <c r="AX455" s="1405"/>
      <c r="AY455" s="1405"/>
      <c r="AZ455" s="1405"/>
      <c r="BA455" s="1405"/>
      <c r="BB455" s="1405"/>
      <c r="BC455" s="1405"/>
      <c r="BD455" s="1405"/>
      <c r="BE455" s="1405"/>
      <c r="BF455" s="1405"/>
      <c r="BG455" s="1405"/>
      <c r="BH455" s="1405"/>
      <c r="BI455" s="1405"/>
      <c r="BJ455" s="1405"/>
      <c r="BK455" s="1405"/>
      <c r="BL455" s="1405"/>
      <c r="BM455" s="1405"/>
    </row>
    <row r="456" spans="1:65" hidden="1" outlineLevel="1">
      <c r="A456" s="1402"/>
      <c r="B456" s="1350"/>
      <c r="C456" s="1341" t="s">
        <v>427</v>
      </c>
      <c r="D456" s="1402"/>
      <c r="E456" s="1402"/>
      <c r="F456" s="1402"/>
      <c r="G456" s="1402"/>
      <c r="H456" s="1402"/>
      <c r="I456" s="1402"/>
      <c r="J456" s="1341"/>
      <c r="K456" s="1341"/>
      <c r="L456" s="1405"/>
      <c r="M456" s="1405"/>
      <c r="N456" s="1405"/>
      <c r="O456" s="1405"/>
      <c r="P456" s="1405"/>
      <c r="Q456" s="1405"/>
      <c r="R456" s="1405"/>
      <c r="S456" s="1405"/>
      <c r="T456" s="1405"/>
      <c r="U456" s="1405"/>
      <c r="V456" s="1550"/>
      <c r="W456" s="1405">
        <f>(W428/V428-1)*100</f>
        <v>-17.068860255133188</v>
      </c>
      <c r="X456" s="1405">
        <f>(X428/W428-1)*100</f>
        <v>-1.1430121275524008</v>
      </c>
      <c r="Y456" s="1405"/>
      <c r="Z456" s="1405"/>
      <c r="AA456" s="1405"/>
      <c r="AB456" s="1405"/>
      <c r="AC456" s="1405"/>
      <c r="AD456" s="1405"/>
      <c r="AE456" s="1405"/>
      <c r="AF456" s="1405"/>
      <c r="AG456" s="1405"/>
      <c r="AH456" s="1953"/>
      <c r="AI456" s="1405"/>
      <c r="AJ456" s="1953"/>
      <c r="AK456" s="1408"/>
      <c r="AL456" s="1405"/>
      <c r="AM456" s="1405"/>
      <c r="AN456" s="1405"/>
      <c r="AO456" s="1405"/>
      <c r="AP456" s="1405"/>
      <c r="AQ456" s="1405"/>
      <c r="AR456" s="1405"/>
      <c r="AS456" s="1405"/>
      <c r="AT456" s="1405"/>
      <c r="AU456" s="1405"/>
      <c r="AV456" s="1405"/>
      <c r="AW456" s="1405"/>
      <c r="AX456" s="1405"/>
      <c r="AY456" s="1405"/>
      <c r="AZ456" s="1405"/>
      <c r="BA456" s="1405"/>
      <c r="BB456" s="1405"/>
      <c r="BC456" s="1405"/>
      <c r="BD456" s="1405"/>
      <c r="BE456" s="1405"/>
      <c r="BF456" s="1405"/>
      <c r="BG456" s="1405"/>
      <c r="BH456" s="1405"/>
      <c r="BI456" s="1405"/>
      <c r="BJ456" s="1405"/>
      <c r="BK456" s="1405"/>
      <c r="BL456" s="1405"/>
      <c r="BM456" s="1405"/>
    </row>
    <row r="457" spans="1:65" hidden="1" outlineLevel="1">
      <c r="A457" s="1402"/>
      <c r="B457" s="1557"/>
      <c r="C457" s="1402"/>
      <c r="D457" s="1402"/>
      <c r="E457" s="1402"/>
      <c r="F457" s="1402"/>
      <c r="G457" s="1402"/>
      <c r="H457" s="1402"/>
      <c r="I457" s="1402"/>
      <c r="J457" s="1402"/>
      <c r="K457" s="1402"/>
      <c r="L457" s="1402"/>
      <c r="M457" s="1402"/>
      <c r="N457" s="1402"/>
      <c r="O457" s="1402"/>
      <c r="P457" s="1402"/>
      <c r="Q457" s="1402"/>
      <c r="R457" s="1402"/>
      <c r="S457" s="1402"/>
      <c r="T457" s="1402"/>
      <c r="U457" s="1402"/>
      <c r="V457" s="1402"/>
      <c r="W457" s="1402"/>
      <c r="X457" s="1402"/>
      <c r="Y457" s="1402"/>
      <c r="Z457" s="1402"/>
      <c r="AA457" s="1402"/>
      <c r="AB457" s="1402"/>
      <c r="AC457" s="1402"/>
      <c r="AD457" s="1402"/>
      <c r="AE457" s="1402"/>
      <c r="AF457" s="1402"/>
      <c r="AG457" s="1402"/>
      <c r="AH457" s="1952"/>
      <c r="AI457" s="1402"/>
      <c r="AJ457" s="1952"/>
      <c r="AK457" s="1554"/>
      <c r="AL457" s="1402"/>
      <c r="AM457" s="1402"/>
      <c r="AN457" s="1402"/>
      <c r="AO457" s="1402"/>
      <c r="AP457" s="1402"/>
      <c r="AQ457" s="1402"/>
      <c r="AR457" s="1402"/>
      <c r="AS457" s="1402"/>
      <c r="AT457" s="1402"/>
      <c r="AU457" s="1402"/>
      <c r="AV457" s="1402"/>
      <c r="AW457" s="1402"/>
      <c r="AX457" s="1402"/>
      <c r="AY457" s="1402"/>
      <c r="AZ457" s="1402"/>
      <c r="BA457" s="1402"/>
      <c r="BB457" s="1402"/>
      <c r="BC457" s="1402"/>
      <c r="BD457" s="1402"/>
      <c r="BE457" s="1402"/>
      <c r="BF457" s="1402"/>
      <c r="BG457" s="1402"/>
      <c r="BH457" s="1402"/>
      <c r="BI457" s="1402"/>
      <c r="BJ457" s="1402"/>
      <c r="BK457" s="1402"/>
      <c r="BL457" s="1402"/>
      <c r="BM457" s="1402"/>
    </row>
    <row r="458" spans="1:65" hidden="1" outlineLevel="1">
      <c r="A458" s="1402"/>
      <c r="B458" s="1557"/>
      <c r="C458" s="1402"/>
      <c r="D458" s="1402"/>
      <c r="E458" s="1402"/>
      <c r="F458" s="1402"/>
      <c r="G458" s="1402"/>
      <c r="H458" s="1402"/>
      <c r="I458" s="1402"/>
      <c r="J458" s="1402"/>
      <c r="K458" s="1402"/>
      <c r="L458" s="1402"/>
      <c r="M458" s="1402"/>
      <c r="N458" s="1402"/>
      <c r="O458" s="1402"/>
      <c r="P458" s="1402"/>
      <c r="Q458" s="1402"/>
      <c r="R458" s="1402"/>
      <c r="S458" s="1402"/>
      <c r="T458" s="1402"/>
      <c r="U458" s="1402"/>
      <c r="V458" s="1402"/>
      <c r="W458" s="1402"/>
      <c r="X458" s="1402"/>
      <c r="Y458" s="1402"/>
      <c r="Z458" s="1402"/>
      <c r="AA458" s="1402"/>
      <c r="AB458" s="1402"/>
      <c r="AC458" s="1402"/>
      <c r="AD458" s="1402"/>
      <c r="AE458" s="1402"/>
      <c r="AF458" s="1402"/>
      <c r="AG458" s="1402"/>
      <c r="AH458" s="1952"/>
      <c r="AI458" s="1402"/>
      <c r="AJ458" s="1952"/>
      <c r="AK458" s="1554"/>
      <c r="AL458" s="1402"/>
      <c r="AM458" s="1402"/>
      <c r="AN458" s="1402"/>
      <c r="AO458" s="1402"/>
      <c r="AP458" s="1402"/>
      <c r="AQ458" s="1402"/>
      <c r="AR458" s="1402"/>
      <c r="AS458" s="1402"/>
      <c r="AT458" s="1402"/>
      <c r="AU458" s="1402"/>
      <c r="AV458" s="1402"/>
      <c r="AW458" s="1402"/>
      <c r="AX458" s="1402"/>
      <c r="AY458" s="1402"/>
      <c r="AZ458" s="1402"/>
      <c r="BA458" s="1402"/>
      <c r="BB458" s="1402"/>
      <c r="BC458" s="1402"/>
      <c r="BD458" s="1402"/>
      <c r="BE458" s="1402"/>
      <c r="BF458" s="1402"/>
      <c r="BG458" s="1402"/>
      <c r="BH458" s="1402"/>
      <c r="BI458" s="1402"/>
      <c r="BJ458" s="1402"/>
      <c r="BK458" s="1402"/>
      <c r="BL458" s="1402"/>
      <c r="BM458" s="1402"/>
    </row>
    <row r="459" spans="1:65" hidden="1" outlineLevel="1">
      <c r="A459" s="1402"/>
      <c r="B459" s="1557"/>
      <c r="C459" s="1402"/>
      <c r="D459" s="1402"/>
      <c r="E459" s="1402"/>
      <c r="F459" s="1402"/>
      <c r="G459" s="1402"/>
      <c r="H459" s="1402"/>
      <c r="I459" s="1402"/>
      <c r="J459" s="1402"/>
      <c r="K459" s="1402"/>
      <c r="L459" s="1402"/>
      <c r="M459" s="1402"/>
      <c r="N459" s="1402"/>
      <c r="O459" s="1402"/>
      <c r="P459" s="1402"/>
      <c r="Q459" s="1402"/>
      <c r="R459" s="1402"/>
      <c r="S459" s="1402"/>
      <c r="T459" s="1402"/>
      <c r="U459" s="1402"/>
      <c r="V459" s="1402"/>
      <c r="W459" s="1402"/>
      <c r="X459" s="1402"/>
      <c r="Y459" s="1402"/>
      <c r="Z459" s="1402"/>
      <c r="AA459" s="1402"/>
      <c r="AB459" s="1402"/>
      <c r="AC459" s="1402"/>
      <c r="AD459" s="1402"/>
      <c r="AE459" s="1402"/>
      <c r="AF459" s="1402"/>
      <c r="AG459" s="1402"/>
      <c r="AH459" s="1952"/>
      <c r="AI459" s="1402"/>
      <c r="AJ459" s="1952"/>
      <c r="AK459" s="1554"/>
      <c r="AL459" s="1402"/>
      <c r="AM459" s="1402"/>
      <c r="AN459" s="1402"/>
      <c r="AO459" s="1402"/>
      <c r="AP459" s="1402"/>
      <c r="AQ459" s="1402"/>
      <c r="AR459" s="1402"/>
      <c r="AS459" s="1402"/>
      <c r="AT459" s="1402"/>
      <c r="AU459" s="1402"/>
      <c r="AV459" s="1402"/>
      <c r="AW459" s="1402"/>
      <c r="AX459" s="1402"/>
      <c r="AY459" s="1402"/>
      <c r="AZ459" s="1402"/>
      <c r="BA459" s="1402"/>
      <c r="BB459" s="1402"/>
      <c r="BC459" s="1402"/>
      <c r="BD459" s="1402"/>
      <c r="BE459" s="1402"/>
      <c r="BF459" s="1402"/>
      <c r="BG459" s="1402"/>
      <c r="BH459" s="1402"/>
      <c r="BI459" s="1402"/>
      <c r="BJ459" s="1402"/>
      <c r="BK459" s="1402"/>
      <c r="BL459" s="1402"/>
      <c r="BM459" s="1402"/>
    </row>
    <row r="460" spans="1:65" hidden="1" outlineLevel="1">
      <c r="A460" s="1402"/>
      <c r="B460" s="1557"/>
      <c r="C460" s="1402"/>
      <c r="D460" s="1402"/>
      <c r="E460" s="1402"/>
      <c r="F460" s="1402"/>
      <c r="G460" s="1402"/>
      <c r="H460" s="1402"/>
      <c r="I460" s="1402"/>
      <c r="J460" s="1402"/>
      <c r="K460" s="1402"/>
      <c r="L460" s="1402"/>
      <c r="M460" s="1402"/>
      <c r="N460" s="1402"/>
      <c r="O460" s="1402"/>
      <c r="P460" s="1402"/>
      <c r="Q460" s="1402"/>
      <c r="R460" s="1402"/>
      <c r="S460" s="1402"/>
      <c r="T460" s="1402"/>
      <c r="U460" s="1402"/>
      <c r="V460" s="1402"/>
      <c r="W460" s="1402"/>
      <c r="X460" s="1402"/>
      <c r="Y460" s="1402"/>
      <c r="Z460" s="1402"/>
      <c r="AA460" s="1402"/>
      <c r="AB460" s="1402"/>
      <c r="AC460" s="1402"/>
      <c r="AD460" s="1402"/>
      <c r="AE460" s="1402"/>
      <c r="AF460" s="1402"/>
      <c r="AG460" s="1402"/>
      <c r="AH460" s="1952"/>
      <c r="AI460" s="1402"/>
      <c r="AJ460" s="1952"/>
      <c r="AK460" s="1554"/>
      <c r="AL460" s="1402"/>
      <c r="AM460" s="1402"/>
      <c r="AN460" s="1402"/>
      <c r="AO460" s="1402"/>
      <c r="AP460" s="1402"/>
      <c r="AQ460" s="1402"/>
      <c r="AR460" s="1402"/>
      <c r="AS460" s="1402"/>
      <c r="AT460" s="1402"/>
      <c r="AU460" s="1402"/>
      <c r="AV460" s="1402"/>
      <c r="AW460" s="1402"/>
      <c r="AX460" s="1402"/>
      <c r="AY460" s="1402"/>
      <c r="AZ460" s="1402"/>
      <c r="BA460" s="1402"/>
      <c r="BB460" s="1402"/>
      <c r="BC460" s="1402"/>
      <c r="BD460" s="1402"/>
      <c r="BE460" s="1402"/>
      <c r="BF460" s="1402"/>
      <c r="BG460" s="1402"/>
      <c r="BH460" s="1402"/>
      <c r="BI460" s="1402"/>
      <c r="BJ460" s="1402"/>
      <c r="BK460" s="1402"/>
      <c r="BL460" s="1402"/>
      <c r="BM460" s="1402"/>
    </row>
    <row r="461" spans="1:65" hidden="1" outlineLevel="1">
      <c r="A461" s="1402"/>
      <c r="B461" s="1557"/>
      <c r="C461" s="1402"/>
      <c r="D461" s="1402"/>
      <c r="E461" s="1402"/>
      <c r="F461" s="1402"/>
      <c r="G461" s="1402"/>
      <c r="H461" s="1402"/>
      <c r="I461" s="1402"/>
      <c r="J461" s="1402"/>
      <c r="K461" s="1402"/>
      <c r="L461" s="1402"/>
      <c r="M461" s="1402"/>
      <c r="N461" s="1402"/>
      <c r="O461" s="1402"/>
      <c r="P461" s="1402"/>
      <c r="Q461" s="1402"/>
      <c r="R461" s="1402"/>
      <c r="S461" s="1402"/>
      <c r="T461" s="1402"/>
      <c r="U461" s="1402"/>
      <c r="V461" s="1402"/>
      <c r="W461" s="1402"/>
      <c r="X461" s="1402"/>
      <c r="Y461" s="1402"/>
      <c r="Z461" s="1402"/>
      <c r="AA461" s="1402"/>
      <c r="AB461" s="1402"/>
      <c r="AC461" s="1402"/>
      <c r="AD461" s="1402"/>
      <c r="AE461" s="1402"/>
      <c r="AF461" s="1402"/>
      <c r="AG461" s="1402"/>
      <c r="AH461" s="1952"/>
      <c r="AI461" s="1402"/>
      <c r="AJ461" s="1952"/>
      <c r="AK461" s="1554"/>
      <c r="AL461" s="1402"/>
      <c r="AM461" s="1402"/>
      <c r="AN461" s="1402"/>
      <c r="AO461" s="1402"/>
      <c r="AP461" s="1402"/>
      <c r="AQ461" s="1402"/>
      <c r="AR461" s="1402"/>
      <c r="AS461" s="1402"/>
      <c r="AT461" s="1402"/>
      <c r="AU461" s="1402"/>
      <c r="AV461" s="1402"/>
      <c r="AW461" s="1402"/>
      <c r="AX461" s="1402"/>
      <c r="AY461" s="1402"/>
      <c r="AZ461" s="1402"/>
      <c r="BA461" s="1402"/>
      <c r="BB461" s="1402"/>
      <c r="BC461" s="1402"/>
      <c r="BD461" s="1402"/>
      <c r="BE461" s="1402"/>
      <c r="BF461" s="1402"/>
      <c r="BG461" s="1402"/>
      <c r="BH461" s="1402"/>
      <c r="BI461" s="1402"/>
      <c r="BJ461" s="1402"/>
      <c r="BK461" s="1402"/>
      <c r="BL461" s="1402"/>
      <c r="BM461" s="1402"/>
    </row>
    <row r="462" spans="1:65" hidden="1" outlineLevel="1">
      <c r="A462" s="1402"/>
      <c r="B462" s="1557"/>
      <c r="C462" s="1402"/>
      <c r="D462" s="1402"/>
      <c r="E462" s="1402"/>
      <c r="F462" s="1402"/>
      <c r="G462" s="1402"/>
      <c r="H462" s="1402"/>
      <c r="I462" s="1402"/>
      <c r="J462" s="1402"/>
      <c r="K462" s="1402"/>
      <c r="L462" s="1402"/>
      <c r="M462" s="1402"/>
      <c r="N462" s="1402"/>
      <c r="O462" s="1402"/>
      <c r="P462" s="1402"/>
      <c r="Q462" s="1402"/>
      <c r="R462" s="1402"/>
      <c r="S462" s="1402"/>
      <c r="T462" s="1402"/>
      <c r="U462" s="1402"/>
      <c r="V462" s="1402"/>
      <c r="W462" s="1402"/>
      <c r="X462" s="1402"/>
      <c r="Y462" s="1402"/>
      <c r="Z462" s="1402"/>
      <c r="AA462" s="1402"/>
      <c r="AB462" s="1402"/>
      <c r="AC462" s="1402"/>
      <c r="AD462" s="1402"/>
      <c r="AE462" s="1402"/>
      <c r="AF462" s="1402"/>
      <c r="AG462" s="1402"/>
      <c r="AH462" s="1952"/>
      <c r="AI462" s="1402"/>
      <c r="AJ462" s="1952"/>
      <c r="AK462" s="1554"/>
      <c r="AL462" s="1402"/>
      <c r="AM462" s="1402"/>
      <c r="AN462" s="1402"/>
      <c r="AO462" s="1402"/>
      <c r="AP462" s="1402"/>
      <c r="AQ462" s="1402"/>
      <c r="AR462" s="1402"/>
      <c r="AS462" s="1402"/>
      <c r="AT462" s="1402"/>
      <c r="AU462" s="1402"/>
      <c r="AV462" s="1402"/>
      <c r="AW462" s="1402"/>
      <c r="AX462" s="1402"/>
      <c r="AY462" s="1402"/>
      <c r="AZ462" s="1402"/>
      <c r="BA462" s="1402"/>
      <c r="BB462" s="1402"/>
      <c r="BC462" s="1402"/>
      <c r="BD462" s="1402"/>
      <c r="BE462" s="1402"/>
      <c r="BF462" s="1402"/>
      <c r="BG462" s="1402"/>
      <c r="BH462" s="1402"/>
      <c r="BI462" s="1402"/>
      <c r="BJ462" s="1402"/>
      <c r="BK462" s="1402"/>
      <c r="BL462" s="1402"/>
      <c r="BM462" s="1402"/>
    </row>
    <row r="463" spans="1:65" hidden="1" outlineLevel="1">
      <c r="A463" s="1402"/>
      <c r="B463" s="1557"/>
      <c r="C463" s="1402"/>
      <c r="D463" s="1402"/>
      <c r="E463" s="1402"/>
      <c r="F463" s="1402"/>
      <c r="G463" s="1402"/>
      <c r="H463" s="1402"/>
      <c r="I463" s="1402"/>
      <c r="J463" s="1402"/>
      <c r="K463" s="1402"/>
      <c r="L463" s="1402"/>
      <c r="M463" s="1402"/>
      <c r="N463" s="1402"/>
      <c r="O463" s="1402"/>
      <c r="P463" s="1402"/>
      <c r="Q463" s="1402"/>
      <c r="R463" s="1402"/>
      <c r="S463" s="1402"/>
      <c r="T463" s="1402"/>
      <c r="U463" s="1402"/>
      <c r="V463" s="1402"/>
      <c r="W463" s="1402"/>
      <c r="X463" s="1402"/>
      <c r="Y463" s="1402"/>
      <c r="Z463" s="1402"/>
      <c r="AA463" s="1402"/>
      <c r="AB463" s="1402"/>
      <c r="AC463" s="1402"/>
      <c r="AD463" s="1402"/>
      <c r="AE463" s="1402"/>
      <c r="AF463" s="1402"/>
      <c r="AG463" s="1402"/>
      <c r="AH463" s="1952"/>
      <c r="AI463" s="1402"/>
      <c r="AJ463" s="1952"/>
      <c r="AK463" s="1554"/>
      <c r="AL463" s="1402"/>
      <c r="AM463" s="1402"/>
      <c r="AN463" s="1402"/>
      <c r="AO463" s="1402"/>
      <c r="AP463" s="1402"/>
      <c r="AQ463" s="1402"/>
      <c r="AR463" s="1402"/>
      <c r="AS463" s="1402"/>
      <c r="AT463" s="1402"/>
      <c r="AU463" s="1402"/>
      <c r="AV463" s="1402"/>
      <c r="AW463" s="1402"/>
      <c r="AX463" s="1402"/>
      <c r="AY463" s="1402"/>
      <c r="AZ463" s="1402"/>
      <c r="BA463" s="1402"/>
      <c r="BB463" s="1402"/>
      <c r="BC463" s="1402"/>
      <c r="BD463" s="1402"/>
      <c r="BE463" s="1402"/>
      <c r="BF463" s="1402"/>
      <c r="BG463" s="1402"/>
      <c r="BH463" s="1402"/>
      <c r="BI463" s="1402"/>
      <c r="BJ463" s="1402"/>
      <c r="BK463" s="1402"/>
      <c r="BL463" s="1402"/>
      <c r="BM463" s="1402"/>
    </row>
    <row r="464" spans="1:65" hidden="1" outlineLevel="1">
      <c r="A464" s="1402"/>
      <c r="B464" s="1557"/>
      <c r="C464" s="1402"/>
      <c r="D464" s="1402"/>
      <c r="E464" s="1402"/>
      <c r="F464" s="1402"/>
      <c r="G464" s="1402"/>
      <c r="H464" s="1402"/>
      <c r="I464" s="1402"/>
      <c r="J464" s="1402"/>
      <c r="K464" s="1402"/>
      <c r="L464" s="1402"/>
      <c r="M464" s="1402"/>
      <c r="N464" s="1402"/>
      <c r="O464" s="1402"/>
      <c r="P464" s="1402"/>
      <c r="Q464" s="1402"/>
      <c r="R464" s="1402"/>
      <c r="S464" s="1402"/>
      <c r="T464" s="1402"/>
      <c r="U464" s="1402"/>
      <c r="V464" s="1402"/>
      <c r="W464" s="1402"/>
      <c r="X464" s="1402"/>
      <c r="Y464" s="1402"/>
      <c r="Z464" s="1402"/>
      <c r="AA464" s="1402"/>
      <c r="AB464" s="1402"/>
      <c r="AC464" s="1402"/>
      <c r="AD464" s="1402"/>
      <c r="AE464" s="1402"/>
      <c r="AF464" s="1402"/>
      <c r="AG464" s="1402"/>
      <c r="AH464" s="1952"/>
      <c r="AI464" s="1402"/>
      <c r="AJ464" s="1952"/>
      <c r="AK464" s="1554"/>
      <c r="AL464" s="1402"/>
      <c r="AM464" s="1402"/>
      <c r="AN464" s="1402"/>
      <c r="AO464" s="1402"/>
      <c r="AP464" s="1402"/>
      <c r="AQ464" s="1402"/>
      <c r="AR464" s="1402"/>
      <c r="AS464" s="1402"/>
      <c r="AT464" s="1402"/>
      <c r="AU464" s="1402"/>
      <c r="AV464" s="1402"/>
      <c r="AW464" s="1402"/>
      <c r="AX464" s="1402"/>
      <c r="AY464" s="1402"/>
      <c r="AZ464" s="1402"/>
      <c r="BA464" s="1402"/>
      <c r="BB464" s="1402"/>
      <c r="BC464" s="1402"/>
      <c r="BD464" s="1402"/>
      <c r="BE464" s="1402"/>
      <c r="BF464" s="1402"/>
      <c r="BG464" s="1402"/>
      <c r="BH464" s="1402"/>
      <c r="BI464" s="1402"/>
      <c r="BJ464" s="1402"/>
      <c r="BK464" s="1402"/>
      <c r="BL464" s="1402"/>
      <c r="BM464" s="1402"/>
    </row>
    <row r="465" spans="1:65" hidden="1" outlineLevel="1">
      <c r="A465" s="1402"/>
      <c r="B465" s="1557"/>
      <c r="C465" s="1402"/>
      <c r="D465" s="1402"/>
      <c r="E465" s="1402"/>
      <c r="F465" s="1402"/>
      <c r="G465" s="1402"/>
      <c r="H465" s="1402"/>
      <c r="I465" s="1402"/>
      <c r="J465" s="1402"/>
      <c r="K465" s="1402"/>
      <c r="L465" s="1402"/>
      <c r="M465" s="1402"/>
      <c r="N465" s="1402"/>
      <c r="O465" s="1402"/>
      <c r="P465" s="1402"/>
      <c r="Q465" s="1402"/>
      <c r="R465" s="1402"/>
      <c r="S465" s="1402"/>
      <c r="T465" s="1402"/>
      <c r="U465" s="1402"/>
      <c r="V465" s="1402"/>
      <c r="W465" s="1402"/>
      <c r="X465" s="1402"/>
      <c r="Y465" s="1402"/>
      <c r="Z465" s="1402"/>
      <c r="AA465" s="1402"/>
      <c r="AB465" s="1402"/>
      <c r="AC465" s="1402"/>
      <c r="AD465" s="1402"/>
      <c r="AE465" s="1402"/>
      <c r="AF465" s="1402"/>
      <c r="AG465" s="1402"/>
      <c r="AH465" s="1952"/>
      <c r="AI465" s="1402"/>
      <c r="AJ465" s="1952"/>
      <c r="AK465" s="1554"/>
      <c r="AL465" s="1402"/>
      <c r="AM465" s="1402"/>
      <c r="AN465" s="1402"/>
      <c r="AO465" s="1402"/>
      <c r="AP465" s="1402"/>
      <c r="AQ465" s="1402"/>
      <c r="AR465" s="1402"/>
      <c r="AS465" s="1402"/>
      <c r="AT465" s="1402"/>
      <c r="AU465" s="1402"/>
      <c r="AV465" s="1402"/>
      <c r="AW465" s="1402"/>
      <c r="AX465" s="1402"/>
      <c r="AY465" s="1402"/>
      <c r="AZ465" s="1402"/>
      <c r="BA465" s="1402"/>
      <c r="BB465" s="1402"/>
      <c r="BC465" s="1402"/>
      <c r="BD465" s="1402"/>
      <c r="BE465" s="1402"/>
      <c r="BF465" s="1402"/>
      <c r="BG465" s="1402"/>
      <c r="BH465" s="1402"/>
      <c r="BI465" s="1402"/>
      <c r="BJ465" s="1402"/>
      <c r="BK465" s="1402"/>
      <c r="BL465" s="1402"/>
      <c r="BM465" s="1402"/>
    </row>
    <row r="466" spans="1:65" hidden="1" outlineLevel="1">
      <c r="A466" s="1402"/>
      <c r="B466" s="1557"/>
      <c r="C466" s="1402"/>
      <c r="D466" s="1402"/>
      <c r="E466" s="1402"/>
      <c r="F466" s="1402"/>
      <c r="G466" s="1402"/>
      <c r="H466" s="1402"/>
      <c r="I466" s="1402"/>
      <c r="J466" s="1402"/>
      <c r="K466" s="1402"/>
      <c r="L466" s="1402"/>
      <c r="M466" s="1402"/>
      <c r="N466" s="1402"/>
      <c r="O466" s="1402"/>
      <c r="P466" s="1402"/>
      <c r="Q466" s="1402"/>
      <c r="R466" s="1402"/>
      <c r="S466" s="1402"/>
      <c r="T466" s="1402"/>
      <c r="U466" s="1402"/>
      <c r="V466" s="1402"/>
      <c r="W466" s="1402"/>
      <c r="X466" s="1402"/>
      <c r="Y466" s="1402"/>
      <c r="Z466" s="1402"/>
      <c r="AA466" s="1402"/>
      <c r="AB466" s="1402"/>
      <c r="AC466" s="1402"/>
      <c r="AD466" s="1402"/>
      <c r="AE466" s="1402"/>
      <c r="AF466" s="1402"/>
      <c r="AG466" s="1402"/>
      <c r="AH466" s="1952"/>
      <c r="AI466" s="1402"/>
      <c r="AJ466" s="1952"/>
      <c r="AK466" s="1554"/>
      <c r="AL466" s="1402"/>
      <c r="AM466" s="1402"/>
      <c r="AN466" s="1402"/>
      <c r="AO466" s="1402"/>
      <c r="AP466" s="1402"/>
      <c r="AQ466" s="1402"/>
      <c r="AR466" s="1402"/>
      <c r="AS466" s="1402"/>
      <c r="AT466" s="1402"/>
      <c r="AU466" s="1402"/>
      <c r="AV466" s="1402"/>
      <c r="AW466" s="1402"/>
      <c r="AX466" s="1402"/>
      <c r="AY466" s="1402"/>
      <c r="AZ466" s="1402"/>
      <c r="BA466" s="1402"/>
      <c r="BB466" s="1402"/>
      <c r="BC466" s="1402"/>
      <c r="BD466" s="1402"/>
      <c r="BE466" s="1402"/>
      <c r="BF466" s="1402"/>
      <c r="BG466" s="1402"/>
      <c r="BH466" s="1402"/>
      <c r="BI466" s="1402"/>
      <c r="BJ466" s="1402"/>
      <c r="BK466" s="1402"/>
      <c r="BL466" s="1402"/>
      <c r="BM466" s="1402"/>
    </row>
    <row r="467" spans="1:65" hidden="1" outlineLevel="1">
      <c r="A467" s="1402"/>
      <c r="B467" s="1557"/>
      <c r="C467" s="1402"/>
      <c r="D467" s="1402"/>
      <c r="E467" s="1402"/>
      <c r="F467" s="1402"/>
      <c r="G467" s="1402"/>
      <c r="H467" s="1402"/>
      <c r="I467" s="1402"/>
      <c r="J467" s="1402"/>
      <c r="K467" s="1402"/>
      <c r="L467" s="1402"/>
      <c r="M467" s="1402"/>
      <c r="N467" s="1402"/>
      <c r="O467" s="1402"/>
      <c r="P467" s="1402"/>
      <c r="Q467" s="1402"/>
      <c r="R467" s="1402"/>
      <c r="S467" s="1402"/>
      <c r="T467" s="1402"/>
      <c r="U467" s="1402"/>
      <c r="V467" s="1402"/>
      <c r="W467" s="1402"/>
      <c r="X467" s="1402"/>
      <c r="Y467" s="1402"/>
      <c r="Z467" s="1402"/>
      <c r="AA467" s="1402"/>
      <c r="AB467" s="1402"/>
      <c r="AC467" s="1402"/>
      <c r="AD467" s="1402"/>
      <c r="AE467" s="1402"/>
      <c r="AF467" s="1402"/>
      <c r="AG467" s="1402"/>
      <c r="AH467" s="1952"/>
      <c r="AI467" s="1402"/>
      <c r="AJ467" s="1952"/>
      <c r="AK467" s="1554"/>
      <c r="AL467" s="1402"/>
      <c r="AM467" s="1402"/>
      <c r="AN467" s="1402"/>
      <c r="AO467" s="1402"/>
      <c r="AP467" s="1402"/>
      <c r="AQ467" s="1402"/>
      <c r="AR467" s="1402"/>
      <c r="AS467" s="1402"/>
      <c r="AT467" s="1402"/>
      <c r="AU467" s="1402"/>
      <c r="AV467" s="1402"/>
      <c r="AW467" s="1402"/>
      <c r="AX467" s="1402"/>
      <c r="AY467" s="1402"/>
      <c r="AZ467" s="1402"/>
      <c r="BA467" s="1402"/>
      <c r="BB467" s="1402"/>
      <c r="BC467" s="1402"/>
      <c r="BD467" s="1402"/>
      <c r="BE467" s="1402"/>
      <c r="BF467" s="1402"/>
      <c r="BG467" s="1402"/>
      <c r="BH467" s="1402"/>
      <c r="BI467" s="1402"/>
      <c r="BJ467" s="1402"/>
      <c r="BK467" s="1402"/>
      <c r="BL467" s="1402"/>
      <c r="BM467" s="1402"/>
    </row>
    <row r="468" spans="1:65" hidden="1" outlineLevel="1">
      <c r="A468" s="1402"/>
      <c r="B468" s="1557"/>
      <c r="C468" s="1402"/>
      <c r="D468" s="1402"/>
      <c r="E468" s="1402"/>
      <c r="F468" s="1402"/>
      <c r="G468" s="1402"/>
      <c r="H468" s="1402"/>
      <c r="I468" s="1402"/>
      <c r="J468" s="1402"/>
      <c r="K468" s="1402"/>
      <c r="L468" s="1402"/>
      <c r="M468" s="1402"/>
      <c r="N468" s="1402"/>
      <c r="O468" s="1402"/>
      <c r="P468" s="1402"/>
      <c r="Q468" s="1402"/>
      <c r="R468" s="1402"/>
      <c r="S468" s="1402"/>
      <c r="T468" s="1402"/>
      <c r="U468" s="1402"/>
      <c r="V468" s="1402"/>
      <c r="W468" s="1402"/>
      <c r="X468" s="1402"/>
      <c r="Y468" s="1402"/>
      <c r="Z468" s="1402"/>
      <c r="AA468" s="1402"/>
      <c r="AB468" s="1402"/>
      <c r="AC468" s="1402"/>
      <c r="AD468" s="1402"/>
      <c r="AE468" s="1402"/>
      <c r="AF468" s="1402"/>
      <c r="AG468" s="1402"/>
      <c r="AH468" s="1952"/>
      <c r="AI468" s="1402"/>
      <c r="AJ468" s="1952"/>
      <c r="AK468" s="1554"/>
      <c r="AL468" s="1402"/>
      <c r="AM468" s="1402"/>
      <c r="AN468" s="1402"/>
      <c r="AO468" s="1402"/>
      <c r="AP468" s="1402"/>
      <c r="AQ468" s="1402"/>
      <c r="AR468" s="1402"/>
      <c r="AS468" s="1402"/>
      <c r="AT468" s="1402"/>
      <c r="AU468" s="1402"/>
      <c r="AV468" s="1402"/>
      <c r="AW468" s="1402"/>
      <c r="AX468" s="1402"/>
      <c r="AY468" s="1402"/>
      <c r="AZ468" s="1402"/>
      <c r="BA468" s="1402"/>
      <c r="BB468" s="1402"/>
      <c r="BC468" s="1402"/>
      <c r="BD468" s="1402"/>
      <c r="BE468" s="1402"/>
      <c r="BF468" s="1402"/>
      <c r="BG468" s="1402"/>
      <c r="BH468" s="1402"/>
      <c r="BI468" s="1402"/>
      <c r="BJ468" s="1402"/>
      <c r="BK468" s="1402"/>
      <c r="BL468" s="1402"/>
      <c r="BM468" s="1402"/>
    </row>
    <row r="469" spans="1:65" hidden="1" outlineLevel="1">
      <c r="B469" s="1338"/>
    </row>
    <row r="470" spans="1:65" hidden="1" outlineLevel="1">
      <c r="B470" s="1338"/>
    </row>
    <row r="471" spans="1:65" hidden="1" outlineLevel="1">
      <c r="B471" s="1558"/>
      <c r="C471" s="1559" t="s">
        <v>426</v>
      </c>
      <c r="D471" s="1559"/>
      <c r="E471" s="1559"/>
      <c r="F471" s="1559"/>
      <c r="G471" s="1559"/>
      <c r="H471" s="1560">
        <v>1380</v>
      </c>
      <c r="I471" s="1560">
        <v>1490</v>
      </c>
      <c r="J471" s="1560">
        <v>1300</v>
      </c>
      <c r="K471" s="1560">
        <v>1065</v>
      </c>
      <c r="L471" s="1560">
        <v>1348</v>
      </c>
      <c r="M471" s="1560">
        <v>1045</v>
      </c>
      <c r="N471" s="1560">
        <v>1333</v>
      </c>
      <c r="O471" s="1560">
        <v>1260</v>
      </c>
      <c r="P471" s="1560">
        <v>1414</v>
      </c>
      <c r="Q471" s="1560">
        <v>1777</v>
      </c>
      <c r="R471" s="1560">
        <v>2150</v>
      </c>
      <c r="S471" s="1560">
        <v>2320</v>
      </c>
      <c r="T471" s="1560"/>
      <c r="U471" s="1560"/>
      <c r="V471" s="1560"/>
      <c r="W471" s="1559"/>
      <c r="X471" s="1559"/>
      <c r="Y471" s="1559"/>
      <c r="Z471" s="1559"/>
      <c r="AA471" s="1559"/>
      <c r="AB471" s="1559"/>
      <c r="AC471" s="1561"/>
      <c r="AD471" s="1561"/>
      <c r="AE471" s="1561"/>
      <c r="AF471" s="1561"/>
      <c r="AG471" s="1561"/>
      <c r="AH471" s="1980"/>
      <c r="AI471" s="1561"/>
      <c r="AJ471" s="1980"/>
      <c r="AK471" s="1562"/>
      <c r="AL471" s="1561"/>
      <c r="AM471" s="1561"/>
      <c r="AN471" s="1561"/>
      <c r="AO471" s="1561"/>
      <c r="AP471" s="1561"/>
    </row>
    <row r="472" spans="1:65" hidden="1" outlineLevel="1">
      <c r="B472" s="1563"/>
      <c r="C472" s="1563" t="s">
        <v>425</v>
      </c>
      <c r="D472" s="1563"/>
      <c r="E472" s="1563"/>
      <c r="F472" s="1563"/>
      <c r="G472" s="1563"/>
      <c r="H472" s="1563">
        <v>833</v>
      </c>
      <c r="I472" s="1563">
        <v>1060</v>
      </c>
      <c r="J472" s="1563">
        <v>795</v>
      </c>
      <c r="K472" s="1563">
        <v>660</v>
      </c>
      <c r="L472" s="1563">
        <v>670</v>
      </c>
      <c r="M472" s="1563">
        <v>760</v>
      </c>
      <c r="N472" s="1563">
        <v>795</v>
      </c>
      <c r="O472" s="1563">
        <v>1004</v>
      </c>
      <c r="P472" s="1563">
        <v>1064</v>
      </c>
      <c r="Q472" s="1563">
        <v>1241</v>
      </c>
      <c r="R472" s="1563">
        <v>1601</v>
      </c>
      <c r="S472" s="1563">
        <v>1670</v>
      </c>
      <c r="T472" s="1563"/>
      <c r="U472" s="1563"/>
      <c r="V472" s="1563"/>
      <c r="W472" s="1563"/>
      <c r="X472" s="1563"/>
      <c r="Y472" s="1563"/>
      <c r="Z472" s="1563"/>
      <c r="AA472" s="1563"/>
      <c r="AB472" s="1563"/>
      <c r="AC472" s="1563"/>
      <c r="AD472" s="1563"/>
      <c r="AE472" s="1563"/>
      <c r="AF472" s="1563"/>
      <c r="AG472" s="1563"/>
      <c r="AH472" s="1981"/>
      <c r="AI472" s="1563"/>
      <c r="AJ472" s="1981"/>
      <c r="AK472" s="1564"/>
      <c r="AL472" s="1563"/>
      <c r="AM472" s="1563"/>
      <c r="AN472" s="1563"/>
      <c r="AO472" s="1563"/>
      <c r="AP472" s="1563"/>
    </row>
    <row r="473" spans="1:65" hidden="1" outlineLevel="1">
      <c r="B473" s="1565"/>
      <c r="C473" s="1565" t="s">
        <v>424</v>
      </c>
      <c r="D473" s="1565"/>
      <c r="E473" s="1565"/>
      <c r="F473" s="1565"/>
      <c r="G473" s="1565"/>
      <c r="H473" s="1563">
        <v>1071.323076923077</v>
      </c>
      <c r="I473" s="1563">
        <v>1219.3869731800767</v>
      </c>
      <c r="J473" s="1563">
        <v>1070.3180076628353</v>
      </c>
      <c r="K473" s="1563">
        <v>845.6564885496183</v>
      </c>
      <c r="L473" s="1563">
        <v>991.82824427480921</v>
      </c>
      <c r="M473" s="1563">
        <v>914.06130268199229</v>
      </c>
      <c r="N473" s="1563">
        <v>1109.0689655172414</v>
      </c>
      <c r="O473" s="1563">
        <v>1122.8702290076335</v>
      </c>
      <c r="P473" s="1563">
        <v>1213.8669201520913</v>
      </c>
      <c r="Q473" s="1563">
        <v>1429.8167938931297</v>
      </c>
      <c r="R473" s="1563">
        <v>1830.2900763358778</v>
      </c>
      <c r="S473" s="1563">
        <v>1845.9233716475096</v>
      </c>
      <c r="T473" s="1563"/>
      <c r="U473" s="1563"/>
      <c r="V473" s="1563"/>
      <c r="W473" s="1565"/>
      <c r="X473" s="1565"/>
      <c r="Y473" s="1565"/>
      <c r="Z473" s="1565"/>
      <c r="AA473" s="1565"/>
      <c r="AB473" s="1565"/>
      <c r="AC473" s="1565"/>
      <c r="AD473" s="1565"/>
      <c r="AE473" s="1565"/>
      <c r="AF473" s="1565"/>
      <c r="AG473" s="1565"/>
      <c r="AH473" s="1982"/>
      <c r="AI473" s="1565"/>
      <c r="AJ473" s="1982"/>
      <c r="AK473" s="1566"/>
      <c r="AL473" s="1565"/>
      <c r="AM473" s="1565"/>
      <c r="AN473" s="1565"/>
      <c r="AO473" s="1565"/>
      <c r="AP473" s="1565"/>
    </row>
    <row r="474" spans="1:65" hidden="1" outlineLevel="1">
      <c r="B474" s="1560"/>
      <c r="C474" s="1560" t="s">
        <v>423</v>
      </c>
      <c r="D474" s="1560"/>
      <c r="E474" s="1560"/>
      <c r="F474" s="1560"/>
      <c r="G474" s="1560"/>
      <c r="H474" s="1560">
        <v>157140.6</v>
      </c>
      <c r="I474" s="1560">
        <v>169666.3</v>
      </c>
      <c r="J474" s="1560">
        <v>148043.9</v>
      </c>
      <c r="K474" s="1560">
        <v>119174.5</v>
      </c>
      <c r="L474" s="1560">
        <v>149467.6</v>
      </c>
      <c r="M474" s="1560">
        <v>115870.6</v>
      </c>
      <c r="N474" s="1560">
        <v>147804.29999999999</v>
      </c>
      <c r="O474" s="1560">
        <v>139710</v>
      </c>
      <c r="P474" s="1560">
        <v>156785.70000000001</v>
      </c>
      <c r="Q474" s="1560">
        <v>197035.4</v>
      </c>
      <c r="R474" s="1560">
        <v>238394.1</v>
      </c>
      <c r="S474" s="1560">
        <v>257243.9</v>
      </c>
      <c r="T474" s="1560"/>
      <c r="U474" s="1560"/>
      <c r="V474" s="1560"/>
      <c r="W474" s="1560"/>
      <c r="X474" s="1560"/>
      <c r="Y474" s="1560"/>
      <c r="Z474" s="1560"/>
      <c r="AA474" s="1560"/>
      <c r="AB474" s="1560"/>
      <c r="AC474" s="1567"/>
      <c r="AD474" s="1567"/>
      <c r="AE474" s="1567"/>
      <c r="AF474" s="1567"/>
      <c r="AG474" s="1567"/>
      <c r="AH474" s="1983"/>
      <c r="AI474" s="1567"/>
      <c r="AJ474" s="1983"/>
      <c r="AK474" s="1568"/>
      <c r="AL474" s="1567"/>
      <c r="AM474" s="1567"/>
      <c r="AN474" s="1567"/>
      <c r="AO474" s="1567"/>
      <c r="AP474" s="1567"/>
    </row>
    <row r="475" spans="1:65" hidden="1" outlineLevel="1">
      <c r="B475" s="1563"/>
      <c r="C475" s="1563" t="s">
        <v>422</v>
      </c>
      <c r="D475" s="1563"/>
      <c r="E475" s="1563"/>
      <c r="F475" s="1563"/>
      <c r="G475" s="1563"/>
      <c r="H475" s="1563">
        <v>94853.69</v>
      </c>
      <c r="I475" s="1563">
        <v>120712.8</v>
      </c>
      <c r="J475" s="1563">
        <v>90534.56</v>
      </c>
      <c r="K475" s="1563">
        <v>74681.63</v>
      </c>
      <c r="L475" s="1563">
        <v>74290.25</v>
      </c>
      <c r="M475" s="1563">
        <v>84269.5</v>
      </c>
      <c r="N475" s="1563">
        <v>88150.38</v>
      </c>
      <c r="O475" s="1563">
        <v>111324.4</v>
      </c>
      <c r="P475" s="1563">
        <v>117977.3</v>
      </c>
      <c r="Q475" s="1563">
        <v>137603.29999999999</v>
      </c>
      <c r="R475" s="1563">
        <v>177520.4</v>
      </c>
      <c r="S475" s="1563">
        <v>185171.20000000001</v>
      </c>
      <c r="T475" s="1563"/>
      <c r="U475" s="1563"/>
      <c r="V475" s="1563"/>
      <c r="W475" s="1563"/>
      <c r="X475" s="1563"/>
      <c r="Y475" s="1563"/>
      <c r="Z475" s="1563"/>
      <c r="AA475" s="1563"/>
      <c r="AB475" s="1563"/>
      <c r="AC475" s="1563"/>
      <c r="AD475" s="1563"/>
      <c r="AE475" s="1563"/>
      <c r="AF475" s="1563"/>
      <c r="AG475" s="1563"/>
      <c r="AH475" s="1981"/>
      <c r="AI475" s="1563"/>
      <c r="AJ475" s="1981"/>
      <c r="AK475" s="1564"/>
      <c r="AL475" s="1563"/>
      <c r="AM475" s="1563"/>
      <c r="AN475" s="1563"/>
      <c r="AO475" s="1563"/>
      <c r="AP475" s="1563"/>
    </row>
    <row r="476" spans="1:65" hidden="1" outlineLevel="1">
      <c r="B476" s="1565"/>
      <c r="C476" s="1565" t="s">
        <v>421</v>
      </c>
      <c r="D476" s="1565"/>
      <c r="E476" s="1565"/>
      <c r="F476" s="1565"/>
      <c r="G476" s="1565"/>
      <c r="H476" s="1565">
        <v>121991.51292307695</v>
      </c>
      <c r="I476" s="1565">
        <v>138858.21532567064</v>
      </c>
      <c r="J476" s="1565">
        <v>121887.77624521074</v>
      </c>
      <c r="K476" s="1565">
        <v>95517.359694656392</v>
      </c>
      <c r="L476" s="1565">
        <v>109986.54427480907</v>
      </c>
      <c r="M476" s="1565">
        <v>101351.98578544066</v>
      </c>
      <c r="N476" s="1565">
        <v>122974.62704980849</v>
      </c>
      <c r="O476" s="1565">
        <v>124504.92519083976</v>
      </c>
      <c r="P476" s="1565">
        <v>134594.73384030428</v>
      </c>
      <c r="Q476" s="1565">
        <v>158539.4709923664</v>
      </c>
      <c r="R476" s="1565">
        <v>202944.34732824407</v>
      </c>
      <c r="S476" s="1565">
        <v>204677.78237547897</v>
      </c>
      <c r="T476" s="1565"/>
      <c r="U476" s="1565"/>
      <c r="V476" s="1565"/>
      <c r="W476" s="1565"/>
      <c r="X476" s="1565"/>
      <c r="Y476" s="1565"/>
      <c r="Z476" s="1565"/>
      <c r="AA476" s="1565"/>
      <c r="AB476" s="1565"/>
      <c r="AC476" s="1565"/>
      <c r="AD476" s="1565"/>
      <c r="AE476" s="1565"/>
      <c r="AF476" s="1565"/>
      <c r="AG476" s="1565"/>
      <c r="AH476" s="1982"/>
      <c r="AI476" s="1565"/>
      <c r="AJ476" s="1982"/>
      <c r="AK476" s="1566"/>
      <c r="AL476" s="1565"/>
      <c r="AM476" s="1565"/>
      <c r="AN476" s="1565"/>
      <c r="AO476" s="1565"/>
      <c r="AP476" s="1565"/>
    </row>
    <row r="477" spans="1:65" hidden="1" outlineLevel="1">
      <c r="B477" s="1563"/>
      <c r="C477" s="1563" t="s">
        <v>420</v>
      </c>
      <c r="D477" s="1563"/>
      <c r="E477" s="1563"/>
      <c r="F477" s="1563"/>
      <c r="G477" s="1563"/>
      <c r="H477" s="1563">
        <v>19051</v>
      </c>
      <c r="I477" s="1563">
        <v>24997</v>
      </c>
      <c r="J477" s="1563">
        <v>36876.5</v>
      </c>
      <c r="K477" s="1563">
        <v>34506</v>
      </c>
      <c r="L477" s="1563">
        <v>21013</v>
      </c>
      <c r="M477" s="1563">
        <v>14368</v>
      </c>
      <c r="N477" s="1563">
        <v>12589</v>
      </c>
      <c r="O477" s="1563">
        <v>9809</v>
      </c>
      <c r="P477" s="1563">
        <v>1484</v>
      </c>
      <c r="Q477" s="1563">
        <v>-8187.5</v>
      </c>
      <c r="R477" s="1563">
        <v>-25474.5</v>
      </c>
      <c r="S477" s="1563">
        <v>-39976.5</v>
      </c>
      <c r="T477" s="1563"/>
      <c r="U477" s="1563"/>
      <c r="V477" s="1563"/>
      <c r="W477" s="1563"/>
      <c r="X477" s="1563"/>
      <c r="Y477" s="1563"/>
      <c r="Z477" s="1563"/>
      <c r="AA477" s="1563"/>
      <c r="AB477" s="1563"/>
      <c r="AC477" s="1563"/>
      <c r="AD477" s="1563"/>
      <c r="AE477" s="1563"/>
      <c r="AF477" s="1563"/>
      <c r="AG477" s="1563"/>
      <c r="AH477" s="1981"/>
      <c r="AI477" s="1563"/>
      <c r="AJ477" s="1981"/>
      <c r="AK477" s="1564"/>
      <c r="AL477" s="1563"/>
      <c r="AM477" s="1563"/>
      <c r="AN477" s="1563"/>
      <c r="AO477" s="1563"/>
      <c r="AP477" s="1563"/>
    </row>
    <row r="478" spans="1:65" hidden="1" outlineLevel="1">
      <c r="B478" s="1560"/>
      <c r="C478" s="1560" t="s">
        <v>419</v>
      </c>
      <c r="D478" s="1560"/>
      <c r="E478" s="1560"/>
      <c r="F478" s="1560"/>
      <c r="G478" s="1560"/>
      <c r="H478" s="1560"/>
      <c r="I478" s="1560"/>
      <c r="J478" s="1560">
        <f t="shared" ref="J478:S478" si="791">J474+J$477</f>
        <v>184920.4</v>
      </c>
      <c r="K478" s="1560">
        <f t="shared" si="791"/>
        <v>153680.5</v>
      </c>
      <c r="L478" s="1560">
        <f t="shared" si="791"/>
        <v>170480.6</v>
      </c>
      <c r="M478" s="1560">
        <f t="shared" si="791"/>
        <v>130238.6</v>
      </c>
      <c r="N478" s="1560">
        <f t="shared" si="791"/>
        <v>160393.29999999999</v>
      </c>
      <c r="O478" s="1560">
        <f t="shared" si="791"/>
        <v>149519</v>
      </c>
      <c r="P478" s="1560">
        <f t="shared" si="791"/>
        <v>158269.70000000001</v>
      </c>
      <c r="Q478" s="1560">
        <f t="shared" si="791"/>
        <v>188847.9</v>
      </c>
      <c r="R478" s="1560">
        <f t="shared" si="791"/>
        <v>212919.6</v>
      </c>
      <c r="S478" s="1560">
        <f t="shared" si="791"/>
        <v>217267.4</v>
      </c>
      <c r="T478" s="1560"/>
      <c r="U478" s="1560"/>
      <c r="V478" s="1560"/>
      <c r="W478" s="1560"/>
      <c r="X478" s="1560"/>
      <c r="Y478" s="1560"/>
      <c r="Z478" s="1560"/>
      <c r="AA478" s="1560"/>
      <c r="AB478" s="1560"/>
      <c r="AC478" s="1567"/>
      <c r="AD478" s="1567"/>
      <c r="AE478" s="1567"/>
      <c r="AF478" s="1567"/>
      <c r="AG478" s="1567"/>
      <c r="AH478" s="1983"/>
      <c r="AI478" s="1567"/>
      <c r="AJ478" s="1983"/>
      <c r="AK478" s="1568"/>
      <c r="AL478" s="1567"/>
      <c r="AM478" s="1567"/>
      <c r="AN478" s="1567"/>
      <c r="AO478" s="1567"/>
      <c r="AP478" s="1567"/>
    </row>
    <row r="479" spans="1:65" hidden="1" outlineLevel="1">
      <c r="B479" s="1569"/>
      <c r="C479" s="1570" t="s">
        <v>418</v>
      </c>
      <c r="D479" s="1570"/>
      <c r="E479" s="1570"/>
      <c r="F479" s="1570"/>
      <c r="G479" s="1570"/>
      <c r="H479" s="1563"/>
      <c r="I479" s="1563"/>
      <c r="J479" s="1563">
        <f t="shared" ref="J479:S479" si="792">J475+J$477</f>
        <v>127411.06</v>
      </c>
      <c r="K479" s="1563">
        <f t="shared" si="792"/>
        <v>109187.63</v>
      </c>
      <c r="L479" s="1563">
        <f t="shared" si="792"/>
        <v>95303.25</v>
      </c>
      <c r="M479" s="1563">
        <f t="shared" si="792"/>
        <v>98637.5</v>
      </c>
      <c r="N479" s="1563">
        <f t="shared" si="792"/>
        <v>100739.38</v>
      </c>
      <c r="O479" s="1563">
        <f t="shared" si="792"/>
        <v>121133.4</v>
      </c>
      <c r="P479" s="1563">
        <f t="shared" si="792"/>
        <v>119461.3</v>
      </c>
      <c r="Q479" s="1563">
        <f t="shared" si="792"/>
        <v>129415.79999999999</v>
      </c>
      <c r="R479" s="1563">
        <f t="shared" si="792"/>
        <v>152045.9</v>
      </c>
      <c r="S479" s="1563">
        <f t="shared" si="792"/>
        <v>145194.70000000001</v>
      </c>
      <c r="T479" s="1563"/>
      <c r="U479" s="1563"/>
      <c r="V479" s="1563"/>
      <c r="W479" s="1570"/>
      <c r="X479" s="1570"/>
      <c r="Y479" s="1570"/>
      <c r="Z479" s="1570"/>
      <c r="AA479" s="1570"/>
      <c r="AB479" s="1570"/>
      <c r="AC479" s="1570"/>
      <c r="AD479" s="1570"/>
      <c r="AE479" s="1570"/>
      <c r="AF479" s="1570"/>
      <c r="AG479" s="1570"/>
      <c r="AH479" s="1984"/>
      <c r="AI479" s="1570"/>
      <c r="AJ479" s="1984"/>
      <c r="AK479" s="1571"/>
      <c r="AL479" s="1570"/>
      <c r="AM479" s="1570"/>
      <c r="AN479" s="1570"/>
      <c r="AO479" s="1570"/>
      <c r="AP479" s="1570"/>
    </row>
    <row r="480" spans="1:65" hidden="1" outlineLevel="1">
      <c r="B480" s="1572"/>
      <c r="C480" s="1573" t="s">
        <v>417</v>
      </c>
      <c r="D480" s="1573"/>
      <c r="E480" s="1573"/>
      <c r="F480" s="1573"/>
      <c r="G480" s="1573"/>
      <c r="H480" s="1565"/>
      <c r="I480" s="1565"/>
      <c r="J480" s="1565">
        <f t="shared" ref="J480:S480" si="793">J476+J$477</f>
        <v>158764.27624521073</v>
      </c>
      <c r="K480" s="1565">
        <f t="shared" si="793"/>
        <v>130023.35969465639</v>
      </c>
      <c r="L480" s="1565">
        <f t="shared" si="793"/>
        <v>130999.54427480907</v>
      </c>
      <c r="M480" s="1565">
        <f t="shared" si="793"/>
        <v>115719.98578544066</v>
      </c>
      <c r="N480" s="1565">
        <f t="shared" si="793"/>
        <v>135563.62704980851</v>
      </c>
      <c r="O480" s="1565">
        <f t="shared" si="793"/>
        <v>134313.92519083974</v>
      </c>
      <c r="P480" s="1565">
        <f t="shared" si="793"/>
        <v>136078.73384030428</v>
      </c>
      <c r="Q480" s="1565">
        <f t="shared" si="793"/>
        <v>150351.9709923664</v>
      </c>
      <c r="R480" s="1565">
        <f t="shared" si="793"/>
        <v>177469.84732824407</v>
      </c>
      <c r="S480" s="1565">
        <f t="shared" si="793"/>
        <v>164701.28237547897</v>
      </c>
      <c r="T480" s="1565"/>
      <c r="U480" s="1565"/>
      <c r="V480" s="1565"/>
      <c r="W480" s="1565"/>
      <c r="X480" s="1565"/>
      <c r="Y480" s="1565"/>
      <c r="Z480" s="1565"/>
      <c r="AA480" s="1565"/>
      <c r="AB480" s="1565"/>
      <c r="AC480" s="1565"/>
      <c r="AD480" s="1565"/>
      <c r="AE480" s="1565"/>
      <c r="AF480" s="1565"/>
      <c r="AG480" s="1565"/>
      <c r="AH480" s="1982"/>
      <c r="AI480" s="1565"/>
      <c r="AJ480" s="1982"/>
      <c r="AK480" s="1566"/>
      <c r="AL480" s="1565"/>
      <c r="AM480" s="1565"/>
      <c r="AN480" s="1565"/>
      <c r="AO480" s="1565"/>
      <c r="AP480" s="1565"/>
    </row>
    <row r="481" spans="2:42" hidden="1" outlineLevel="1">
      <c r="B481" s="1574"/>
      <c r="C481" s="1575" t="s">
        <v>4</v>
      </c>
      <c r="D481" s="1575"/>
      <c r="E481" s="1575"/>
      <c r="F481" s="1575"/>
      <c r="G481" s="1575"/>
      <c r="H481" s="1576"/>
      <c r="I481" s="1576"/>
      <c r="J481" s="1576">
        <f t="shared" ref="J481:S481" si="794">J37</f>
        <v>17613</v>
      </c>
      <c r="K481" s="1576">
        <f t="shared" si="794"/>
        <v>21302</v>
      </c>
      <c r="L481" s="1576">
        <f t="shared" si="794"/>
        <v>25643</v>
      </c>
      <c r="M481" s="1576">
        <f t="shared" si="794"/>
        <v>25707</v>
      </c>
      <c r="N481" s="1576">
        <f t="shared" si="794"/>
        <v>25992</v>
      </c>
      <c r="O481" s="1576">
        <f t="shared" si="794"/>
        <v>28657</v>
      </c>
      <c r="P481" s="1576">
        <f t="shared" si="794"/>
        <v>27753</v>
      </c>
      <c r="Q481" s="1576">
        <f t="shared" si="794"/>
        <v>29057</v>
      </c>
      <c r="R481" s="1576">
        <f t="shared" si="794"/>
        <v>29101</v>
      </c>
      <c r="S481" s="1576">
        <f t="shared" si="794"/>
        <v>28841</v>
      </c>
      <c r="T481" s="1576"/>
      <c r="U481" s="1576"/>
      <c r="V481" s="1576"/>
      <c r="W481" s="1576"/>
      <c r="X481" s="1576"/>
      <c r="Y481" s="1576"/>
      <c r="Z481" s="1576"/>
      <c r="AA481" s="1576"/>
      <c r="AB481" s="1576"/>
      <c r="AC481" s="1576"/>
      <c r="AD481" s="1576"/>
      <c r="AE481" s="1576"/>
      <c r="AF481" s="1576"/>
      <c r="AG481" s="1576"/>
      <c r="AH481" s="1985"/>
      <c r="AI481" s="1576"/>
      <c r="AJ481" s="1985"/>
      <c r="AK481" s="1577"/>
      <c r="AL481" s="1576"/>
      <c r="AM481" s="1576"/>
      <c r="AN481" s="1576"/>
      <c r="AO481" s="1576"/>
      <c r="AP481" s="1576"/>
    </row>
    <row r="482" spans="2:42" hidden="1" outlineLevel="1">
      <c r="B482" s="1558"/>
      <c r="C482" s="1559" t="s">
        <v>416</v>
      </c>
      <c r="D482" s="1559"/>
      <c r="E482" s="1559"/>
      <c r="F482" s="1559"/>
      <c r="G482" s="1559"/>
      <c r="H482" s="1578"/>
      <c r="I482" s="1578"/>
      <c r="J482" s="1578">
        <f t="shared" ref="J482:S482" si="795">J478/J$481</f>
        <v>10.499085902458411</v>
      </c>
      <c r="K482" s="1578">
        <f t="shared" si="795"/>
        <v>7.2143695427659376</v>
      </c>
      <c r="L482" s="1578">
        <f t="shared" si="795"/>
        <v>6.6482314861755647</v>
      </c>
      <c r="M482" s="1578">
        <f t="shared" si="795"/>
        <v>5.0662698875792591</v>
      </c>
      <c r="N482" s="1578">
        <f t="shared" si="795"/>
        <v>6.1708718067097568</v>
      </c>
      <c r="O482" s="1578">
        <f t="shared" si="795"/>
        <v>5.2175384722755345</v>
      </c>
      <c r="P482" s="1578">
        <f t="shared" si="795"/>
        <v>5.7027960941159517</v>
      </c>
      <c r="Q482" s="1578">
        <f t="shared" si="795"/>
        <v>6.4992222183983204</v>
      </c>
      <c r="R482" s="1578">
        <f t="shared" si="795"/>
        <v>7.3165733136318343</v>
      </c>
      <c r="S482" s="1578">
        <f t="shared" si="795"/>
        <v>7.5332824798030575</v>
      </c>
      <c r="T482" s="1578"/>
      <c r="U482" s="1578"/>
      <c r="V482" s="1578"/>
      <c r="W482" s="1559"/>
      <c r="X482" s="1559"/>
      <c r="Y482" s="1559"/>
      <c r="Z482" s="1559"/>
      <c r="AA482" s="1559"/>
      <c r="AB482" s="1559"/>
      <c r="AC482" s="1561"/>
      <c r="AD482" s="1561"/>
      <c r="AE482" s="1561"/>
      <c r="AF482" s="1561"/>
      <c r="AG482" s="1561"/>
      <c r="AH482" s="1980"/>
      <c r="AI482" s="1561"/>
      <c r="AJ482" s="1980"/>
      <c r="AK482" s="1562"/>
      <c r="AL482" s="1561"/>
      <c r="AM482" s="1561"/>
      <c r="AN482" s="1561"/>
      <c r="AO482" s="1561"/>
      <c r="AP482" s="1561"/>
    </row>
    <row r="483" spans="2:42" hidden="1" outlineLevel="1">
      <c r="B483" s="1569"/>
      <c r="C483" s="1570" t="s">
        <v>415</v>
      </c>
      <c r="D483" s="1570"/>
      <c r="E483" s="1570"/>
      <c r="F483" s="1570"/>
      <c r="G483" s="1570"/>
      <c r="H483" s="1579"/>
      <c r="I483" s="1579"/>
      <c r="J483" s="1579">
        <f t="shared" ref="J483:S483" si="796">J479/J$481</f>
        <v>7.2339215352296602</v>
      </c>
      <c r="K483" s="1579">
        <f t="shared" si="796"/>
        <v>5.1256985259600043</v>
      </c>
      <c r="L483" s="1579">
        <f t="shared" si="796"/>
        <v>3.716540576375619</v>
      </c>
      <c r="M483" s="1579">
        <f t="shared" si="796"/>
        <v>3.8369899249231727</v>
      </c>
      <c r="N483" s="1579">
        <f t="shared" si="796"/>
        <v>3.8757840874115113</v>
      </c>
      <c r="O483" s="1579">
        <f t="shared" si="796"/>
        <v>4.2270091077223713</v>
      </c>
      <c r="P483" s="1579">
        <f t="shared" si="796"/>
        <v>4.3044463661586132</v>
      </c>
      <c r="Q483" s="1579">
        <f t="shared" si="796"/>
        <v>4.4538596551605458</v>
      </c>
      <c r="R483" s="1579">
        <f t="shared" si="796"/>
        <v>5.2247654719769079</v>
      </c>
      <c r="S483" s="1579">
        <f t="shared" si="796"/>
        <v>5.0343157310772861</v>
      </c>
      <c r="T483" s="1579"/>
      <c r="U483" s="1579"/>
      <c r="V483" s="1579"/>
      <c r="W483" s="1570"/>
      <c r="X483" s="1570"/>
      <c r="Y483" s="1570"/>
      <c r="Z483" s="1570"/>
      <c r="AA483" s="1570"/>
      <c r="AB483" s="1570"/>
      <c r="AC483" s="1570"/>
      <c r="AD483" s="1570"/>
      <c r="AE483" s="1570"/>
      <c r="AF483" s="1570"/>
      <c r="AG483" s="1570"/>
      <c r="AH483" s="1984"/>
      <c r="AI483" s="1570"/>
      <c r="AJ483" s="1984"/>
      <c r="AK483" s="1571"/>
      <c r="AL483" s="1570"/>
      <c r="AM483" s="1570"/>
      <c r="AN483" s="1570"/>
      <c r="AO483" s="1570"/>
      <c r="AP483" s="1570"/>
    </row>
    <row r="484" spans="2:42" hidden="1" outlineLevel="1">
      <c r="B484" s="1572"/>
      <c r="C484" s="1573" t="s">
        <v>414</v>
      </c>
      <c r="D484" s="1573"/>
      <c r="E484" s="1573"/>
      <c r="F484" s="1573"/>
      <c r="G484" s="1573"/>
      <c r="H484" s="1580"/>
      <c r="I484" s="1580"/>
      <c r="J484" s="1580">
        <f t="shared" ref="J484:S484" si="797">J480/J$481</f>
        <v>9.0140394166360487</v>
      </c>
      <c r="K484" s="1580">
        <f t="shared" si="797"/>
        <v>6.1038099565607169</v>
      </c>
      <c r="L484" s="1580">
        <f t="shared" si="797"/>
        <v>5.1085888653749203</v>
      </c>
      <c r="M484" s="1580">
        <f t="shared" si="797"/>
        <v>4.5014970936103262</v>
      </c>
      <c r="N484" s="1580">
        <f t="shared" si="797"/>
        <v>5.2155904528242729</v>
      </c>
      <c r="O484" s="1580">
        <f t="shared" si="797"/>
        <v>4.6869499665296344</v>
      </c>
      <c r="P484" s="1580">
        <f t="shared" si="797"/>
        <v>4.9032080798581879</v>
      </c>
      <c r="Q484" s="1580">
        <f t="shared" si="797"/>
        <v>5.1743803900046945</v>
      </c>
      <c r="R484" s="1580">
        <f t="shared" si="797"/>
        <v>6.0984106157260598</v>
      </c>
      <c r="S484" s="1580">
        <f t="shared" si="797"/>
        <v>5.710664761120591</v>
      </c>
      <c r="T484" s="1580"/>
      <c r="U484" s="1580"/>
      <c r="V484" s="1580"/>
      <c r="W484" s="1580"/>
      <c r="X484" s="1580"/>
      <c r="Y484" s="1580"/>
      <c r="Z484" s="1580"/>
      <c r="AA484" s="1580"/>
      <c r="AB484" s="1580"/>
      <c r="AC484" s="1580"/>
      <c r="AD484" s="1580"/>
      <c r="AE484" s="1580"/>
      <c r="AF484" s="1580"/>
      <c r="AG484" s="1580"/>
      <c r="AH484" s="1986"/>
      <c r="AI484" s="1580"/>
      <c r="AJ484" s="1986"/>
      <c r="AK484" s="1581"/>
      <c r="AL484" s="1580"/>
      <c r="AM484" s="1580"/>
      <c r="AN484" s="1580"/>
      <c r="AO484" s="1580"/>
      <c r="AP484" s="1580"/>
    </row>
    <row r="485" spans="2:42" hidden="1" outlineLevel="1">
      <c r="B485" s="1569"/>
      <c r="C485" s="1570" t="s">
        <v>3</v>
      </c>
      <c r="D485" s="1570"/>
      <c r="E485" s="1570"/>
      <c r="F485" s="1570"/>
      <c r="G485" s="1570"/>
      <c r="H485" s="1582"/>
      <c r="I485" s="1582"/>
      <c r="J485" s="1582">
        <f t="shared" ref="J485:S485" si="798">J50</f>
        <v>18.641599370222384</v>
      </c>
      <c r="K485" s="1582">
        <f t="shared" si="798"/>
        <v>31.240687091654728</v>
      </c>
      <c r="L485" s="1582">
        <f t="shared" si="798"/>
        <v>43.118280884873343</v>
      </c>
      <c r="M485" s="1582">
        <f t="shared" si="798"/>
        <v>7.5937235944495614</v>
      </c>
      <c r="N485" s="1582">
        <f t="shared" si="798"/>
        <v>58.386896140696507</v>
      </c>
      <c r="O485" s="1582">
        <f t="shared" si="798"/>
        <v>66.70211366335981</v>
      </c>
      <c r="P485" s="1582">
        <f t="shared" si="798"/>
        <v>81.898579526361587</v>
      </c>
      <c r="Q485" s="1582">
        <f t="shared" si="798"/>
        <v>107.9264729866721</v>
      </c>
      <c r="R485" s="1582">
        <f t="shared" si="798"/>
        <v>124.57494538020403</v>
      </c>
      <c r="S485" s="1582">
        <f t="shared" si="798"/>
        <v>55.699331258100351</v>
      </c>
      <c r="T485" s="1582"/>
      <c r="U485" s="1582"/>
      <c r="V485" s="1582"/>
      <c r="W485" s="1582"/>
      <c r="X485" s="1582"/>
      <c r="Y485" s="1582"/>
      <c r="Z485" s="1582"/>
      <c r="AA485" s="1582"/>
      <c r="AB485" s="1582"/>
      <c r="AC485" s="1582"/>
      <c r="AD485" s="1582"/>
      <c r="AE485" s="1582"/>
      <c r="AF485" s="1582"/>
      <c r="AG485" s="1582"/>
      <c r="AH485" s="1987"/>
      <c r="AI485" s="1582"/>
      <c r="AJ485" s="1987"/>
      <c r="AK485" s="1583"/>
      <c r="AL485" s="1582"/>
      <c r="AM485" s="1582"/>
      <c r="AN485" s="1582"/>
      <c r="AO485" s="1582"/>
      <c r="AP485" s="1582"/>
    </row>
    <row r="486" spans="2:42" hidden="1" outlineLevel="1">
      <c r="B486" s="1558"/>
      <c r="C486" s="1559" t="s">
        <v>413</v>
      </c>
      <c r="D486" s="1559"/>
      <c r="E486" s="1559"/>
      <c r="F486" s="1559"/>
      <c r="G486" s="1559"/>
      <c r="H486" s="1578"/>
      <c r="I486" s="1578"/>
      <c r="J486" s="1578">
        <f t="shared" ref="J486:S486" si="799">J471/J$485</f>
        <v>69.736505660377347</v>
      </c>
      <c r="K486" s="1578">
        <f t="shared" si="799"/>
        <v>34.090159312933025</v>
      </c>
      <c r="L486" s="1578">
        <f t="shared" si="799"/>
        <v>31.262841939343232</v>
      </c>
      <c r="M486" s="1578">
        <f t="shared" si="799"/>
        <v>137.6136472446556</v>
      </c>
      <c r="N486" s="1578">
        <f t="shared" si="799"/>
        <v>22.830465191844301</v>
      </c>
      <c r="O486" s="1578">
        <f t="shared" si="799"/>
        <v>18.889956116819903</v>
      </c>
      <c r="P486" s="1578">
        <f t="shared" si="799"/>
        <v>17.265256713577802</v>
      </c>
      <c r="Q486" s="1578">
        <f t="shared" si="799"/>
        <v>16.464913110052645</v>
      </c>
      <c r="R486" s="1578">
        <f t="shared" si="799"/>
        <v>17.258687077390864</v>
      </c>
      <c r="S486" s="1578">
        <f t="shared" si="799"/>
        <v>41.652205647668389</v>
      </c>
      <c r="T486" s="1578"/>
      <c r="U486" s="1578"/>
      <c r="V486" s="1578"/>
      <c r="W486" s="1559"/>
      <c r="X486" s="1559"/>
      <c r="Y486" s="1559"/>
      <c r="Z486" s="1559"/>
      <c r="AA486" s="1559"/>
      <c r="AB486" s="1559"/>
      <c r="AC486" s="1561"/>
      <c r="AD486" s="1561"/>
      <c r="AE486" s="1561"/>
      <c r="AF486" s="1561"/>
      <c r="AG486" s="1561"/>
      <c r="AH486" s="1980"/>
      <c r="AI486" s="1561"/>
      <c r="AJ486" s="1980"/>
      <c r="AK486" s="1562"/>
      <c r="AL486" s="1561"/>
      <c r="AM486" s="1561"/>
      <c r="AN486" s="1561"/>
      <c r="AO486" s="1561"/>
      <c r="AP486" s="1561"/>
    </row>
    <row r="487" spans="2:42" hidden="1" outlineLevel="1">
      <c r="B487" s="1569"/>
      <c r="C487" s="1570" t="s">
        <v>412</v>
      </c>
      <c r="D487" s="1570"/>
      <c r="E487" s="1570"/>
      <c r="F487" s="1570"/>
      <c r="G487" s="1570"/>
      <c r="H487" s="1579"/>
      <c r="I487" s="1579"/>
      <c r="J487" s="1579">
        <f t="shared" ref="J487:S487" si="800">J472/J$485</f>
        <v>42.646555384615375</v>
      </c>
      <c r="K487" s="1579">
        <f t="shared" si="800"/>
        <v>21.126295912240185</v>
      </c>
      <c r="L487" s="1579">
        <f t="shared" si="800"/>
        <v>15.538652892700272</v>
      </c>
      <c r="M487" s="1579">
        <f t="shared" si="800"/>
        <v>100.0826525415677</v>
      </c>
      <c r="N487" s="1579">
        <f t="shared" si="800"/>
        <v>13.61606888785913</v>
      </c>
      <c r="O487" s="1579">
        <f t="shared" si="800"/>
        <v>15.051996778799351</v>
      </c>
      <c r="P487" s="1579">
        <f t="shared" si="800"/>
        <v>12.991678319127852</v>
      </c>
      <c r="Q487" s="1579">
        <f t="shared" si="800"/>
        <v>11.498569031837553</v>
      </c>
      <c r="R487" s="1579">
        <f t="shared" si="800"/>
        <v>12.851701400419895</v>
      </c>
      <c r="S487" s="1579">
        <f t="shared" si="800"/>
        <v>29.982406651554403</v>
      </c>
      <c r="T487" s="1579"/>
      <c r="U487" s="1579"/>
      <c r="V487" s="1579"/>
      <c r="W487" s="1570"/>
      <c r="X487" s="1570"/>
      <c r="Y487" s="1570"/>
      <c r="Z487" s="1570"/>
      <c r="AA487" s="1570"/>
      <c r="AB487" s="1570"/>
      <c r="AC487" s="1570"/>
      <c r="AD487" s="1570"/>
      <c r="AE487" s="1570"/>
      <c r="AF487" s="1570"/>
      <c r="AG487" s="1570"/>
      <c r="AH487" s="1984"/>
      <c r="AI487" s="1570"/>
      <c r="AJ487" s="1984"/>
      <c r="AK487" s="1571"/>
      <c r="AL487" s="1570"/>
      <c r="AM487" s="1570"/>
      <c r="AN487" s="1570"/>
      <c r="AO487" s="1570"/>
      <c r="AP487" s="1570"/>
    </row>
    <row r="488" spans="2:42" hidden="1" outlineLevel="1">
      <c r="B488" s="1572"/>
      <c r="C488" s="1573" t="s">
        <v>411</v>
      </c>
      <c r="D488" s="1573"/>
      <c r="E488" s="1573"/>
      <c r="F488" s="1573"/>
      <c r="G488" s="1573"/>
      <c r="H488" s="1580"/>
      <c r="I488" s="1580"/>
      <c r="J488" s="1580">
        <f t="shared" ref="J488:S488" si="801">J473/J$485</f>
        <v>57.415567538294702</v>
      </c>
      <c r="K488" s="1580">
        <f t="shared" si="801"/>
        <v>27.069074571523014</v>
      </c>
      <c r="L488" s="1580">
        <f t="shared" si="801"/>
        <v>23.002499726809845</v>
      </c>
      <c r="M488" s="1580">
        <f t="shared" si="801"/>
        <v>120.37063126054549</v>
      </c>
      <c r="N488" s="1580">
        <f t="shared" si="801"/>
        <v>18.995169101722542</v>
      </c>
      <c r="O488" s="1580">
        <f t="shared" si="801"/>
        <v>16.834102659395008</v>
      </c>
      <c r="P488" s="1580">
        <f t="shared" si="801"/>
        <v>14.82158698199852</v>
      </c>
      <c r="Q488" s="1580">
        <f t="shared" si="801"/>
        <v>13.24806374493215</v>
      </c>
      <c r="R488" s="1580">
        <f t="shared" si="801"/>
        <v>14.692280785271977</v>
      </c>
      <c r="S488" s="1580">
        <f t="shared" si="801"/>
        <v>33.1408533990084</v>
      </c>
      <c r="T488" s="1580"/>
      <c r="U488" s="1580"/>
      <c r="V488" s="1580"/>
      <c r="W488" s="1580"/>
      <c r="X488" s="1580"/>
      <c r="Y488" s="1580"/>
      <c r="Z488" s="1580"/>
      <c r="AA488" s="1580"/>
      <c r="AB488" s="1580"/>
      <c r="AC488" s="1580"/>
      <c r="AD488" s="1580"/>
      <c r="AE488" s="1580"/>
      <c r="AF488" s="1580"/>
      <c r="AG488" s="1580"/>
      <c r="AH488" s="1986"/>
      <c r="AI488" s="1580"/>
      <c r="AJ488" s="1986"/>
      <c r="AK488" s="1581"/>
      <c r="AL488" s="1580"/>
      <c r="AM488" s="1580"/>
      <c r="AN488" s="1580"/>
      <c r="AO488" s="1580"/>
      <c r="AP488" s="1580"/>
    </row>
    <row r="489" spans="2:42" hidden="1" outlineLevel="1">
      <c r="B489" s="1569"/>
      <c r="C489" s="1570" t="s">
        <v>410</v>
      </c>
      <c r="D489" s="1570"/>
      <c r="E489" s="1570"/>
      <c r="F489" s="1570"/>
      <c r="G489" s="1570"/>
      <c r="H489" s="1582"/>
      <c r="I489" s="1582"/>
      <c r="J489" s="1582">
        <f t="shared" ref="J489:S489" si="802">J54</f>
        <v>846.6641060847154</v>
      </c>
      <c r="K489" s="1582">
        <f t="shared" si="802"/>
        <v>843.02958042133878</v>
      </c>
      <c r="L489" s="1582">
        <f t="shared" si="802"/>
        <v>867.93915829291802</v>
      </c>
      <c r="M489" s="1582">
        <f t="shared" si="802"/>
        <v>828.78909401322016</v>
      </c>
      <c r="N489" s="1582">
        <f t="shared" si="802"/>
        <v>880.40296590281025</v>
      </c>
      <c r="O489" s="1582">
        <f t="shared" si="802"/>
        <v>942.53261179611559</v>
      </c>
      <c r="P489" s="1582">
        <f t="shared" si="802"/>
        <v>985.06467886431506</v>
      </c>
      <c r="Q489" s="1582">
        <f t="shared" si="802"/>
        <v>1086.2902769927023</v>
      </c>
      <c r="R489" s="1582">
        <f t="shared" si="802"/>
        <v>1240.6629216081333</v>
      </c>
      <c r="S489" s="1582">
        <f t="shared" si="802"/>
        <v>1235.4411093026868</v>
      </c>
      <c r="T489" s="1582"/>
      <c r="U489" s="1582"/>
      <c r="V489" s="1582"/>
      <c r="W489" s="1582"/>
      <c r="X489" s="1582"/>
      <c r="Y489" s="1582"/>
      <c r="Z489" s="1582"/>
      <c r="AA489" s="1582"/>
      <c r="AB489" s="1582"/>
      <c r="AC489" s="1582"/>
      <c r="AD489" s="1582"/>
      <c r="AE489" s="1582"/>
      <c r="AF489" s="1582"/>
      <c r="AG489" s="1582"/>
      <c r="AH489" s="1987"/>
      <c r="AI489" s="1582"/>
      <c r="AJ489" s="1987"/>
      <c r="AK489" s="1583"/>
      <c r="AL489" s="1582"/>
      <c r="AM489" s="1582"/>
      <c r="AN489" s="1582"/>
      <c r="AO489" s="1582"/>
      <c r="AP489" s="1582"/>
    </row>
    <row r="490" spans="2:42" hidden="1" outlineLevel="1">
      <c r="B490" s="1558"/>
      <c r="C490" s="1559" t="s">
        <v>409</v>
      </c>
      <c r="D490" s="1559"/>
      <c r="E490" s="1559"/>
      <c r="F490" s="1559"/>
      <c r="G490" s="1559"/>
      <c r="H490" s="1578"/>
      <c r="I490" s="1578"/>
      <c r="J490" s="1578">
        <f t="shared" ref="J490:S490" si="803">J471/J$489</f>
        <v>1.5354377145048415</v>
      </c>
      <c r="K490" s="1578">
        <f t="shared" si="803"/>
        <v>1.2633008671744619</v>
      </c>
      <c r="L490" s="1578">
        <f t="shared" si="803"/>
        <v>1.5531042552006482</v>
      </c>
      <c r="M490" s="1578">
        <f t="shared" si="803"/>
        <v>1.2608756649292141</v>
      </c>
      <c r="N490" s="1578">
        <f t="shared" si="803"/>
        <v>1.5140794063921328</v>
      </c>
      <c r="O490" s="1578">
        <f t="shared" si="803"/>
        <v>1.3368237705843515</v>
      </c>
      <c r="P490" s="1578">
        <f t="shared" si="803"/>
        <v>1.4354387385305563</v>
      </c>
      <c r="Q490" s="1578">
        <f t="shared" si="803"/>
        <v>1.6358426818653538</v>
      </c>
      <c r="R490" s="1578">
        <f t="shared" si="803"/>
        <v>1.7329445109983574</v>
      </c>
      <c r="S490" s="1578">
        <f t="shared" si="803"/>
        <v>1.8778717840379011</v>
      </c>
      <c r="T490" s="1578"/>
      <c r="U490" s="1578"/>
      <c r="V490" s="1578"/>
      <c r="W490" s="1559"/>
      <c r="X490" s="1559"/>
      <c r="Y490" s="1559"/>
      <c r="Z490" s="1559"/>
      <c r="AA490" s="1559"/>
      <c r="AB490" s="1559"/>
      <c r="AC490" s="1561"/>
      <c r="AD490" s="1561"/>
      <c r="AE490" s="1561"/>
      <c r="AF490" s="1561"/>
      <c r="AG490" s="1561"/>
      <c r="AH490" s="1980"/>
      <c r="AI490" s="1561"/>
      <c r="AJ490" s="1980"/>
      <c r="AK490" s="1562"/>
      <c r="AL490" s="1561"/>
      <c r="AM490" s="1561"/>
      <c r="AN490" s="1561"/>
      <c r="AO490" s="1561"/>
      <c r="AP490" s="1561"/>
    </row>
    <row r="491" spans="2:42" hidden="1" outlineLevel="1">
      <c r="B491" s="1569"/>
      <c r="C491" s="1570" t="s">
        <v>408</v>
      </c>
      <c r="D491" s="1570"/>
      <c r="E491" s="1570"/>
      <c r="F491" s="1570"/>
      <c r="G491" s="1570"/>
      <c r="H491" s="1579"/>
      <c r="I491" s="1579"/>
      <c r="J491" s="1579">
        <f t="shared" ref="J491:S491" si="804">J472/J$489</f>
        <v>0.93897921771642223</v>
      </c>
      <c r="K491" s="1579">
        <f t="shared" si="804"/>
        <v>0.7828906782489623</v>
      </c>
      <c r="L491" s="1579">
        <f t="shared" si="804"/>
        <v>0.77194350963236968</v>
      </c>
      <c r="M491" s="1579">
        <f t="shared" si="804"/>
        <v>0.91700048358488306</v>
      </c>
      <c r="N491" s="1579">
        <f t="shared" si="804"/>
        <v>0.90299559496004911</v>
      </c>
      <c r="O491" s="1579">
        <f t="shared" si="804"/>
        <v>1.065215131481499</v>
      </c>
      <c r="P491" s="1579">
        <f t="shared" si="804"/>
        <v>1.0801321200823988</v>
      </c>
      <c r="Q491" s="1579">
        <f t="shared" si="804"/>
        <v>1.1424202409650557</v>
      </c>
      <c r="R491" s="1579">
        <f t="shared" si="804"/>
        <v>1.2904391451666839</v>
      </c>
      <c r="S491" s="1579">
        <f t="shared" si="804"/>
        <v>1.3517439135100409</v>
      </c>
      <c r="T491" s="1579"/>
      <c r="U491" s="1579"/>
      <c r="V491" s="1579"/>
      <c r="W491" s="1570"/>
      <c r="X491" s="1570"/>
      <c r="Y491" s="1570"/>
      <c r="Z491" s="1570"/>
      <c r="AA491" s="1570"/>
      <c r="AB491" s="1570"/>
      <c r="AC491" s="1570"/>
      <c r="AD491" s="1570"/>
      <c r="AE491" s="1570"/>
      <c r="AF491" s="1570"/>
      <c r="AG491" s="1570"/>
      <c r="AH491" s="1984"/>
      <c r="AI491" s="1570"/>
      <c r="AJ491" s="1984"/>
      <c r="AK491" s="1571"/>
      <c r="AL491" s="1570"/>
      <c r="AM491" s="1570"/>
      <c r="AN491" s="1570"/>
      <c r="AO491" s="1570"/>
      <c r="AP491" s="1570"/>
    </row>
    <row r="492" spans="2:42" hidden="1" outlineLevel="1">
      <c r="B492" s="1572"/>
      <c r="C492" s="1573" t="s">
        <v>407</v>
      </c>
      <c r="D492" s="1573"/>
      <c r="E492" s="1573"/>
      <c r="F492" s="1573"/>
      <c r="G492" s="1573"/>
      <c r="H492" s="1580"/>
      <c r="I492" s="1580"/>
      <c r="J492" s="1580">
        <f t="shared" ref="J492:S492" si="805">J473/J$489</f>
        <v>1.2641589503686148</v>
      </c>
      <c r="K492" s="1580">
        <f t="shared" si="805"/>
        <v>1.0031160331609794</v>
      </c>
      <c r="L492" s="1580">
        <f t="shared" si="805"/>
        <v>1.1427393669223993</v>
      </c>
      <c r="M492" s="1580">
        <f t="shared" si="805"/>
        <v>1.1028877060337041</v>
      </c>
      <c r="N492" s="1580">
        <f t="shared" si="805"/>
        <v>1.2597287929169405</v>
      </c>
      <c r="O492" s="1580">
        <f t="shared" si="805"/>
        <v>1.1913330265229356</v>
      </c>
      <c r="P492" s="1580">
        <f t="shared" si="805"/>
        <v>1.2322712875580548</v>
      </c>
      <c r="Q492" s="1580">
        <f t="shared" si="805"/>
        <v>1.3162382322443775</v>
      </c>
      <c r="R492" s="1580">
        <f t="shared" si="805"/>
        <v>1.4752516936376856</v>
      </c>
      <c r="S492" s="1580">
        <f t="shared" si="805"/>
        <v>1.4941411272038649</v>
      </c>
      <c r="T492" s="1580"/>
      <c r="U492" s="1580"/>
      <c r="V492" s="1580"/>
      <c r="W492" s="1573"/>
      <c r="X492" s="1573"/>
      <c r="Y492" s="1573"/>
      <c r="Z492" s="1573"/>
      <c r="AA492" s="1573"/>
      <c r="AB492" s="1573"/>
      <c r="AC492" s="1573"/>
      <c r="AD492" s="1573"/>
      <c r="AE492" s="1573"/>
      <c r="AF492" s="1573"/>
      <c r="AG492" s="1573"/>
      <c r="AH492" s="1988"/>
      <c r="AI492" s="1573"/>
      <c r="AJ492" s="1988"/>
      <c r="AK492" s="1584"/>
      <c r="AL492" s="1573"/>
      <c r="AM492" s="1573"/>
      <c r="AN492" s="1573"/>
      <c r="AO492" s="1573"/>
      <c r="AP492" s="1573"/>
    </row>
    <row r="493" spans="2:42" hidden="1" outlineLevel="1">
      <c r="B493" s="1569"/>
      <c r="C493" s="1570"/>
      <c r="D493" s="1570"/>
      <c r="E493" s="1570"/>
      <c r="F493" s="1570"/>
      <c r="G493" s="1570"/>
      <c r="H493" s="1570"/>
      <c r="I493" s="1570"/>
      <c r="J493" s="1570"/>
      <c r="K493" s="1570"/>
      <c r="L493" s="1570"/>
      <c r="M493" s="1570"/>
      <c r="N493" s="1570"/>
      <c r="O493" s="1570"/>
      <c r="P493" s="1570"/>
      <c r="Q493" s="1570"/>
      <c r="R493" s="1570"/>
      <c r="S493" s="1570"/>
      <c r="T493" s="1570"/>
      <c r="U493" s="1570"/>
      <c r="V493" s="1570"/>
      <c r="W493" s="1570"/>
      <c r="X493" s="1570"/>
      <c r="Y493" s="1570"/>
      <c r="Z493" s="1570"/>
      <c r="AA493" s="1570"/>
      <c r="AB493" s="1570"/>
      <c r="AC493" s="1570"/>
      <c r="AD493" s="1570"/>
      <c r="AE493" s="1570"/>
      <c r="AF493" s="1570"/>
      <c r="AG493" s="1570"/>
      <c r="AH493" s="1984"/>
      <c r="AI493" s="1570"/>
      <c r="AJ493" s="1984"/>
      <c r="AK493" s="1571"/>
      <c r="AL493" s="1570"/>
      <c r="AM493" s="1570"/>
      <c r="AN493" s="1570"/>
      <c r="AO493" s="1570"/>
      <c r="AP493" s="1570"/>
    </row>
    <row r="494" spans="2:42" hidden="1" outlineLevel="1">
      <c r="B494" s="1569"/>
      <c r="C494" s="1570" t="s">
        <v>16</v>
      </c>
      <c r="D494" s="1570"/>
      <c r="E494" s="1570"/>
      <c r="F494" s="1570"/>
      <c r="G494" s="1570"/>
      <c r="H494" s="1570"/>
      <c r="I494" s="1570"/>
      <c r="J494" s="1570"/>
      <c r="K494" s="1570"/>
      <c r="L494" s="1570"/>
      <c r="M494" s="1570"/>
      <c r="N494" s="1570"/>
      <c r="O494" s="1570"/>
      <c r="P494" s="1570"/>
      <c r="Q494" s="1570"/>
      <c r="R494" s="1570"/>
      <c r="S494" s="1570"/>
      <c r="T494" s="1570"/>
      <c r="U494" s="1570"/>
      <c r="V494" s="1570"/>
      <c r="W494" s="1570"/>
      <c r="X494" s="1570"/>
      <c r="Y494" s="1570"/>
      <c r="Z494" s="1570"/>
      <c r="AA494" s="1570"/>
      <c r="AB494" s="1570"/>
      <c r="AC494" s="1570"/>
      <c r="AD494" s="1570"/>
      <c r="AE494" s="1570"/>
      <c r="AF494" s="1570"/>
      <c r="AG494" s="1570"/>
      <c r="AH494" s="1984"/>
      <c r="AI494" s="1570"/>
      <c r="AJ494" s="1984"/>
      <c r="AK494" s="1571"/>
      <c r="AL494" s="1570"/>
      <c r="AM494" s="1570"/>
      <c r="AN494" s="1570"/>
      <c r="AO494" s="1570"/>
      <c r="AP494" s="1570"/>
    </row>
    <row r="495" spans="2:42" hidden="1" outlineLevel="1">
      <c r="B495" s="1558"/>
      <c r="C495" s="1559" t="s">
        <v>15</v>
      </c>
      <c r="D495" s="1559"/>
      <c r="E495" s="1559"/>
      <c r="F495" s="1559"/>
      <c r="G495" s="1559"/>
      <c r="H495" s="1578"/>
      <c r="I495" s="1578"/>
      <c r="J495" s="1578">
        <f t="shared" ref="J495:S495" si="806">(J23)*0.6/J497*100</f>
        <v>2.8366460799913695</v>
      </c>
      <c r="K495" s="1578">
        <f t="shared" si="806"/>
        <v>3.9108343510528365</v>
      </c>
      <c r="L495" s="1578">
        <f t="shared" si="806"/>
        <v>5.2457313439364039</v>
      </c>
      <c r="M495" s="1578">
        <f t="shared" si="806"/>
        <v>5.1139011435878796</v>
      </c>
      <c r="N495" s="1578">
        <f t="shared" si="806"/>
        <v>5.3529885734989531</v>
      </c>
      <c r="O495" s="1578">
        <f t="shared" si="806"/>
        <v>6.706161000881707</v>
      </c>
      <c r="P495" s="1578">
        <f t="shared" si="806"/>
        <v>6.402014507890633</v>
      </c>
      <c r="Q495" s="1578">
        <f t="shared" si="806"/>
        <v>7.0389847450997438</v>
      </c>
      <c r="R495" s="1578">
        <f t="shared" si="806"/>
        <v>7.0534953457309575</v>
      </c>
      <c r="S495" s="1578">
        <f t="shared" si="806"/>
        <v>6.997386855615578</v>
      </c>
      <c r="T495" s="1578"/>
      <c r="U495" s="1578"/>
      <c r="V495" s="1578"/>
      <c r="W495" s="1578"/>
      <c r="X495" s="1578"/>
      <c r="Y495" s="1578"/>
      <c r="Z495" s="1578"/>
      <c r="AA495" s="1578"/>
      <c r="AB495" s="1578"/>
      <c r="AC495" s="1585"/>
      <c r="AD495" s="1585"/>
      <c r="AE495" s="1585"/>
      <c r="AF495" s="1585"/>
      <c r="AG495" s="1585"/>
      <c r="AH495" s="1989"/>
      <c r="AI495" s="1585"/>
      <c r="AJ495" s="1989"/>
      <c r="AK495" s="1586"/>
      <c r="AL495" s="1585"/>
      <c r="AM495" s="1585"/>
      <c r="AN495" s="1585"/>
      <c r="AO495" s="1585"/>
      <c r="AP495" s="1585"/>
    </row>
    <row r="496" spans="2:42" hidden="1" outlineLevel="1">
      <c r="B496" s="1587"/>
      <c r="C496" s="1588" t="s">
        <v>13</v>
      </c>
      <c r="D496" s="1588"/>
      <c r="E496" s="1588"/>
      <c r="F496" s="1588"/>
      <c r="G496" s="1588"/>
      <c r="H496" s="1589"/>
      <c r="I496" s="1589"/>
      <c r="J496" s="1589">
        <f t="shared" ref="J496:S496" si="807">J512*100</f>
        <v>3.6505720901373837</v>
      </c>
      <c r="K496" s="1589">
        <f t="shared" si="807"/>
        <v>3.5083088923685009</v>
      </c>
      <c r="L496" s="1589">
        <f t="shared" si="807"/>
        <v>3.5399756836948257</v>
      </c>
      <c r="M496" s="1589">
        <f t="shared" si="807"/>
        <v>3.4322575858345235</v>
      </c>
      <c r="N496" s="1589">
        <f t="shared" si="807"/>
        <v>3.5742960260018504</v>
      </c>
      <c r="O496" s="1589">
        <f t="shared" si="807"/>
        <v>3.8755538826444433</v>
      </c>
      <c r="P496" s="1589">
        <f t="shared" si="807"/>
        <v>4.0007528286752025</v>
      </c>
      <c r="Q496" s="1589">
        <f t="shared" si="807"/>
        <v>4.1896249336210296</v>
      </c>
      <c r="R496" s="1589">
        <f t="shared" si="807"/>
        <v>4.5373719253368581</v>
      </c>
      <c r="S496" s="1589">
        <f t="shared" si="807"/>
        <v>4.7277150233036505</v>
      </c>
      <c r="T496" s="1589"/>
      <c r="U496" s="1589"/>
      <c r="V496" s="1589"/>
      <c r="W496" s="1589"/>
      <c r="X496" s="1589"/>
      <c r="Y496" s="1589"/>
      <c r="Z496" s="1589"/>
      <c r="AA496" s="1589"/>
      <c r="AB496" s="1589"/>
      <c r="AC496" s="1589"/>
      <c r="AD496" s="1589"/>
      <c r="AE496" s="1589"/>
      <c r="AF496" s="1589"/>
      <c r="AG496" s="1589"/>
      <c r="AH496" s="1990"/>
      <c r="AI496" s="1589"/>
      <c r="AJ496" s="1990"/>
      <c r="AK496" s="1590"/>
      <c r="AL496" s="1589"/>
      <c r="AM496" s="1589"/>
      <c r="AN496" s="1589"/>
      <c r="AO496" s="1589"/>
      <c r="AP496" s="1589"/>
    </row>
    <row r="497" spans="2:42" hidden="1" outlineLevel="1">
      <c r="B497" s="1587"/>
      <c r="C497" s="1588" t="s">
        <v>14</v>
      </c>
      <c r="D497" s="1588"/>
      <c r="E497" s="1588"/>
      <c r="F497" s="1588"/>
      <c r="G497" s="1588"/>
      <c r="H497" s="1591"/>
      <c r="I497" s="1591"/>
      <c r="J497" s="1591">
        <v>185395</v>
      </c>
      <c r="K497" s="1591">
        <v>186282.5</v>
      </c>
      <c r="L497" s="1591">
        <v>182903</v>
      </c>
      <c r="M497" s="1591">
        <v>191196.5</v>
      </c>
      <c r="N497" s="1591">
        <v>184921</v>
      </c>
      <c r="O497" s="1591">
        <v>173527</v>
      </c>
      <c r="P497" s="1591">
        <v>174732.5</v>
      </c>
      <c r="Q497" s="1591">
        <v>172567.5</v>
      </c>
      <c r="R497" s="1591">
        <v>169575.5</v>
      </c>
      <c r="S497" s="1591">
        <v>167805.5</v>
      </c>
      <c r="T497" s="1591"/>
      <c r="U497" s="1591"/>
      <c r="V497" s="1591"/>
      <c r="W497" s="1591"/>
      <c r="X497" s="1591"/>
      <c r="Y497" s="1591"/>
      <c r="Z497" s="1591"/>
      <c r="AA497" s="1591"/>
      <c r="AB497" s="1591"/>
      <c r="AC497" s="1591"/>
      <c r="AD497" s="1591"/>
      <c r="AE497" s="1591"/>
      <c r="AF497" s="1591"/>
      <c r="AG497" s="1591"/>
      <c r="AH497" s="1991"/>
      <c r="AI497" s="1591"/>
      <c r="AJ497" s="1991"/>
      <c r="AK497" s="1592"/>
      <c r="AL497" s="1591"/>
      <c r="AM497" s="1591"/>
      <c r="AN497" s="1591"/>
      <c r="AO497" s="1591"/>
      <c r="AP497" s="1591"/>
    </row>
    <row r="498" spans="2:42" hidden="1" outlineLevel="1">
      <c r="B498" s="1593"/>
      <c r="C498" s="1593" t="s">
        <v>406</v>
      </c>
      <c r="D498" s="1593"/>
      <c r="E498" s="1593"/>
      <c r="F498" s="1593"/>
      <c r="G498" s="1593"/>
      <c r="H498" s="17"/>
      <c r="I498" s="17"/>
      <c r="J498" s="17">
        <f t="shared" ref="J498:S498" si="808">((J495/J496)*J497)/J522*1000</f>
        <v>1299.2266947443156</v>
      </c>
      <c r="K498" s="17">
        <f t="shared" si="808"/>
        <v>1872.7782127652681</v>
      </c>
      <c r="L498" s="17">
        <f t="shared" si="808"/>
        <v>2444.3831900895461</v>
      </c>
      <c r="M498" s="17">
        <f t="shared" si="808"/>
        <v>2569.1832766345901</v>
      </c>
      <c r="N498" s="17">
        <f t="shared" si="808"/>
        <v>2497.6680878720331</v>
      </c>
      <c r="O498" s="17">
        <f t="shared" si="808"/>
        <v>2708.0080347426033</v>
      </c>
      <c r="P498" s="17">
        <f t="shared" si="808"/>
        <v>2521.6877998317591</v>
      </c>
      <c r="Q498" s="17">
        <f t="shared" si="808"/>
        <v>2614.7885803818422</v>
      </c>
      <c r="R498" s="17">
        <f t="shared" si="808"/>
        <v>2377.4194118778905</v>
      </c>
      <c r="S498" s="17">
        <f t="shared" si="808"/>
        <v>2239.9250122223243</v>
      </c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992"/>
      <c r="AI498" s="17"/>
      <c r="AJ498" s="1992"/>
      <c r="AK498" s="18"/>
      <c r="AL498" s="17"/>
      <c r="AM498" s="17"/>
      <c r="AN498" s="17"/>
      <c r="AO498" s="17"/>
      <c r="AP498" s="17"/>
    </row>
    <row r="499" spans="2:42" hidden="1" outlineLevel="1">
      <c r="B499" s="1593"/>
      <c r="C499" s="1593" t="s">
        <v>405</v>
      </c>
      <c r="D499" s="1593"/>
      <c r="E499" s="1593"/>
      <c r="F499" s="1593"/>
      <c r="G499" s="1593"/>
      <c r="H499" s="17"/>
      <c r="I499" s="17"/>
      <c r="J499" s="17">
        <f t="shared" ref="J499:S499" si="809">(-J477)/J522*1000</f>
        <v>-332.57713554717253</v>
      </c>
      <c r="K499" s="17">
        <f t="shared" si="809"/>
        <v>-311.19836858678929</v>
      </c>
      <c r="L499" s="17">
        <f t="shared" si="809"/>
        <v>-189.50939891944017</v>
      </c>
      <c r="M499" s="17">
        <f t="shared" si="809"/>
        <v>-129.58030950718683</v>
      </c>
      <c r="N499" s="17">
        <f t="shared" si="809"/>
        <v>-113.53608827853387</v>
      </c>
      <c r="O499" s="17">
        <f t="shared" si="809"/>
        <v>-88.464174273106593</v>
      </c>
      <c r="P499" s="17">
        <f t="shared" si="809"/>
        <v>-13.383712368364783</v>
      </c>
      <c r="Q499" s="17">
        <f t="shared" si="809"/>
        <v>73.840394215624457</v>
      </c>
      <c r="R499" s="17">
        <f t="shared" si="809"/>
        <v>229.74621342850989</v>
      </c>
      <c r="S499" s="17">
        <f t="shared" si="809"/>
        <v>360.53502526545481</v>
      </c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992"/>
      <c r="AI499" s="17"/>
      <c r="AJ499" s="1992"/>
      <c r="AK499" s="18"/>
      <c r="AL499" s="17"/>
      <c r="AM499" s="17"/>
      <c r="AN499" s="17"/>
      <c r="AO499" s="17"/>
      <c r="AP499" s="17"/>
    </row>
    <row r="500" spans="2:42" hidden="1" outlineLevel="1">
      <c r="B500" s="1593"/>
      <c r="C500" s="1593" t="s">
        <v>404</v>
      </c>
      <c r="D500" s="1593"/>
      <c r="E500" s="1593"/>
      <c r="F500" s="1593"/>
      <c r="G500" s="1593"/>
      <c r="H500" s="19"/>
      <c r="I500" s="19"/>
      <c r="J500" s="19">
        <f t="shared" ref="J500:S500" si="810">J498+J499</f>
        <v>966.64955919714316</v>
      </c>
      <c r="K500" s="19">
        <f t="shared" si="810"/>
        <v>1561.5798441784789</v>
      </c>
      <c r="L500" s="19">
        <f t="shared" si="810"/>
        <v>2254.873791170106</v>
      </c>
      <c r="M500" s="19">
        <f t="shared" si="810"/>
        <v>2439.6029671274032</v>
      </c>
      <c r="N500" s="19">
        <f t="shared" si="810"/>
        <v>2384.1319995934991</v>
      </c>
      <c r="O500" s="19">
        <f t="shared" si="810"/>
        <v>2619.5438604694968</v>
      </c>
      <c r="P500" s="19">
        <f t="shared" si="810"/>
        <v>2508.3040874633944</v>
      </c>
      <c r="Q500" s="19">
        <f t="shared" si="810"/>
        <v>2688.6289745974668</v>
      </c>
      <c r="R500" s="19">
        <f t="shared" si="810"/>
        <v>2607.1656253064002</v>
      </c>
      <c r="S500" s="19">
        <f t="shared" si="810"/>
        <v>2600.4600374877791</v>
      </c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93"/>
      <c r="AI500" s="19"/>
      <c r="AJ500" s="1993"/>
      <c r="AK500" s="20"/>
      <c r="AL500" s="19"/>
      <c r="AM500" s="19"/>
      <c r="AN500" s="19"/>
      <c r="AO500" s="19"/>
      <c r="AP500" s="19"/>
    </row>
    <row r="501" spans="2:42" hidden="1" outlineLevel="1">
      <c r="B501" s="1594"/>
      <c r="C501" s="1594" t="s">
        <v>403</v>
      </c>
      <c r="D501" s="1594"/>
      <c r="E501" s="1594"/>
      <c r="F501" s="1594"/>
      <c r="G501" s="1594"/>
      <c r="H501" s="4"/>
      <c r="I501" s="4"/>
      <c r="J501" s="4" t="e">
        <f t="shared" ref="J501:S501" si="811">(J500/I500-1)*100</f>
        <v>#DIV/0!</v>
      </c>
      <c r="K501" s="4">
        <f t="shared" si="811"/>
        <v>61.545601435483889</v>
      </c>
      <c r="L501" s="4">
        <f t="shared" si="811"/>
        <v>44.396957963834204</v>
      </c>
      <c r="M501" s="4">
        <f t="shared" si="811"/>
        <v>8.1924397135077385</v>
      </c>
      <c r="N501" s="4">
        <f t="shared" si="811"/>
        <v>-2.2737702930087922</v>
      </c>
      <c r="O501" s="4">
        <f t="shared" si="811"/>
        <v>9.8741118745160108</v>
      </c>
      <c r="P501" s="4">
        <f t="shared" si="811"/>
        <v>-4.2465321800782991</v>
      </c>
      <c r="Q501" s="4">
        <f t="shared" si="811"/>
        <v>7.1891158665866595</v>
      </c>
      <c r="R501" s="4">
        <f t="shared" si="811"/>
        <v>-3.0299215719514883</v>
      </c>
      <c r="S501" s="4">
        <f t="shared" si="811"/>
        <v>-0.2571983825474522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1994"/>
      <c r="AI501" s="4"/>
      <c r="AJ501" s="1994"/>
      <c r="AK501" s="7"/>
      <c r="AL501" s="4"/>
      <c r="AM501" s="4"/>
      <c r="AN501" s="4"/>
      <c r="AO501" s="4"/>
      <c r="AP501" s="4"/>
    </row>
    <row r="502" spans="2:42" hidden="1" outlineLevel="1">
      <c r="B502" s="1594"/>
      <c r="C502" s="1594" t="s">
        <v>402</v>
      </c>
      <c r="D502" s="1594"/>
      <c r="E502" s="1594"/>
      <c r="F502" s="1594"/>
      <c r="G502" s="1594"/>
      <c r="H502" s="4"/>
      <c r="I502" s="4"/>
      <c r="J502" s="4">
        <f t="shared" ref="J502:S502" si="812">J473/J500*100-100</f>
        <v>10.72451205086098</v>
      </c>
      <c r="K502" s="4">
        <f t="shared" si="812"/>
        <v>-45.846093512144172</v>
      </c>
      <c r="L502" s="4">
        <f t="shared" si="812"/>
        <v>-56.0140240150591</v>
      </c>
      <c r="M502" s="4">
        <f t="shared" si="812"/>
        <v>-62.532374529848759</v>
      </c>
      <c r="N502" s="4">
        <f t="shared" si="812"/>
        <v>-53.481226471254921</v>
      </c>
      <c r="O502" s="4">
        <f t="shared" si="812"/>
        <v>-57.134894897068719</v>
      </c>
      <c r="P502" s="4">
        <f t="shared" si="812"/>
        <v>-51.606070164337432</v>
      </c>
      <c r="Q502" s="4">
        <f t="shared" si="812"/>
        <v>-46.819854751167469</v>
      </c>
      <c r="R502" s="4">
        <f t="shared" si="812"/>
        <v>-29.797706038687977</v>
      </c>
      <c r="S502" s="4">
        <f t="shared" si="812"/>
        <v>-29.015507062712004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1994"/>
      <c r="AI502" s="4"/>
      <c r="AJ502" s="1994"/>
      <c r="AK502" s="7"/>
      <c r="AL502" s="4"/>
      <c r="AM502" s="4"/>
      <c r="AN502" s="4"/>
      <c r="AO502" s="4"/>
      <c r="AP502" s="4"/>
    </row>
    <row r="503" spans="2:42" hidden="1" outlineLevel="1">
      <c r="B503" s="1594"/>
      <c r="C503" s="1594" t="s">
        <v>401</v>
      </c>
      <c r="D503" s="1594"/>
      <c r="E503" s="1594"/>
      <c r="F503" s="1594"/>
      <c r="G503" s="1594"/>
      <c r="H503" s="4"/>
      <c r="I503" s="4"/>
      <c r="J503" s="4">
        <f t="shared" ref="J503:S503" si="813">J473/J498*100-100</f>
        <v>-17.618841115832296</v>
      </c>
      <c r="K503" s="4">
        <f t="shared" si="813"/>
        <v>-54.844813828704446</v>
      </c>
      <c r="L503" s="4">
        <f t="shared" si="813"/>
        <v>-59.424191415811727</v>
      </c>
      <c r="M503" s="4">
        <f t="shared" si="813"/>
        <v>-64.422106005635612</v>
      </c>
      <c r="N503" s="4">
        <f t="shared" si="813"/>
        <v>-55.595822723500959</v>
      </c>
      <c r="O503" s="4">
        <f t="shared" si="813"/>
        <v>-58.535195811767132</v>
      </c>
      <c r="P503" s="4">
        <f t="shared" si="813"/>
        <v>-51.862918152156759</v>
      </c>
      <c r="Q503" s="4">
        <f t="shared" si="813"/>
        <v>-45.318072573028786</v>
      </c>
      <c r="R503" s="4">
        <f t="shared" si="813"/>
        <v>-23.013580725743424</v>
      </c>
      <c r="S503" s="4">
        <f t="shared" si="813"/>
        <v>-17.589947807400435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1994"/>
      <c r="AI503" s="4"/>
      <c r="AJ503" s="1994"/>
      <c r="AK503" s="7"/>
      <c r="AL503" s="4"/>
      <c r="AM503" s="4"/>
      <c r="AN503" s="4"/>
      <c r="AO503" s="4"/>
      <c r="AP503" s="4"/>
    </row>
    <row r="504" spans="2:42" hidden="1" outlineLevel="1">
      <c r="B504" s="1563"/>
      <c r="C504" s="1563"/>
      <c r="D504" s="1563"/>
      <c r="E504" s="1563"/>
      <c r="F504" s="1563"/>
      <c r="G504" s="1563"/>
      <c r="H504" s="1563"/>
      <c r="I504" s="1563"/>
      <c r="J504" s="1563"/>
      <c r="K504" s="1563"/>
      <c r="L504" s="1563"/>
      <c r="M504" s="1563"/>
      <c r="N504" s="1563"/>
      <c r="O504" s="1563"/>
      <c r="P504" s="1563"/>
      <c r="Q504" s="1563"/>
      <c r="R504" s="1563"/>
      <c r="S504" s="1563"/>
      <c r="T504" s="1563"/>
      <c r="U504" s="1563"/>
      <c r="V504" s="1563"/>
      <c r="W504" s="1563"/>
      <c r="X504" s="1563"/>
      <c r="Y504" s="1563"/>
      <c r="Z504" s="1563"/>
      <c r="AA504" s="1563"/>
      <c r="AB504" s="1563"/>
      <c r="AC504" s="1563"/>
      <c r="AD504" s="1563"/>
      <c r="AE504" s="1563"/>
      <c r="AF504" s="1563"/>
      <c r="AG504" s="1563"/>
      <c r="AH504" s="1981"/>
      <c r="AI504" s="1563"/>
      <c r="AJ504" s="1981"/>
      <c r="AK504" s="1564"/>
      <c r="AL504" s="1563"/>
      <c r="AM504" s="1563"/>
      <c r="AN504" s="1563"/>
      <c r="AO504" s="1563"/>
      <c r="AP504" s="1563"/>
    </row>
    <row r="505" spans="2:42" hidden="1" outlineLevel="1">
      <c r="B505" s="1563"/>
      <c r="C505" s="1563"/>
      <c r="D505" s="1563"/>
      <c r="E505" s="1563"/>
      <c r="F505" s="1563"/>
      <c r="G505" s="1563"/>
      <c r="H505" s="1563"/>
      <c r="I505" s="1563"/>
      <c r="J505" s="1563"/>
      <c r="K505" s="1563"/>
      <c r="L505" s="1563"/>
      <c r="M505" s="1563"/>
      <c r="N505" s="1563"/>
      <c r="O505" s="1563"/>
      <c r="P505" s="1563"/>
      <c r="Q505" s="1563"/>
      <c r="R505" s="1563"/>
      <c r="S505" s="1563"/>
      <c r="T505" s="1563"/>
      <c r="U505" s="1563"/>
      <c r="V505" s="1563"/>
      <c r="W505" s="1563"/>
      <c r="X505" s="1563"/>
      <c r="Y505" s="1563"/>
      <c r="Z505" s="1563"/>
      <c r="AA505" s="1563"/>
      <c r="AB505" s="1563"/>
      <c r="AC505" s="1563"/>
      <c r="AD505" s="1563"/>
      <c r="AE505" s="1563"/>
      <c r="AF505" s="1563"/>
      <c r="AG505" s="1563"/>
      <c r="AH505" s="1981"/>
      <c r="AI505" s="1563"/>
      <c r="AJ505" s="1981"/>
      <c r="AK505" s="1564"/>
      <c r="AL505" s="1563"/>
      <c r="AM505" s="1563"/>
      <c r="AN505" s="1563"/>
      <c r="AO505" s="1563"/>
      <c r="AP505" s="1563"/>
    </row>
    <row r="506" spans="2:42" hidden="1" outlineLevel="1">
      <c r="B506" s="1595"/>
      <c r="C506" s="1596" t="s">
        <v>400</v>
      </c>
      <c r="D506" s="1596"/>
      <c r="E506" s="1596"/>
      <c r="F506" s="1596"/>
      <c r="G506" s="1596"/>
      <c r="H506" s="3"/>
      <c r="I506" s="3"/>
      <c r="J506" s="3">
        <f t="shared" ref="J506:S506" si="814">(J495-J496)*J497/100</f>
        <v>-1508.9781265102031</v>
      </c>
      <c r="K506" s="3">
        <f t="shared" si="814"/>
        <v>749.83448757364749</v>
      </c>
      <c r="L506" s="3">
        <f t="shared" si="814"/>
        <v>3119.878275251654</v>
      </c>
      <c r="M506" s="3">
        <f t="shared" si="814"/>
        <v>3215.2436248998956</v>
      </c>
      <c r="N506" s="3">
        <f t="shared" si="814"/>
        <v>3289.1760457571172</v>
      </c>
      <c r="O506" s="3">
        <f t="shared" si="814"/>
        <v>4911.8676140635762</v>
      </c>
      <c r="P506" s="3">
        <f t="shared" si="814"/>
        <v>4195.7845636351021</v>
      </c>
      <c r="Q506" s="3">
        <f t="shared" si="814"/>
        <v>4917.0689926735304</v>
      </c>
      <c r="R506" s="3">
        <f t="shared" si="814"/>
        <v>4266.7288707503958</v>
      </c>
      <c r="S506" s="3">
        <f t="shared" si="814"/>
        <v>3808.6341665701916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1995"/>
      <c r="AI506" s="3"/>
      <c r="AJ506" s="1995"/>
      <c r="AK506" s="8"/>
      <c r="AL506" s="3"/>
      <c r="AM506" s="3"/>
      <c r="AN506" s="3"/>
      <c r="AO506" s="3"/>
      <c r="AP506" s="3"/>
    </row>
    <row r="507" spans="2:42" hidden="1" outlineLevel="1">
      <c r="B507" s="1595"/>
      <c r="C507" s="1596" t="s">
        <v>399</v>
      </c>
      <c r="D507" s="1596"/>
      <c r="E507" s="1596"/>
      <c r="F507" s="1596"/>
      <c r="G507" s="1596"/>
      <c r="H507" s="3"/>
      <c r="I507" s="3"/>
      <c r="J507" s="3">
        <f t="shared" ref="J507:S507" si="815">J506/J496*100+J497</f>
        <v>144059.612305919</v>
      </c>
      <c r="K507" s="3">
        <f t="shared" si="815"/>
        <v>207655.60341186705</v>
      </c>
      <c r="L507" s="3">
        <f t="shared" si="815"/>
        <v>271035.76005317929</v>
      </c>
      <c r="M507" s="3">
        <f t="shared" si="815"/>
        <v>284873.72394058423</v>
      </c>
      <c r="N507" s="3">
        <f t="shared" si="815"/>
        <v>276944.04514873482</v>
      </c>
      <c r="O507" s="3">
        <f t="shared" si="815"/>
        <v>300266.7580526481</v>
      </c>
      <c r="P507" s="3">
        <f t="shared" si="815"/>
        <v>279607.37588740845</v>
      </c>
      <c r="Q507" s="3">
        <f t="shared" si="815"/>
        <v>289930.48763201653</v>
      </c>
      <c r="R507" s="3">
        <f t="shared" si="815"/>
        <v>263610.74641488655</v>
      </c>
      <c r="S507" s="3">
        <f t="shared" si="815"/>
        <v>248365.22383692407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1995"/>
      <c r="AI507" s="3"/>
      <c r="AJ507" s="1995"/>
      <c r="AK507" s="8"/>
      <c r="AL507" s="3"/>
      <c r="AM507" s="3"/>
      <c r="AN507" s="3"/>
      <c r="AO507" s="3"/>
      <c r="AP507" s="3"/>
    </row>
    <row r="508" spans="2:42" hidden="1" outlineLevel="1">
      <c r="B508" s="1595"/>
      <c r="C508" s="1596" t="s">
        <v>398</v>
      </c>
      <c r="D508" s="1596"/>
      <c r="E508" s="1596"/>
      <c r="F508" s="1596"/>
      <c r="G508" s="1596"/>
      <c r="H508" s="3"/>
      <c r="I508" s="3"/>
      <c r="J508" s="3">
        <f t="shared" ref="J508:S508" si="816">J509-J507</f>
        <v>14704.663939291728</v>
      </c>
      <c r="K508" s="3">
        <f t="shared" si="816"/>
        <v>-77632.243717210658</v>
      </c>
      <c r="L508" s="3">
        <f t="shared" si="816"/>
        <v>-140036.21577837021</v>
      </c>
      <c r="M508" s="3">
        <f t="shared" si="816"/>
        <v>-169153.73815514357</v>
      </c>
      <c r="N508" s="3">
        <f t="shared" si="816"/>
        <v>-141380.41809892631</v>
      </c>
      <c r="O508" s="3">
        <f t="shared" si="816"/>
        <v>-165952.83286180836</v>
      </c>
      <c r="P508" s="3">
        <f t="shared" si="816"/>
        <v>-143528.64204710416</v>
      </c>
      <c r="Q508" s="3">
        <f t="shared" si="816"/>
        <v>-139578.51663965013</v>
      </c>
      <c r="R508" s="3">
        <f t="shared" si="816"/>
        <v>-86140.899086642487</v>
      </c>
      <c r="S508" s="3">
        <f t="shared" si="816"/>
        <v>-83663.941461445094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1995"/>
      <c r="AI508" s="3"/>
      <c r="AJ508" s="1995"/>
      <c r="AK508" s="8"/>
      <c r="AL508" s="3"/>
      <c r="AM508" s="3"/>
      <c r="AN508" s="3"/>
      <c r="AO508" s="3"/>
      <c r="AP508" s="3"/>
    </row>
    <row r="509" spans="2:42" hidden="1" outlineLevel="1">
      <c r="B509" s="1595"/>
      <c r="C509" s="1596" t="s">
        <v>397</v>
      </c>
      <c r="D509" s="1596"/>
      <c r="E509" s="1596"/>
      <c r="F509" s="1596"/>
      <c r="G509" s="1596"/>
      <c r="H509" s="3"/>
      <c r="I509" s="3"/>
      <c r="J509" s="3">
        <f t="shared" ref="J509:S509" si="817">J480</f>
        <v>158764.27624521073</v>
      </c>
      <c r="K509" s="3">
        <f t="shared" si="817"/>
        <v>130023.35969465639</v>
      </c>
      <c r="L509" s="3">
        <f t="shared" si="817"/>
        <v>130999.54427480907</v>
      </c>
      <c r="M509" s="3">
        <f t="shared" si="817"/>
        <v>115719.98578544066</v>
      </c>
      <c r="N509" s="3">
        <f t="shared" si="817"/>
        <v>135563.62704980851</v>
      </c>
      <c r="O509" s="3">
        <f t="shared" si="817"/>
        <v>134313.92519083974</v>
      </c>
      <c r="P509" s="3">
        <f t="shared" si="817"/>
        <v>136078.73384030428</v>
      </c>
      <c r="Q509" s="3">
        <f t="shared" si="817"/>
        <v>150351.9709923664</v>
      </c>
      <c r="R509" s="3">
        <f t="shared" si="817"/>
        <v>177469.84732824407</v>
      </c>
      <c r="S509" s="3">
        <f t="shared" si="817"/>
        <v>164701.28237547897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1995"/>
      <c r="AI509" s="3"/>
      <c r="AJ509" s="1995"/>
      <c r="AK509" s="8"/>
      <c r="AL509" s="3"/>
      <c r="AM509" s="3"/>
      <c r="AN509" s="3"/>
      <c r="AO509" s="3"/>
      <c r="AP509" s="3"/>
    </row>
    <row r="510" spans="2:42" hidden="1" outlineLevel="1">
      <c r="B510" s="1338"/>
    </row>
    <row r="511" spans="2:42" hidden="1" outlineLevel="1">
      <c r="B511" s="1572"/>
      <c r="C511" s="1573" t="s">
        <v>385</v>
      </c>
      <c r="D511" s="1573"/>
      <c r="E511" s="1573"/>
      <c r="F511" s="1573"/>
      <c r="G511" s="1573"/>
      <c r="H511" s="1573"/>
      <c r="I511" s="1573"/>
      <c r="J511" s="1573"/>
      <c r="K511" s="1573"/>
      <c r="L511" s="1573"/>
      <c r="M511" s="1573"/>
      <c r="N511" s="1573"/>
      <c r="O511" s="1573"/>
      <c r="P511" s="1573"/>
      <c r="Q511" s="1573"/>
      <c r="R511" s="1573"/>
      <c r="S511" s="1573"/>
      <c r="T511" s="1573"/>
      <c r="U511" s="1573"/>
      <c r="V511" s="1573"/>
      <c r="W511" s="1573"/>
      <c r="X511" s="1573"/>
      <c r="Y511" s="1573"/>
      <c r="Z511" s="1573"/>
      <c r="AA511" s="1573"/>
      <c r="AB511" s="1573"/>
      <c r="AC511" s="1573"/>
      <c r="AD511" s="1573"/>
      <c r="AE511" s="1573"/>
      <c r="AF511" s="1573"/>
      <c r="AG511" s="1573"/>
      <c r="AH511" s="1988"/>
      <c r="AI511" s="1573"/>
      <c r="AJ511" s="1988"/>
      <c r="AK511" s="1584"/>
      <c r="AL511" s="1573"/>
      <c r="AM511" s="1573"/>
      <c r="AN511" s="1573"/>
      <c r="AO511" s="1573"/>
      <c r="AP511" s="1573"/>
    </row>
    <row r="512" spans="2:42" hidden="1" outlineLevel="1">
      <c r="B512" s="1597"/>
      <c r="C512" s="1598" t="s">
        <v>385</v>
      </c>
      <c r="D512" s="1598"/>
      <c r="E512" s="1598"/>
      <c r="F512" s="1598"/>
      <c r="G512" s="1598"/>
      <c r="H512" s="1599"/>
      <c r="I512" s="1599"/>
      <c r="J512" s="1599">
        <f t="shared" ref="J512:S512" si="818">J513*(1-42%)*(1-J515)+J515*(J517+J516*J514)</f>
        <v>3.6505720901373835E-2</v>
      </c>
      <c r="K512" s="1599">
        <f t="shared" si="818"/>
        <v>3.5083088923685009E-2</v>
      </c>
      <c r="L512" s="1599">
        <f t="shared" si="818"/>
        <v>3.5399756836948258E-2</v>
      </c>
      <c r="M512" s="1599">
        <f t="shared" si="818"/>
        <v>3.4322575858345236E-2</v>
      </c>
      <c r="N512" s="1599">
        <f t="shared" si="818"/>
        <v>3.5742960260018504E-2</v>
      </c>
      <c r="O512" s="1599">
        <f t="shared" si="818"/>
        <v>3.8755538826444433E-2</v>
      </c>
      <c r="P512" s="1599">
        <f t="shared" si="818"/>
        <v>4.0007528286752025E-2</v>
      </c>
      <c r="Q512" s="1599">
        <f t="shared" si="818"/>
        <v>4.1896249336210292E-2</v>
      </c>
      <c r="R512" s="1599">
        <f t="shared" si="818"/>
        <v>4.5373719253368583E-2</v>
      </c>
      <c r="S512" s="1599">
        <f t="shared" si="818"/>
        <v>4.7277150233036504E-2</v>
      </c>
      <c r="T512" s="1599"/>
      <c r="U512" s="1599"/>
      <c r="V512" s="1599"/>
      <c r="W512" s="1599"/>
      <c r="X512" s="1599"/>
      <c r="Y512" s="1599"/>
      <c r="Z512" s="1599"/>
      <c r="AA512" s="1599"/>
      <c r="AB512" s="1599"/>
      <c r="AC512" s="1599"/>
      <c r="AD512" s="1599"/>
      <c r="AE512" s="1599"/>
      <c r="AF512" s="1599"/>
      <c r="AG512" s="1599"/>
      <c r="AH512" s="1996"/>
      <c r="AI512" s="1599"/>
      <c r="AJ512" s="1996"/>
      <c r="AK512" s="1600"/>
      <c r="AL512" s="1599"/>
      <c r="AM512" s="1599"/>
      <c r="AN512" s="1599"/>
      <c r="AO512" s="1599"/>
      <c r="AP512" s="1599"/>
    </row>
    <row r="513" spans="2:42" hidden="1" outlineLevel="1">
      <c r="B513" s="1601"/>
      <c r="C513" s="1601" t="s">
        <v>396</v>
      </c>
      <c r="D513" s="1601"/>
      <c r="E513" s="1601"/>
      <c r="F513" s="1601"/>
      <c r="G513" s="1601"/>
      <c r="H513" s="1602"/>
      <c r="I513" s="1602"/>
      <c r="J513" s="1602">
        <f t="shared" ref="J513:S513" si="819">J521</f>
        <v>2.9597611677869558E-2</v>
      </c>
      <c r="K513" s="1602">
        <f t="shared" si="819"/>
        <v>3.1846941668224833E-2</v>
      </c>
      <c r="L513" s="1602">
        <f t="shared" si="819"/>
        <v>2.6042348260789907E-2</v>
      </c>
      <c r="M513" s="1602">
        <f t="shared" si="819"/>
        <v>2.5389667055219022E-2</v>
      </c>
      <c r="N513" s="1602">
        <f t="shared" si="819"/>
        <v>1.6942791271245511E-2</v>
      </c>
      <c r="O513" s="1602">
        <f t="shared" si="819"/>
        <v>1.7128083593665841E-2</v>
      </c>
      <c r="P513" s="1602">
        <f t="shared" si="819"/>
        <v>1.6615757633383649E-2</v>
      </c>
      <c r="Q513" s="1602">
        <f t="shared" si="819"/>
        <v>1.63899188564673E-2</v>
      </c>
      <c r="R513" s="1602">
        <f t="shared" si="819"/>
        <v>1.6637515464357322E-2</v>
      </c>
      <c r="S513" s="1602">
        <f t="shared" si="819"/>
        <v>2.0699279013877046E-2</v>
      </c>
      <c r="T513" s="1602"/>
      <c r="U513" s="1602"/>
      <c r="V513" s="1602"/>
      <c r="W513" s="1602"/>
      <c r="X513" s="1602"/>
      <c r="Y513" s="1602"/>
      <c r="Z513" s="1602"/>
      <c r="AA513" s="1602"/>
      <c r="AB513" s="1602"/>
      <c r="AC513" s="1602"/>
      <c r="AD513" s="1602"/>
      <c r="AE513" s="1602"/>
      <c r="AF513" s="1602"/>
      <c r="AG513" s="1602"/>
      <c r="AH513" s="1997"/>
      <c r="AI513" s="1602"/>
      <c r="AJ513" s="1997"/>
      <c r="AK513" s="1603"/>
      <c r="AL513" s="1602"/>
      <c r="AM513" s="1602"/>
      <c r="AN513" s="1602"/>
      <c r="AO513" s="1602"/>
      <c r="AP513" s="1602"/>
    </row>
    <row r="514" spans="2:42" hidden="1" outlineLevel="1">
      <c r="B514" s="1604"/>
      <c r="C514" s="1605" t="s">
        <v>395</v>
      </c>
      <c r="D514" s="1605"/>
      <c r="E514" s="1605"/>
      <c r="F514" s="1605"/>
      <c r="G514" s="1605"/>
      <c r="H514" s="1588"/>
      <c r="I514" s="1588"/>
      <c r="J514" s="1588">
        <v>0.7</v>
      </c>
      <c r="K514" s="1588">
        <v>0.7</v>
      </c>
      <c r="L514" s="1588">
        <v>0.7</v>
      </c>
      <c r="M514" s="1588">
        <v>0.7</v>
      </c>
      <c r="N514" s="1588">
        <v>0.7</v>
      </c>
      <c r="O514" s="1588">
        <v>0.7</v>
      </c>
      <c r="P514" s="1588">
        <v>0.7</v>
      </c>
      <c r="Q514" s="1588">
        <v>0.7</v>
      </c>
      <c r="R514" s="1588">
        <v>0.7</v>
      </c>
      <c r="S514" s="1588">
        <v>0.7</v>
      </c>
      <c r="T514" s="1588"/>
      <c r="U514" s="1588"/>
      <c r="V514" s="1588"/>
      <c r="W514" s="1588"/>
      <c r="X514" s="1588"/>
      <c r="Y514" s="1588"/>
      <c r="Z514" s="1588"/>
      <c r="AA514" s="1588"/>
      <c r="AB514" s="1588"/>
      <c r="AC514" s="1588"/>
      <c r="AD514" s="1588"/>
      <c r="AE514" s="1588"/>
      <c r="AF514" s="1588"/>
      <c r="AG514" s="1588"/>
      <c r="AH514" s="1998"/>
      <c r="AI514" s="1588"/>
      <c r="AJ514" s="1998"/>
      <c r="AK514" s="1606"/>
      <c r="AL514" s="1588"/>
      <c r="AM514" s="1588"/>
      <c r="AN514" s="1588"/>
      <c r="AO514" s="1588"/>
      <c r="AP514" s="1588"/>
    </row>
    <row r="515" spans="2:42" hidden="1" outlineLevel="1">
      <c r="B515" s="1604"/>
      <c r="C515" s="1605" t="s">
        <v>394</v>
      </c>
      <c r="D515" s="1605"/>
      <c r="E515" s="1605"/>
      <c r="F515" s="1605"/>
      <c r="G515" s="1605"/>
      <c r="H515" s="1602"/>
      <c r="I515" s="1602"/>
      <c r="J515" s="1602">
        <f t="shared" ref="J515:S515" si="820">J476/(J476+J520)</f>
        <v>0.59811572442958005</v>
      </c>
      <c r="K515" s="1602">
        <f t="shared" si="820"/>
        <v>0.53536961678945838</v>
      </c>
      <c r="L515" s="1602">
        <f t="shared" si="820"/>
        <v>0.59005484507951145</v>
      </c>
      <c r="M515" s="1602">
        <f t="shared" si="820"/>
        <v>0.56354094582899983</v>
      </c>
      <c r="N515" s="1602">
        <f t="shared" si="820"/>
        <v>0.65324081983122406</v>
      </c>
      <c r="O515" s="1602">
        <f t="shared" si="820"/>
        <v>0.7284400870865374</v>
      </c>
      <c r="P515" s="1602">
        <f t="shared" si="820"/>
        <v>0.76187178800299749</v>
      </c>
      <c r="Q515" s="1602">
        <f t="shared" si="820"/>
        <v>0.80987698803356878</v>
      </c>
      <c r="R515" s="1602">
        <f t="shared" si="820"/>
        <v>0.8964553126929542</v>
      </c>
      <c r="S515" s="1602">
        <f t="shared" si="820"/>
        <v>0.94071518174333602</v>
      </c>
      <c r="T515" s="1602"/>
      <c r="U515" s="1602"/>
      <c r="V515" s="1602"/>
      <c r="W515" s="1602"/>
      <c r="X515" s="1602"/>
      <c r="Y515" s="1602"/>
      <c r="Z515" s="1602"/>
      <c r="AA515" s="1602"/>
      <c r="AB515" s="1602"/>
      <c r="AC515" s="1602"/>
      <c r="AD515" s="1602"/>
      <c r="AE515" s="1602"/>
      <c r="AF515" s="1602"/>
      <c r="AG515" s="1602"/>
      <c r="AH515" s="1997"/>
      <c r="AI515" s="1602"/>
      <c r="AJ515" s="1997"/>
      <c r="AK515" s="1603"/>
      <c r="AL515" s="1602"/>
      <c r="AM515" s="1602"/>
      <c r="AN515" s="1602"/>
      <c r="AO515" s="1602"/>
      <c r="AP515" s="1602"/>
    </row>
    <row r="516" spans="2:42" hidden="1" outlineLevel="1">
      <c r="B516" s="1601"/>
      <c r="C516" s="1601" t="s">
        <v>393</v>
      </c>
      <c r="D516" s="1601"/>
      <c r="E516" s="1601"/>
      <c r="F516" s="1601"/>
      <c r="G516" s="1601"/>
      <c r="H516" s="1602"/>
      <c r="I516" s="1602"/>
      <c r="J516" s="1602">
        <v>0.05</v>
      </c>
      <c r="K516" s="1602">
        <v>0.05</v>
      </c>
      <c r="L516" s="1602">
        <v>0.05</v>
      </c>
      <c r="M516" s="1602">
        <v>0.05</v>
      </c>
      <c r="N516" s="1602">
        <v>0.05</v>
      </c>
      <c r="O516" s="1602">
        <v>0.05</v>
      </c>
      <c r="P516" s="1602">
        <v>0.05</v>
      </c>
      <c r="Q516" s="1602">
        <v>0.05</v>
      </c>
      <c r="R516" s="1602">
        <v>0.05</v>
      </c>
      <c r="S516" s="1602">
        <v>0.05</v>
      </c>
      <c r="T516" s="1602"/>
      <c r="U516" s="1602"/>
      <c r="V516" s="1602"/>
      <c r="W516" s="1602"/>
      <c r="X516" s="1602"/>
      <c r="Y516" s="1602"/>
      <c r="Z516" s="1602"/>
      <c r="AA516" s="1602"/>
      <c r="AB516" s="1602"/>
      <c r="AC516" s="1602"/>
      <c r="AD516" s="1602"/>
      <c r="AE516" s="1602"/>
      <c r="AF516" s="1602"/>
      <c r="AG516" s="1602"/>
      <c r="AH516" s="1997"/>
      <c r="AI516" s="1602"/>
      <c r="AJ516" s="1997"/>
      <c r="AK516" s="1603"/>
      <c r="AL516" s="1602"/>
      <c r="AM516" s="1602"/>
      <c r="AN516" s="1602"/>
      <c r="AO516" s="1602"/>
      <c r="AP516" s="1602"/>
    </row>
    <row r="517" spans="2:42" hidden="1" outlineLevel="1">
      <c r="B517" s="1607"/>
      <c r="C517" s="1608" t="s">
        <v>392</v>
      </c>
      <c r="D517" s="1608"/>
      <c r="E517" s="1608"/>
      <c r="F517" s="1608"/>
      <c r="G517" s="1608"/>
      <c r="H517" s="1609"/>
      <c r="I517" s="1609">
        <v>2.9000000000000001E-2</v>
      </c>
      <c r="J517" s="1609">
        <v>1.4500000000000001E-2</v>
      </c>
      <c r="K517" s="1609">
        <v>1.4500000000000001E-2</v>
      </c>
      <c r="L517" s="1609">
        <v>1.4500000000000001E-2</v>
      </c>
      <c r="M517" s="1609">
        <v>1.4500000000000001E-2</v>
      </c>
      <c r="N517" s="1609">
        <v>1.4500000000000001E-2</v>
      </c>
      <c r="O517" s="1609">
        <v>1.4500000000000001E-2</v>
      </c>
      <c r="P517" s="1609">
        <v>1.4500000000000001E-2</v>
      </c>
      <c r="Q517" s="1609">
        <v>1.4500000000000001E-2</v>
      </c>
      <c r="R517" s="1609">
        <v>1.4500000000000001E-2</v>
      </c>
      <c r="S517" s="1609">
        <v>1.4500000000000001E-2</v>
      </c>
      <c r="T517" s="1609"/>
      <c r="U517" s="1609"/>
      <c r="V517" s="1609"/>
      <c r="W517" s="1609"/>
      <c r="X517" s="1609"/>
      <c r="Y517" s="1609"/>
      <c r="Z517" s="1609"/>
      <c r="AA517" s="1609"/>
      <c r="AB517" s="1609"/>
      <c r="AC517" s="1609"/>
      <c r="AD517" s="1609"/>
      <c r="AE517" s="1609"/>
      <c r="AF517" s="1609"/>
      <c r="AG517" s="1609"/>
      <c r="AH517" s="1999"/>
      <c r="AI517" s="1609"/>
      <c r="AJ517" s="1999"/>
      <c r="AK517" s="1610"/>
      <c r="AL517" s="1609"/>
      <c r="AM517" s="1609"/>
      <c r="AN517" s="1609"/>
      <c r="AO517" s="1609"/>
      <c r="AP517" s="1609"/>
    </row>
    <row r="518" spans="2:42" hidden="1" outlineLevel="1">
      <c r="B518" s="1569"/>
      <c r="C518" s="1570"/>
      <c r="D518" s="1570"/>
      <c r="E518" s="1570"/>
      <c r="F518" s="1570"/>
      <c r="G518" s="1570"/>
      <c r="H518" s="1570"/>
      <c r="I518" s="1570"/>
      <c r="J518" s="1570"/>
      <c r="K518" s="1570"/>
      <c r="L518" s="1570"/>
      <c r="M518" s="1570"/>
      <c r="N518" s="1570"/>
      <c r="O518" s="1570"/>
      <c r="P518" s="1570"/>
      <c r="Q518" s="1570"/>
      <c r="R518" s="1570"/>
      <c r="S518" s="1570"/>
      <c r="T518" s="1570"/>
      <c r="U518" s="1570"/>
      <c r="V518" s="1570"/>
      <c r="W518" s="1570"/>
      <c r="X518" s="1570"/>
      <c r="Y518" s="1570"/>
      <c r="Z518" s="1570"/>
      <c r="AA518" s="1570"/>
      <c r="AB518" s="1570"/>
      <c r="AC518" s="1570"/>
      <c r="AD518" s="1570"/>
      <c r="AE518" s="1570"/>
      <c r="AF518" s="1570"/>
      <c r="AG518" s="1570"/>
      <c r="AH518" s="1984"/>
      <c r="AI518" s="1570"/>
      <c r="AJ518" s="1984"/>
      <c r="AK518" s="1571"/>
      <c r="AL518" s="1570"/>
      <c r="AM518" s="1570"/>
      <c r="AN518" s="1570"/>
      <c r="AO518" s="1570"/>
      <c r="AP518" s="1570"/>
    </row>
    <row r="519" spans="2:42" hidden="1" outlineLevel="1">
      <c r="B519" s="1611"/>
      <c r="C519" s="1612" t="s">
        <v>391</v>
      </c>
      <c r="D519" s="1612"/>
      <c r="E519" s="1612"/>
      <c r="F519" s="1612"/>
      <c r="G519" s="1612"/>
      <c r="H519" s="1613"/>
      <c r="I519" s="1613">
        <f t="shared" ref="I519:S519" si="821">I26</f>
        <v>2600</v>
      </c>
      <c r="J519" s="1613">
        <f t="shared" si="821"/>
        <v>2424</v>
      </c>
      <c r="K519" s="1613">
        <f t="shared" si="821"/>
        <v>2640</v>
      </c>
      <c r="L519" s="1613">
        <f t="shared" si="821"/>
        <v>1990</v>
      </c>
      <c r="M519" s="1613">
        <f t="shared" si="821"/>
        <v>1993</v>
      </c>
      <c r="N519" s="1613">
        <f t="shared" si="821"/>
        <v>1106</v>
      </c>
      <c r="O519" s="1613">
        <f t="shared" si="821"/>
        <v>795</v>
      </c>
      <c r="P519" s="1613">
        <f t="shared" si="821"/>
        <v>699</v>
      </c>
      <c r="Q519" s="1613">
        <f t="shared" si="821"/>
        <v>610</v>
      </c>
      <c r="R519" s="1613">
        <f t="shared" si="821"/>
        <v>390</v>
      </c>
      <c r="S519" s="1613">
        <f t="shared" si="821"/>
        <v>267</v>
      </c>
      <c r="T519" s="1613"/>
      <c r="U519" s="1613"/>
      <c r="V519" s="1613"/>
      <c r="W519" s="1613"/>
      <c r="X519" s="1613"/>
      <c r="Y519" s="1613"/>
      <c r="Z519" s="1613"/>
      <c r="AA519" s="1613"/>
      <c r="AB519" s="1613"/>
      <c r="AC519" s="1613"/>
      <c r="AD519" s="1613"/>
      <c r="AE519" s="1613"/>
      <c r="AF519" s="1613"/>
      <c r="AG519" s="1613"/>
      <c r="AH519" s="2000"/>
      <c r="AI519" s="1613"/>
      <c r="AJ519" s="2000"/>
      <c r="AK519" s="1614"/>
      <c r="AL519" s="1613"/>
      <c r="AM519" s="1613"/>
      <c r="AN519" s="1613"/>
      <c r="AO519" s="1613"/>
      <c r="AP519" s="1613"/>
    </row>
    <row r="520" spans="2:42" hidden="1" outlineLevel="1">
      <c r="B520" s="1587"/>
      <c r="C520" s="1588" t="s">
        <v>390</v>
      </c>
      <c r="D520" s="1588"/>
      <c r="E520" s="1588"/>
      <c r="F520" s="1588"/>
      <c r="G520" s="1588"/>
      <c r="H520" s="1615"/>
      <c r="I520" s="1615">
        <v>86282</v>
      </c>
      <c r="J520" s="1615">
        <v>81898.5</v>
      </c>
      <c r="K520" s="1615">
        <v>82896.5</v>
      </c>
      <c r="L520" s="1615">
        <v>76414</v>
      </c>
      <c r="M520" s="1615">
        <v>78496.5</v>
      </c>
      <c r="N520" s="1615">
        <v>65278.5</v>
      </c>
      <c r="O520" s="1615">
        <v>46415</v>
      </c>
      <c r="P520" s="1615">
        <v>42068.5</v>
      </c>
      <c r="Q520" s="1615">
        <v>37218</v>
      </c>
      <c r="R520" s="1615">
        <v>23441</v>
      </c>
      <c r="S520" s="1615">
        <v>12899</v>
      </c>
      <c r="T520" s="1615"/>
      <c r="U520" s="1615"/>
      <c r="V520" s="1615"/>
      <c r="W520" s="1615"/>
      <c r="X520" s="1615"/>
      <c r="Y520" s="1615"/>
      <c r="Z520" s="1615"/>
      <c r="AA520" s="1615"/>
      <c r="AB520" s="1615"/>
      <c r="AC520" s="1615"/>
      <c r="AD520" s="1615"/>
      <c r="AE520" s="1615"/>
      <c r="AF520" s="1615"/>
      <c r="AG520" s="1615"/>
      <c r="AH520" s="2001"/>
      <c r="AI520" s="1615"/>
      <c r="AJ520" s="2001"/>
      <c r="AK520" s="1616"/>
      <c r="AL520" s="1615"/>
      <c r="AM520" s="1615"/>
      <c r="AN520" s="1615"/>
      <c r="AO520" s="1615"/>
      <c r="AP520" s="1615"/>
    </row>
    <row r="521" spans="2:42" hidden="1" outlineLevel="1">
      <c r="B521" s="1587"/>
      <c r="C521" s="1588" t="s">
        <v>389</v>
      </c>
      <c r="D521" s="1588"/>
      <c r="E521" s="1588"/>
      <c r="F521" s="1588"/>
      <c r="G521" s="1588"/>
      <c r="H521" s="1602"/>
      <c r="I521" s="1602">
        <f t="shared" ref="I521:S521" si="822">I519/I520</f>
        <v>3.0133747479196123E-2</v>
      </c>
      <c r="J521" s="1602">
        <f t="shared" si="822"/>
        <v>2.9597611677869558E-2</v>
      </c>
      <c r="K521" s="1602">
        <f t="shared" si="822"/>
        <v>3.1846941668224833E-2</v>
      </c>
      <c r="L521" s="1602">
        <f t="shared" si="822"/>
        <v>2.6042348260789907E-2</v>
      </c>
      <c r="M521" s="1602">
        <f t="shared" si="822"/>
        <v>2.5389667055219022E-2</v>
      </c>
      <c r="N521" s="1602">
        <f t="shared" si="822"/>
        <v>1.6942791271245511E-2</v>
      </c>
      <c r="O521" s="1602">
        <f t="shared" si="822"/>
        <v>1.7128083593665841E-2</v>
      </c>
      <c r="P521" s="1602">
        <f t="shared" si="822"/>
        <v>1.6615757633383649E-2</v>
      </c>
      <c r="Q521" s="1602">
        <f t="shared" si="822"/>
        <v>1.63899188564673E-2</v>
      </c>
      <c r="R521" s="1602">
        <f t="shared" si="822"/>
        <v>1.6637515464357322E-2</v>
      </c>
      <c r="S521" s="1602">
        <f t="shared" si="822"/>
        <v>2.0699279013877046E-2</v>
      </c>
      <c r="T521" s="1602"/>
      <c r="U521" s="1602"/>
      <c r="V521" s="1602"/>
      <c r="W521" s="1602"/>
      <c r="X521" s="1602"/>
      <c r="Y521" s="1602"/>
      <c r="Z521" s="1602"/>
      <c r="AA521" s="1602"/>
      <c r="AB521" s="1602"/>
      <c r="AC521" s="1602"/>
      <c r="AD521" s="1602"/>
      <c r="AE521" s="1602"/>
      <c r="AF521" s="1602"/>
      <c r="AG521" s="1602"/>
      <c r="AH521" s="1997"/>
      <c r="AI521" s="1602"/>
      <c r="AJ521" s="1997"/>
      <c r="AK521" s="1603"/>
      <c r="AL521" s="1602"/>
      <c r="AM521" s="1602"/>
      <c r="AN521" s="1602"/>
      <c r="AO521" s="1602"/>
      <c r="AP521" s="1602"/>
    </row>
    <row r="522" spans="2:42" hidden="1" outlineLevel="1">
      <c r="B522" s="1587"/>
      <c r="C522" s="1588" t="s">
        <v>388</v>
      </c>
      <c r="D522" s="1588"/>
      <c r="E522" s="1588"/>
      <c r="F522" s="1588"/>
      <c r="G522" s="1588"/>
      <c r="H522" s="1617"/>
      <c r="I522" s="1617">
        <f t="shared" ref="I522:S522" si="823">I47</f>
        <v>110881.04399999999</v>
      </c>
      <c r="J522" s="1617">
        <f t="shared" si="823"/>
        <v>110881.04399999999</v>
      </c>
      <c r="K522" s="1617">
        <f t="shared" si="823"/>
        <v>110881.04399999999</v>
      </c>
      <c r="L522" s="1617">
        <f t="shared" si="823"/>
        <v>110881.04399999999</v>
      </c>
      <c r="M522" s="1617">
        <f t="shared" si="823"/>
        <v>110881.04399999999</v>
      </c>
      <c r="N522" s="1617">
        <f t="shared" si="823"/>
        <v>110881.04400000001</v>
      </c>
      <c r="O522" s="1617">
        <f t="shared" si="823"/>
        <v>110881.04399999999</v>
      </c>
      <c r="P522" s="1617">
        <f t="shared" si="823"/>
        <v>110881.04400000001</v>
      </c>
      <c r="Q522" s="1617">
        <f t="shared" si="823"/>
        <v>110881.04399999999</v>
      </c>
      <c r="R522" s="1617">
        <f t="shared" si="823"/>
        <v>110881.04400000001</v>
      </c>
      <c r="S522" s="1617">
        <f t="shared" si="823"/>
        <v>110881.04399999999</v>
      </c>
      <c r="T522" s="1617"/>
      <c r="U522" s="1617"/>
      <c r="V522" s="1617"/>
      <c r="W522" s="1617"/>
      <c r="X522" s="1617"/>
      <c r="Y522" s="1617"/>
      <c r="Z522" s="1617"/>
      <c r="AA522" s="1617"/>
      <c r="AB522" s="1617"/>
      <c r="AC522" s="1617"/>
      <c r="AD522" s="1617"/>
      <c r="AE522" s="1617"/>
      <c r="AF522" s="1617"/>
      <c r="AG522" s="1617"/>
      <c r="AH522" s="2002"/>
      <c r="AI522" s="1617"/>
      <c r="AJ522" s="2002"/>
      <c r="AK522" s="1618"/>
      <c r="AL522" s="1617"/>
      <c r="AM522" s="1617"/>
      <c r="AN522" s="1617"/>
      <c r="AO522" s="1617"/>
      <c r="AP522" s="1617"/>
    </row>
    <row r="523" spans="2:42" hidden="1" outlineLevel="1">
      <c r="B523" s="1350"/>
      <c r="C523" s="1341"/>
      <c r="D523" s="1341"/>
      <c r="E523" s="1341"/>
      <c r="F523" s="1341"/>
      <c r="G523" s="1341"/>
      <c r="H523" s="1341"/>
      <c r="I523" s="1341"/>
      <c r="J523" s="1341"/>
      <c r="K523" s="1341"/>
      <c r="L523" s="1341"/>
      <c r="M523" s="1341"/>
      <c r="N523" s="1341"/>
      <c r="O523" s="1341"/>
      <c r="P523" s="1341"/>
      <c r="Q523" s="1341"/>
      <c r="R523" s="1341"/>
      <c r="S523" s="1341"/>
      <c r="T523" s="1341"/>
      <c r="U523" s="1341"/>
      <c r="V523" s="1341"/>
      <c r="W523" s="1341"/>
      <c r="X523" s="1341"/>
      <c r="Y523" s="1341"/>
      <c r="Z523" s="1341"/>
      <c r="AA523" s="1341"/>
      <c r="AB523" s="1341"/>
      <c r="AC523" s="1341"/>
      <c r="AD523" s="1341"/>
      <c r="AE523" s="1341"/>
      <c r="AF523" s="1341"/>
      <c r="AG523" s="1341"/>
      <c r="AH523" s="1950"/>
      <c r="AI523" s="1341"/>
      <c r="AJ523" s="1950"/>
      <c r="AK523" s="1399"/>
      <c r="AL523" s="1341"/>
      <c r="AM523" s="1341"/>
      <c r="AN523" s="1341"/>
      <c r="AO523" s="1341"/>
      <c r="AP523" s="1341"/>
    </row>
    <row r="524" spans="2:42" hidden="1" outlineLevel="1">
      <c r="B524" s="1338"/>
      <c r="C524" s="1" t="s">
        <v>387</v>
      </c>
    </row>
    <row r="525" spans="2:42" hidden="1" outlineLevel="1">
      <c r="B525" s="1444"/>
      <c r="C525" s="1443" t="s">
        <v>386</v>
      </c>
      <c r="D525" s="1443"/>
      <c r="E525" s="1443"/>
      <c r="F525" s="1443"/>
      <c r="G525" s="1443"/>
      <c r="H525" s="1443"/>
      <c r="I525" s="1443"/>
      <c r="J525" s="1443"/>
      <c r="K525" s="1443"/>
      <c r="L525" s="1443"/>
      <c r="M525" s="1443"/>
      <c r="N525" s="1443"/>
      <c r="O525" s="1443"/>
      <c r="P525" s="1443"/>
      <c r="Q525" s="1443"/>
      <c r="R525" s="1443"/>
      <c r="S525" s="1443"/>
      <c r="T525" s="1443"/>
      <c r="U525" s="1443"/>
      <c r="V525" s="1443"/>
      <c r="W525" s="1443"/>
      <c r="X525" s="1443"/>
      <c r="Y525" s="1443"/>
      <c r="Z525" s="1443"/>
      <c r="AA525" s="1443"/>
      <c r="AB525" s="1443"/>
      <c r="AC525" s="1619"/>
      <c r="AD525" s="1619"/>
      <c r="AE525" s="1619"/>
      <c r="AF525" s="1619"/>
      <c r="AG525" s="1619"/>
      <c r="AH525" s="2003"/>
      <c r="AI525" s="1619"/>
      <c r="AJ525" s="2003"/>
      <c r="AK525" s="1620"/>
      <c r="AL525" s="1619"/>
      <c r="AM525" s="1619"/>
      <c r="AN525" s="1619"/>
      <c r="AO525" s="1619"/>
      <c r="AP525" s="1619"/>
    </row>
    <row r="526" spans="2:42" hidden="1" outlineLevel="1">
      <c r="B526" s="1450"/>
      <c r="C526" s="380" t="s">
        <v>385</v>
      </c>
      <c r="D526" s="380"/>
      <c r="E526" s="380"/>
      <c r="F526" s="380"/>
      <c r="G526" s="380"/>
      <c r="H526" s="380"/>
      <c r="I526" s="380"/>
      <c r="J526" s="380"/>
      <c r="K526" s="380"/>
      <c r="L526" s="380"/>
      <c r="M526" s="380"/>
      <c r="N526" s="380"/>
      <c r="O526" s="380"/>
      <c r="P526" s="380"/>
      <c r="Q526" s="380"/>
      <c r="R526" s="380"/>
      <c r="S526" s="380"/>
      <c r="T526" s="380"/>
      <c r="U526" s="380"/>
      <c r="V526" s="380"/>
      <c r="W526" s="380"/>
      <c r="X526" s="380"/>
      <c r="Y526" s="380"/>
      <c r="Z526" s="380"/>
      <c r="AA526" s="380"/>
      <c r="AB526" s="380"/>
      <c r="AC526" s="380"/>
      <c r="AD526" s="380"/>
      <c r="AE526" s="380"/>
      <c r="AF526" s="380"/>
      <c r="AG526" s="380"/>
      <c r="AH526" s="2004"/>
      <c r="AI526" s="380"/>
      <c r="AJ526" s="2004"/>
      <c r="AK526" s="381"/>
      <c r="AL526" s="380"/>
      <c r="AM526" s="380"/>
      <c r="AN526" s="380"/>
      <c r="AO526" s="380"/>
      <c r="AP526" s="380"/>
    </row>
    <row r="527" spans="2:42" hidden="1" outlineLevel="1">
      <c r="B527" s="1621"/>
      <c r="C527" s="1622"/>
      <c r="D527" s="1622"/>
      <c r="E527" s="1622"/>
      <c r="F527" s="1622"/>
      <c r="G527" s="1622"/>
      <c r="H527" s="1622"/>
      <c r="I527" s="1622"/>
      <c r="J527" s="1622"/>
      <c r="K527" s="1622"/>
      <c r="L527" s="1622"/>
      <c r="M527" s="1622"/>
      <c r="N527" s="1622"/>
      <c r="O527" s="1622"/>
      <c r="P527" s="1622"/>
      <c r="Q527" s="1622"/>
      <c r="R527" s="1622"/>
      <c r="S527" s="1622"/>
      <c r="T527" s="1622"/>
      <c r="U527" s="1622"/>
      <c r="V527" s="1622"/>
      <c r="W527" s="1622"/>
      <c r="X527" s="1622"/>
      <c r="Y527" s="1622"/>
      <c r="Z527" s="1622"/>
      <c r="AA527" s="1622"/>
      <c r="AB527" s="1622"/>
      <c r="AC527" s="1622"/>
      <c r="AD527" s="1622"/>
      <c r="AE527" s="1622"/>
      <c r="AF527" s="1622"/>
      <c r="AG527" s="1622"/>
      <c r="AH527" s="2005"/>
      <c r="AI527" s="1622"/>
      <c r="AJ527" s="2005"/>
      <c r="AK527" s="1623"/>
      <c r="AL527" s="1622"/>
      <c r="AM527" s="1622"/>
      <c r="AN527" s="1622"/>
      <c r="AO527" s="1622"/>
      <c r="AP527" s="1622"/>
    </row>
    <row r="528" spans="2:42" hidden="1" outlineLevel="1">
      <c r="B528" s="1350"/>
      <c r="C528" s="1341"/>
      <c r="D528" s="1341"/>
      <c r="E528" s="1341"/>
      <c r="F528" s="1341"/>
      <c r="G528" s="1341"/>
      <c r="H528" s="1341"/>
      <c r="I528" s="1341"/>
      <c r="J528" s="1341"/>
      <c r="K528" s="1341"/>
      <c r="L528" s="1341"/>
      <c r="M528" s="1341"/>
      <c r="N528" s="1341"/>
      <c r="O528" s="1341"/>
      <c r="P528" s="1341"/>
      <c r="Q528" s="1341"/>
      <c r="R528" s="1341"/>
      <c r="S528" s="1341"/>
      <c r="T528" s="1341"/>
      <c r="U528" s="1341"/>
      <c r="V528" s="1341"/>
      <c r="W528" s="1341"/>
      <c r="X528" s="1341"/>
      <c r="Y528" s="1341"/>
      <c r="Z528" s="1341"/>
      <c r="AA528" s="1341"/>
      <c r="AB528" s="1341"/>
      <c r="AC528" s="1341"/>
      <c r="AD528" s="1341"/>
      <c r="AE528" s="1341"/>
      <c r="AF528" s="1341"/>
      <c r="AG528" s="1341"/>
      <c r="AH528" s="1950"/>
      <c r="AI528" s="1341"/>
      <c r="AJ528" s="1950"/>
      <c r="AK528" s="1399"/>
      <c r="AL528" s="1341"/>
      <c r="AM528" s="1341"/>
      <c r="AN528" s="1341"/>
      <c r="AO528" s="1341"/>
      <c r="AP528" s="1341"/>
    </row>
    <row r="529" spans="2:65" hidden="1" outlineLevel="1">
      <c r="B529" s="1444"/>
      <c r="C529" s="1443" t="s">
        <v>384</v>
      </c>
      <c r="D529" s="1443"/>
      <c r="E529" s="1443"/>
      <c r="F529" s="1443"/>
      <c r="G529" s="1443"/>
      <c r="H529" s="1443"/>
      <c r="I529" s="1443"/>
      <c r="J529" s="1443"/>
      <c r="K529" s="1443"/>
      <c r="L529" s="1443"/>
      <c r="M529" s="1443"/>
      <c r="N529" s="1443"/>
      <c r="O529" s="1443"/>
      <c r="P529" s="1443"/>
      <c r="Q529" s="1443"/>
      <c r="R529" s="1443"/>
      <c r="S529" s="1443"/>
      <c r="T529" s="1443"/>
      <c r="U529" s="1443"/>
      <c r="V529" s="1443"/>
      <c r="W529" s="1443"/>
      <c r="X529" s="1443"/>
      <c r="Y529" s="1443"/>
      <c r="Z529" s="1443"/>
      <c r="AA529" s="1443"/>
      <c r="AB529" s="1443"/>
      <c r="AC529" s="1619"/>
      <c r="AD529" s="1619"/>
      <c r="AE529" s="1619"/>
      <c r="AF529" s="1619"/>
      <c r="AG529" s="1619"/>
      <c r="AH529" s="2003"/>
      <c r="AI529" s="1619"/>
      <c r="AJ529" s="2003"/>
      <c r="AK529" s="1620"/>
      <c r="AL529" s="1619"/>
      <c r="AM529" s="1619"/>
      <c r="AN529" s="1619"/>
      <c r="AO529" s="1619"/>
      <c r="AP529" s="1619"/>
    </row>
    <row r="530" spans="2:65" hidden="1" outlineLevel="1">
      <c r="B530" s="1450"/>
      <c r="C530" s="380" t="s">
        <v>383</v>
      </c>
      <c r="D530" s="380"/>
      <c r="E530" s="380"/>
      <c r="F530" s="380"/>
      <c r="G530" s="380"/>
      <c r="H530" s="380"/>
      <c r="I530" s="380"/>
      <c r="J530" s="380"/>
      <c r="K530" s="380"/>
      <c r="L530" s="380"/>
      <c r="M530" s="380"/>
      <c r="N530" s="380"/>
      <c r="O530" s="380"/>
      <c r="P530" s="380"/>
      <c r="Q530" s="380"/>
      <c r="R530" s="380"/>
      <c r="S530" s="380"/>
      <c r="T530" s="380"/>
      <c r="U530" s="380"/>
      <c r="V530" s="380"/>
      <c r="W530" s="380"/>
      <c r="X530" s="380"/>
      <c r="Y530" s="380"/>
      <c r="Z530" s="380"/>
      <c r="AA530" s="380"/>
      <c r="AB530" s="380"/>
      <c r="AC530" s="380"/>
      <c r="AD530" s="380"/>
      <c r="AE530" s="380"/>
      <c r="AF530" s="380"/>
      <c r="AG530" s="380"/>
      <c r="AH530" s="2004"/>
      <c r="AI530" s="380"/>
      <c r="AJ530" s="2004"/>
      <c r="AK530" s="381"/>
      <c r="AL530" s="380"/>
      <c r="AM530" s="380"/>
      <c r="AN530" s="380"/>
      <c r="AO530" s="380"/>
      <c r="AP530" s="380"/>
    </row>
    <row r="531" spans="2:65" hidden="1" outlineLevel="1">
      <c r="B531" s="1338"/>
    </row>
    <row r="532" spans="2:65" hidden="1" outlineLevel="1">
      <c r="B532" s="1338"/>
    </row>
    <row r="533" spans="2:65" hidden="1" outlineLevel="1">
      <c r="B533" s="1338"/>
      <c r="C533" s="1" t="s">
        <v>382</v>
      </c>
    </row>
    <row r="534" spans="2:65" hidden="1" outlineLevel="1">
      <c r="B534" s="1445"/>
      <c r="C534" s="1445" t="s">
        <v>381</v>
      </c>
      <c r="D534" s="1445"/>
      <c r="E534" s="1445"/>
      <c r="F534" s="1445"/>
      <c r="G534" s="1445"/>
      <c r="H534" s="1445"/>
      <c r="I534" s="1445"/>
      <c r="J534" s="1445"/>
      <c r="K534" s="1445"/>
      <c r="L534" s="1445">
        <v>883</v>
      </c>
      <c r="M534" s="1445">
        <v>892</v>
      </c>
      <c r="N534" s="1445">
        <v>897</v>
      </c>
      <c r="O534" s="1445">
        <v>978</v>
      </c>
      <c r="P534" s="1445">
        <v>987</v>
      </c>
      <c r="Q534" s="1445">
        <v>1112</v>
      </c>
      <c r="R534" s="1445">
        <v>1230</v>
      </c>
      <c r="S534" s="1445">
        <v>1302</v>
      </c>
      <c r="T534" s="1445">
        <v>1142</v>
      </c>
      <c r="U534" s="1445"/>
      <c r="V534" s="1445"/>
      <c r="W534" s="1445"/>
      <c r="X534" s="1445"/>
      <c r="Y534" s="1445"/>
      <c r="Z534" s="1445"/>
      <c r="AA534" s="1445"/>
      <c r="AB534" s="1445"/>
      <c r="AC534" s="1546"/>
      <c r="AD534" s="1546"/>
      <c r="AE534" s="1546"/>
      <c r="AF534" s="1546"/>
      <c r="AG534" s="1546"/>
      <c r="AH534" s="1976"/>
      <c r="AI534" s="1546"/>
      <c r="AJ534" s="1976"/>
      <c r="AK534" s="1547"/>
      <c r="AL534" s="1546"/>
      <c r="AM534" s="1546"/>
      <c r="AN534" s="1546"/>
      <c r="AO534" s="1546"/>
      <c r="AP534" s="1546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  <c r="BI534" s="367"/>
      <c r="BJ534" s="367"/>
      <c r="BK534" s="367"/>
      <c r="BL534" s="367"/>
      <c r="BM534" s="367"/>
    </row>
    <row r="535" spans="2:65" hidden="1" outlineLevel="1">
      <c r="B535" s="367"/>
      <c r="C535" s="367" t="s">
        <v>380</v>
      </c>
      <c r="D535" s="367"/>
      <c r="E535" s="367"/>
      <c r="F535" s="367"/>
      <c r="G535" s="367"/>
      <c r="H535" s="367"/>
      <c r="I535" s="367"/>
      <c r="J535" s="367"/>
      <c r="K535" s="367"/>
      <c r="L535" s="367"/>
      <c r="M535" s="367"/>
      <c r="N535" s="367"/>
      <c r="O535" s="367"/>
      <c r="P535" s="367"/>
      <c r="Q535" s="367"/>
      <c r="R535" s="367"/>
      <c r="S535" s="367"/>
      <c r="T535" s="367"/>
      <c r="U535" s="367"/>
      <c r="V535" s="367"/>
      <c r="W535" s="367"/>
      <c r="X535" s="367"/>
      <c r="Y535" s="367"/>
      <c r="Z535" s="367"/>
      <c r="AA535" s="367"/>
      <c r="AB535" s="367"/>
      <c r="AC535" s="367"/>
      <c r="AD535" s="367"/>
      <c r="AE535" s="367"/>
      <c r="AF535" s="367"/>
      <c r="AG535" s="367"/>
      <c r="AH535" s="1961"/>
      <c r="AI535" s="367"/>
      <c r="AJ535" s="1961"/>
      <c r="AK535" s="1442"/>
      <c r="AL535" s="367"/>
      <c r="AM535" s="367"/>
      <c r="AN535" s="367"/>
      <c r="AO535" s="367"/>
      <c r="AP535" s="367"/>
      <c r="AQ535" s="367"/>
      <c r="AR535" s="367"/>
      <c r="AS535" s="367"/>
      <c r="AT535" s="367"/>
      <c r="AU535" s="367"/>
      <c r="AV535" s="367"/>
      <c r="AW535" s="367"/>
      <c r="AX535" s="367"/>
      <c r="AY535" s="367"/>
      <c r="AZ535" s="367"/>
      <c r="BA535" s="367"/>
      <c r="BB535" s="367"/>
      <c r="BC535" s="367"/>
      <c r="BD535" s="367"/>
      <c r="BE535" s="367"/>
      <c r="BF535" s="367"/>
      <c r="BG535" s="367"/>
      <c r="BH535" s="367"/>
      <c r="BI535" s="367"/>
      <c r="BJ535" s="367"/>
      <c r="BK535" s="367"/>
      <c r="BL535" s="367"/>
      <c r="BM535" s="367"/>
    </row>
    <row r="536" spans="2:65" hidden="1" outlineLevel="1">
      <c r="B536" s="367"/>
      <c r="C536" s="367" t="s">
        <v>379</v>
      </c>
      <c r="D536" s="367"/>
      <c r="E536" s="367"/>
      <c r="F536" s="367"/>
      <c r="G536" s="367">
        <v>727</v>
      </c>
      <c r="H536" s="367">
        <v>604</v>
      </c>
      <c r="I536" s="367">
        <v>378</v>
      </c>
      <c r="J536" s="367">
        <v>283</v>
      </c>
      <c r="K536" s="367">
        <v>322</v>
      </c>
      <c r="L536" s="367">
        <v>244</v>
      </c>
      <c r="M536" s="367">
        <v>291</v>
      </c>
      <c r="N536" s="367">
        <v>227</v>
      </c>
      <c r="O536" s="367">
        <v>119</v>
      </c>
      <c r="P536" s="367">
        <v>119</v>
      </c>
      <c r="Q536" s="367">
        <v>159</v>
      </c>
      <c r="R536" s="367">
        <v>648</v>
      </c>
      <c r="S536" s="367">
        <v>1307</v>
      </c>
      <c r="T536" s="367">
        <v>1250</v>
      </c>
      <c r="U536" s="367"/>
      <c r="V536" s="367"/>
      <c r="W536" s="367"/>
      <c r="X536" s="367"/>
      <c r="Y536" s="367"/>
      <c r="Z536" s="367"/>
      <c r="AA536" s="367"/>
      <c r="AB536" s="367"/>
      <c r="AC536" s="367"/>
      <c r="AD536" s="367"/>
      <c r="AE536" s="367"/>
      <c r="AF536" s="367"/>
      <c r="AG536" s="367"/>
      <c r="AH536" s="1961"/>
      <c r="AI536" s="367"/>
      <c r="AJ536" s="1961"/>
      <c r="AK536" s="1442"/>
      <c r="AL536" s="367"/>
      <c r="AM536" s="367"/>
      <c r="AN536" s="367"/>
      <c r="AO536" s="367"/>
      <c r="AP536" s="367"/>
      <c r="AQ536" s="367"/>
      <c r="AR536" s="367"/>
      <c r="AS536" s="367"/>
      <c r="AT536" s="367"/>
      <c r="AU536" s="367"/>
      <c r="AV536" s="367"/>
      <c r="AW536" s="367"/>
      <c r="AX536" s="367"/>
      <c r="AY536" s="367"/>
      <c r="AZ536" s="367"/>
      <c r="BA536" s="367"/>
      <c r="BB536" s="367"/>
      <c r="BC536" s="367"/>
      <c r="BD536" s="367"/>
      <c r="BE536" s="367"/>
      <c r="BF536" s="367"/>
      <c r="BG536" s="367"/>
      <c r="BH536" s="367"/>
      <c r="BI536" s="367"/>
      <c r="BJ536" s="367"/>
      <c r="BK536" s="367"/>
      <c r="BL536" s="367"/>
      <c r="BM536" s="367"/>
    </row>
    <row r="537" spans="2:65" hidden="1" outlineLevel="1">
      <c r="B537" s="367"/>
      <c r="C537" s="367" t="s">
        <v>378</v>
      </c>
      <c r="D537" s="367"/>
      <c r="E537" s="367"/>
      <c r="F537" s="367"/>
      <c r="G537" s="367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1961"/>
      <c r="AI537" s="367"/>
      <c r="AJ537" s="1961"/>
      <c r="AK537" s="1442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  <c r="BI537" s="367"/>
      <c r="BJ537" s="367"/>
      <c r="BK537" s="367"/>
      <c r="BL537" s="367"/>
      <c r="BM537" s="367"/>
    </row>
    <row r="538" spans="2:65" hidden="1" outlineLevel="1">
      <c r="B538" s="367"/>
      <c r="C538" s="367" t="s">
        <v>377</v>
      </c>
      <c r="D538" s="367"/>
      <c r="E538" s="367"/>
      <c r="F538" s="367"/>
      <c r="G538" s="367">
        <v>323</v>
      </c>
      <c r="H538" s="367">
        <v>284</v>
      </c>
      <c r="I538" s="367">
        <v>259</v>
      </c>
      <c r="J538" s="367">
        <v>269</v>
      </c>
      <c r="K538" s="367">
        <v>268</v>
      </c>
      <c r="L538" s="367">
        <v>423</v>
      </c>
      <c r="M538" s="367">
        <v>225</v>
      </c>
      <c r="N538" s="367">
        <v>197</v>
      </c>
      <c r="O538" s="367">
        <v>186</v>
      </c>
      <c r="P538" s="367">
        <v>169</v>
      </c>
      <c r="Q538" s="367">
        <v>179</v>
      </c>
      <c r="R538" s="367">
        <v>249</v>
      </c>
      <c r="S538" s="367">
        <v>332</v>
      </c>
      <c r="T538" s="367">
        <v>1695</v>
      </c>
      <c r="U538" s="367"/>
      <c r="V538" s="367"/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  <c r="AG538" s="367"/>
      <c r="AH538" s="1961"/>
      <c r="AI538" s="367"/>
      <c r="AJ538" s="1961"/>
      <c r="AK538" s="1442"/>
      <c r="AL538" s="367"/>
      <c r="AM538" s="367"/>
      <c r="AN538" s="367"/>
      <c r="AO538" s="367"/>
      <c r="AP538" s="367"/>
      <c r="AQ538" s="367"/>
      <c r="AR538" s="367"/>
      <c r="AS538" s="367"/>
      <c r="AT538" s="367"/>
      <c r="AU538" s="367"/>
      <c r="AV538" s="367"/>
      <c r="AW538" s="367"/>
      <c r="AX538" s="367"/>
      <c r="AY538" s="367"/>
      <c r="AZ538" s="367"/>
      <c r="BA538" s="367"/>
      <c r="BB538" s="367"/>
      <c r="BC538" s="367"/>
      <c r="BD538" s="367"/>
      <c r="BE538" s="367"/>
      <c r="BF538" s="367"/>
      <c r="BG538" s="367"/>
      <c r="BH538" s="367"/>
      <c r="BI538" s="367"/>
      <c r="BJ538" s="367"/>
      <c r="BK538" s="367"/>
      <c r="BL538" s="367"/>
      <c r="BM538" s="367"/>
    </row>
    <row r="539" spans="2:65" hidden="1" outlineLevel="1">
      <c r="B539" s="367"/>
      <c r="C539" s="367" t="s">
        <v>375</v>
      </c>
      <c r="D539" s="367"/>
      <c r="E539" s="367"/>
      <c r="F539" s="367"/>
      <c r="G539" s="367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  <c r="AG539" s="367"/>
      <c r="AH539" s="1961"/>
      <c r="AI539" s="367"/>
      <c r="AJ539" s="1961"/>
      <c r="AK539" s="1442"/>
      <c r="AL539" s="367"/>
      <c r="AM539" s="367"/>
      <c r="AN539" s="367"/>
      <c r="AO539" s="367"/>
      <c r="AP539" s="367"/>
      <c r="AQ539" s="367"/>
      <c r="AR539" s="367"/>
      <c r="AS539" s="367"/>
      <c r="AT539" s="367"/>
      <c r="AU539" s="367"/>
      <c r="AV539" s="367"/>
      <c r="AW539" s="367"/>
      <c r="AX539" s="367"/>
      <c r="AY539" s="367"/>
      <c r="AZ539" s="367"/>
      <c r="BA539" s="367"/>
      <c r="BB539" s="367"/>
      <c r="BC539" s="367"/>
      <c r="BD539" s="367"/>
      <c r="BE539" s="367"/>
      <c r="BF539" s="367"/>
      <c r="BG539" s="367"/>
      <c r="BH539" s="367"/>
      <c r="BI539" s="367"/>
      <c r="BJ539" s="367"/>
      <c r="BK539" s="367"/>
      <c r="BL539" s="367"/>
      <c r="BM539" s="367"/>
    </row>
    <row r="540" spans="2:65" hidden="1" outlineLevel="1">
      <c r="B540" s="367"/>
      <c r="C540" s="367" t="s">
        <v>374</v>
      </c>
      <c r="D540" s="367"/>
      <c r="E540" s="367"/>
      <c r="F540" s="367"/>
      <c r="G540" s="367"/>
      <c r="H540" s="367"/>
      <c r="I540" s="367"/>
      <c r="J540" s="367"/>
      <c r="K540" s="367"/>
      <c r="L540" s="367"/>
      <c r="M540" s="367"/>
      <c r="N540" s="367"/>
      <c r="O540" s="367"/>
      <c r="P540" s="367"/>
      <c r="Q540" s="367"/>
      <c r="R540" s="367"/>
      <c r="S540" s="367"/>
      <c r="T540" s="367"/>
      <c r="U540" s="367"/>
      <c r="V540" s="367"/>
      <c r="W540" s="367"/>
      <c r="X540" s="367"/>
      <c r="Y540" s="367"/>
      <c r="Z540" s="367"/>
      <c r="AA540" s="367"/>
      <c r="AB540" s="367"/>
      <c r="AC540" s="367"/>
      <c r="AD540" s="367"/>
      <c r="AE540" s="367"/>
      <c r="AF540" s="367"/>
      <c r="AG540" s="367"/>
      <c r="AH540" s="1961"/>
      <c r="AI540" s="367"/>
      <c r="AJ540" s="1961"/>
      <c r="AK540" s="1442"/>
      <c r="AL540" s="367"/>
      <c r="AM540" s="367"/>
      <c r="AN540" s="367"/>
      <c r="AO540" s="367"/>
      <c r="AP540" s="367"/>
      <c r="AQ540" s="367"/>
      <c r="AR540" s="367"/>
      <c r="AS540" s="367"/>
      <c r="AT540" s="367"/>
      <c r="AU540" s="367"/>
      <c r="AV540" s="367"/>
      <c r="AW540" s="367"/>
      <c r="AX540" s="367"/>
      <c r="AY540" s="367"/>
      <c r="AZ540" s="367"/>
      <c r="BA540" s="367"/>
      <c r="BB540" s="367"/>
      <c r="BC540" s="367"/>
      <c r="BD540" s="367"/>
      <c r="BE540" s="367"/>
      <c r="BF540" s="367"/>
      <c r="BG540" s="367"/>
      <c r="BH540" s="367"/>
      <c r="BI540" s="367"/>
      <c r="BJ540" s="367"/>
      <c r="BK540" s="367"/>
      <c r="BL540" s="367"/>
      <c r="BM540" s="367"/>
    </row>
    <row r="541" spans="2:65" hidden="1" outlineLevel="1">
      <c r="B541" s="367"/>
      <c r="C541" s="367" t="s">
        <v>376</v>
      </c>
      <c r="D541" s="367"/>
      <c r="E541" s="367"/>
      <c r="F541" s="367"/>
      <c r="G541" s="367"/>
      <c r="H541" s="367"/>
      <c r="I541" s="367"/>
      <c r="J541" s="367"/>
      <c r="K541" s="367"/>
      <c r="L541" s="367"/>
      <c r="M541" s="367"/>
      <c r="N541" s="367"/>
      <c r="O541" s="367"/>
      <c r="P541" s="367"/>
      <c r="Q541" s="367"/>
      <c r="R541" s="367"/>
      <c r="S541" s="367">
        <v>803</v>
      </c>
      <c r="T541" s="367">
        <v>1546</v>
      </c>
      <c r="U541" s="367"/>
      <c r="V541" s="367"/>
      <c r="W541" s="367"/>
      <c r="X541" s="367"/>
      <c r="Y541" s="367"/>
      <c r="Z541" s="367"/>
      <c r="AA541" s="367"/>
      <c r="AB541" s="367"/>
      <c r="AC541" s="367"/>
      <c r="AD541" s="367"/>
      <c r="AE541" s="367"/>
      <c r="AF541" s="367"/>
      <c r="AG541" s="367"/>
      <c r="AH541" s="1961"/>
      <c r="AI541" s="367"/>
      <c r="AJ541" s="1961"/>
      <c r="AK541" s="1442"/>
      <c r="AL541" s="367"/>
      <c r="AM541" s="367"/>
      <c r="AN541" s="367"/>
      <c r="AO541" s="367"/>
      <c r="AP541" s="367"/>
      <c r="AQ541" s="367"/>
      <c r="AR541" s="367"/>
      <c r="AS541" s="367"/>
      <c r="AT541" s="367"/>
      <c r="AU541" s="367"/>
      <c r="AV541" s="367"/>
      <c r="AW541" s="367"/>
      <c r="AX541" s="367"/>
      <c r="AY541" s="367"/>
      <c r="AZ541" s="367"/>
      <c r="BA541" s="367"/>
      <c r="BB541" s="367"/>
      <c r="BC541" s="367"/>
      <c r="BD541" s="367"/>
      <c r="BE541" s="367"/>
      <c r="BF541" s="367"/>
      <c r="BG541" s="367"/>
      <c r="BH541" s="367"/>
      <c r="BI541" s="367"/>
      <c r="BJ541" s="367"/>
      <c r="BK541" s="367"/>
      <c r="BL541" s="367"/>
      <c r="BM541" s="367"/>
    </row>
    <row r="542" spans="2:65" hidden="1" outlineLevel="1">
      <c r="B542" s="367"/>
      <c r="C542" s="367" t="s">
        <v>375</v>
      </c>
      <c r="D542" s="367"/>
      <c r="E542" s="367"/>
      <c r="F542" s="367"/>
      <c r="G542" s="367"/>
      <c r="H542" s="367"/>
      <c r="I542" s="367"/>
      <c r="J542" s="367"/>
      <c r="K542" s="367"/>
      <c r="L542" s="367"/>
      <c r="M542" s="367"/>
      <c r="N542" s="367"/>
      <c r="O542" s="367"/>
      <c r="P542" s="367"/>
      <c r="Q542" s="367"/>
      <c r="R542" s="367"/>
      <c r="S542" s="367"/>
      <c r="T542" s="367">
        <v>0</v>
      </c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1961"/>
      <c r="AI542" s="367"/>
      <c r="AJ542" s="1961"/>
      <c r="AK542" s="1442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  <c r="BI542" s="367"/>
      <c r="BJ542" s="367"/>
      <c r="BK542" s="367"/>
      <c r="BL542" s="367"/>
      <c r="BM542" s="367"/>
    </row>
    <row r="543" spans="2:65" hidden="1" outlineLevel="1">
      <c r="B543" s="367"/>
      <c r="C543" s="367" t="s">
        <v>374</v>
      </c>
      <c r="D543" s="367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>
        <v>0</v>
      </c>
      <c r="U543" s="367"/>
      <c r="V543" s="367"/>
      <c r="W543" s="367"/>
      <c r="X543" s="367"/>
      <c r="Y543" s="367"/>
      <c r="Z543" s="367"/>
      <c r="AA543" s="367"/>
      <c r="AB543" s="367"/>
      <c r="AC543" s="367"/>
      <c r="AD543" s="367"/>
      <c r="AE543" s="367"/>
      <c r="AF543" s="367"/>
      <c r="AG543" s="367"/>
      <c r="AH543" s="1961"/>
      <c r="AI543" s="367"/>
      <c r="AJ543" s="1961"/>
      <c r="AK543" s="1442"/>
      <c r="AL543" s="367"/>
      <c r="AM543" s="367"/>
      <c r="AN543" s="367"/>
      <c r="AO543" s="367"/>
      <c r="AP543" s="367"/>
      <c r="AQ543" s="367"/>
      <c r="AR543" s="367"/>
      <c r="AS543" s="367"/>
      <c r="AT543" s="367"/>
      <c r="AU543" s="367"/>
      <c r="AV543" s="367"/>
      <c r="AW543" s="367"/>
      <c r="AX543" s="367"/>
      <c r="AY543" s="367"/>
      <c r="AZ543" s="367"/>
      <c r="BA543" s="367"/>
      <c r="BB543" s="367"/>
      <c r="BC543" s="367"/>
      <c r="BD543" s="367"/>
      <c r="BE543" s="367"/>
      <c r="BF543" s="367"/>
      <c r="BG543" s="367"/>
      <c r="BH543" s="367"/>
      <c r="BI543" s="367"/>
      <c r="BJ543" s="367"/>
      <c r="BK543" s="367"/>
      <c r="BL543" s="367"/>
      <c r="BM543" s="367"/>
    </row>
    <row r="544" spans="2:65" hidden="1" outlineLevel="1">
      <c r="B544" s="367"/>
      <c r="C544" s="367" t="s">
        <v>373</v>
      </c>
      <c r="D544" s="367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>
        <v>943</v>
      </c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1961"/>
      <c r="AI544" s="367"/>
      <c r="AJ544" s="1961"/>
      <c r="AK544" s="1442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  <c r="BI544" s="367"/>
      <c r="BJ544" s="367"/>
      <c r="BK544" s="367"/>
      <c r="BL544" s="367"/>
      <c r="BM544" s="367"/>
    </row>
    <row r="545" spans="2:65" hidden="1" outlineLevel="1">
      <c r="B545" s="367"/>
      <c r="C545" s="367" t="s">
        <v>372</v>
      </c>
      <c r="D545" s="367"/>
      <c r="E545" s="367"/>
      <c r="F545" s="367"/>
      <c r="G545" s="367">
        <v>36</v>
      </c>
      <c r="H545" s="367">
        <v>9</v>
      </c>
      <c r="I545" s="367">
        <v>82</v>
      </c>
      <c r="J545" s="367">
        <v>98</v>
      </c>
      <c r="K545" s="367">
        <v>36</v>
      </c>
      <c r="L545" s="367">
        <v>91</v>
      </c>
      <c r="M545" s="367">
        <v>56</v>
      </c>
      <c r="N545" s="367">
        <v>162</v>
      </c>
      <c r="O545" s="367">
        <v>62</v>
      </c>
      <c r="P545" s="367">
        <v>26</v>
      </c>
      <c r="Q545" s="367">
        <v>13</v>
      </c>
      <c r="R545" s="367">
        <v>5272</v>
      </c>
      <c r="S545" s="367">
        <v>67</v>
      </c>
      <c r="T545" s="367">
        <f>84</f>
        <v>84</v>
      </c>
      <c r="U545" s="367"/>
      <c r="V545" s="367"/>
      <c r="W545" s="367"/>
      <c r="X545" s="367"/>
      <c r="Y545" s="367"/>
      <c r="Z545" s="367"/>
      <c r="AA545" s="367"/>
      <c r="AB545" s="367"/>
      <c r="AC545" s="367"/>
      <c r="AD545" s="367"/>
      <c r="AE545" s="367"/>
      <c r="AF545" s="367"/>
      <c r="AG545" s="367"/>
      <c r="AH545" s="1961"/>
      <c r="AI545" s="367"/>
      <c r="AJ545" s="1961"/>
      <c r="AK545" s="1442"/>
      <c r="AL545" s="367"/>
      <c r="AM545" s="367"/>
      <c r="AN545" s="367"/>
      <c r="AO545" s="367"/>
      <c r="AP545" s="367"/>
      <c r="AQ545" s="367"/>
      <c r="AR545" s="367"/>
      <c r="AS545" s="367"/>
      <c r="AT545" s="367"/>
      <c r="AU545" s="367"/>
      <c r="AV545" s="367"/>
      <c r="AW545" s="367"/>
      <c r="AX545" s="367"/>
      <c r="AY545" s="367"/>
      <c r="AZ545" s="367"/>
      <c r="BA545" s="367"/>
      <c r="BB545" s="367"/>
      <c r="BC545" s="367"/>
      <c r="BD545" s="367"/>
      <c r="BE545" s="367"/>
      <c r="BF545" s="367"/>
      <c r="BG545" s="367"/>
      <c r="BH545" s="367"/>
      <c r="BI545" s="367"/>
      <c r="BJ545" s="367"/>
      <c r="BK545" s="367"/>
      <c r="BL545" s="367"/>
      <c r="BM545" s="367"/>
    </row>
    <row r="546" spans="2:65" hidden="1" outlineLevel="1">
      <c r="B546" s="367"/>
      <c r="C546" s="367" t="s">
        <v>371</v>
      </c>
      <c r="D546" s="367"/>
      <c r="E546" s="367"/>
      <c r="F546" s="367"/>
      <c r="G546" s="367"/>
      <c r="H546" s="367"/>
      <c r="I546" s="367">
        <v>423</v>
      </c>
      <c r="J546" s="367"/>
      <c r="K546" s="367"/>
      <c r="L546" s="367">
        <v>10</v>
      </c>
      <c r="M546" s="367">
        <v>13</v>
      </c>
      <c r="N546" s="367">
        <v>542</v>
      </c>
      <c r="O546" s="367"/>
      <c r="P546" s="367">
        <v>334</v>
      </c>
      <c r="Q546" s="367">
        <v>269</v>
      </c>
      <c r="R546" s="367">
        <v>282</v>
      </c>
      <c r="S546" s="367">
        <v>155</v>
      </c>
      <c r="T546" s="367">
        <v>605</v>
      </c>
      <c r="U546" s="367"/>
      <c r="V546" s="367"/>
      <c r="W546" s="367"/>
      <c r="X546" s="367"/>
      <c r="Y546" s="367"/>
      <c r="Z546" s="367"/>
      <c r="AA546" s="367"/>
      <c r="AB546" s="367"/>
      <c r="AC546" s="367"/>
      <c r="AD546" s="367"/>
      <c r="AE546" s="367"/>
      <c r="AF546" s="367"/>
      <c r="AG546" s="367"/>
      <c r="AH546" s="1961"/>
      <c r="AI546" s="367"/>
      <c r="AJ546" s="1961"/>
      <c r="AK546" s="1442"/>
      <c r="AL546" s="367"/>
      <c r="AM546" s="367"/>
      <c r="AN546" s="367"/>
      <c r="AO546" s="367"/>
      <c r="AP546" s="367"/>
      <c r="AQ546" s="367"/>
      <c r="AR546" s="367"/>
      <c r="AS546" s="367"/>
      <c r="AT546" s="367"/>
      <c r="AU546" s="367"/>
      <c r="AV546" s="367"/>
      <c r="AW546" s="367"/>
      <c r="AX546" s="367"/>
      <c r="AY546" s="367"/>
      <c r="AZ546" s="367"/>
      <c r="BA546" s="367"/>
      <c r="BB546" s="367"/>
      <c r="BC546" s="367"/>
      <c r="BD546" s="367"/>
      <c r="BE546" s="367"/>
      <c r="BF546" s="367"/>
      <c r="BG546" s="367"/>
      <c r="BH546" s="367"/>
      <c r="BI546" s="367"/>
      <c r="BJ546" s="367"/>
      <c r="BK546" s="367"/>
      <c r="BL546" s="367"/>
      <c r="BM546" s="367"/>
    </row>
    <row r="547" spans="2:65" hidden="1" outlineLevel="1">
      <c r="B547" s="367"/>
      <c r="C547" s="367" t="s">
        <v>370</v>
      </c>
      <c r="D547" s="367"/>
      <c r="E547" s="367"/>
      <c r="F547" s="367"/>
      <c r="G547" s="367"/>
      <c r="H547" s="367"/>
      <c r="I547" s="367"/>
      <c r="J547" s="367"/>
      <c r="K547" s="367"/>
      <c r="L547" s="367"/>
      <c r="M547" s="367"/>
      <c r="N547" s="367"/>
      <c r="O547" s="367"/>
      <c r="P547" s="367"/>
      <c r="Q547" s="367"/>
      <c r="R547" s="367"/>
      <c r="S547" s="367"/>
      <c r="T547" s="367">
        <v>0</v>
      </c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1961"/>
      <c r="AI547" s="367"/>
      <c r="AJ547" s="1961"/>
      <c r="AK547" s="1442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  <c r="BI547" s="367"/>
      <c r="BJ547" s="367"/>
      <c r="BK547" s="367"/>
      <c r="BL547" s="367"/>
      <c r="BM547" s="367"/>
    </row>
    <row r="548" spans="2:65" hidden="1" outlineLevel="1">
      <c r="B548" s="367"/>
      <c r="C548" s="367" t="s">
        <v>369</v>
      </c>
      <c r="D548" s="367"/>
      <c r="E548" s="367"/>
      <c r="F548" s="367"/>
      <c r="G548" s="367"/>
      <c r="H548" s="367"/>
      <c r="I548" s="367"/>
      <c r="J548" s="367"/>
      <c r="K548" s="367"/>
      <c r="L548" s="367"/>
      <c r="M548" s="367"/>
      <c r="N548" s="367"/>
      <c r="O548" s="367"/>
      <c r="P548" s="367"/>
      <c r="Q548" s="367"/>
      <c r="R548" s="367"/>
      <c r="S548" s="367"/>
      <c r="T548" s="367">
        <v>2051</v>
      </c>
      <c r="U548" s="367"/>
      <c r="V548" s="367"/>
      <c r="W548" s="367"/>
      <c r="X548" s="367"/>
      <c r="Y548" s="367"/>
      <c r="Z548" s="367"/>
      <c r="AA548" s="367"/>
      <c r="AB548" s="367"/>
      <c r="AC548" s="367"/>
      <c r="AD548" s="367"/>
      <c r="AE548" s="367"/>
      <c r="AF548" s="367"/>
      <c r="AG548" s="367"/>
      <c r="AH548" s="1961"/>
      <c r="AI548" s="367"/>
      <c r="AJ548" s="1961"/>
      <c r="AK548" s="1442"/>
      <c r="AL548" s="367"/>
      <c r="AM548" s="367"/>
      <c r="AN548" s="367"/>
      <c r="AO548" s="367"/>
      <c r="AP548" s="367"/>
      <c r="AQ548" s="367"/>
      <c r="AR548" s="367"/>
      <c r="AS548" s="367"/>
      <c r="AT548" s="367"/>
      <c r="AU548" s="367"/>
      <c r="AV548" s="367"/>
      <c r="AW548" s="367"/>
      <c r="AX548" s="367"/>
      <c r="AY548" s="367"/>
      <c r="AZ548" s="367"/>
      <c r="BA548" s="367"/>
      <c r="BB548" s="367"/>
      <c r="BC548" s="367"/>
      <c r="BD548" s="367"/>
      <c r="BE548" s="367"/>
      <c r="BF548" s="367"/>
      <c r="BG548" s="367"/>
      <c r="BH548" s="367"/>
      <c r="BI548" s="367"/>
      <c r="BJ548" s="367"/>
      <c r="BK548" s="367"/>
      <c r="BL548" s="367"/>
      <c r="BM548" s="367"/>
    </row>
    <row r="549" spans="2:65" hidden="1" outlineLevel="1">
      <c r="B549" s="367"/>
      <c r="C549" s="367" t="s">
        <v>368</v>
      </c>
      <c r="D549" s="367"/>
      <c r="E549" s="367"/>
      <c r="F549" s="367"/>
      <c r="G549" s="367"/>
      <c r="H549" s="367">
        <v>117</v>
      </c>
      <c r="I549" s="367">
        <v>145</v>
      </c>
      <c r="J549" s="367">
        <v>134</v>
      </c>
      <c r="K549" s="367">
        <v>223</v>
      </c>
      <c r="L549" s="367"/>
      <c r="M549" s="367"/>
      <c r="N549" s="367"/>
      <c r="O549" s="367">
        <v>44</v>
      </c>
      <c r="P549" s="367">
        <v>12</v>
      </c>
      <c r="Q549" s="367">
        <v>1426</v>
      </c>
      <c r="R549" s="367">
        <v>865</v>
      </c>
      <c r="S549" s="367">
        <v>534</v>
      </c>
      <c r="T549" s="367">
        <v>424</v>
      </c>
      <c r="U549" s="367"/>
      <c r="V549" s="367"/>
      <c r="W549" s="367"/>
      <c r="X549" s="367"/>
      <c r="Y549" s="367"/>
      <c r="Z549" s="367"/>
      <c r="AA549" s="367"/>
      <c r="AB549" s="367"/>
      <c r="AC549" s="367"/>
      <c r="AD549" s="367"/>
      <c r="AE549" s="367"/>
      <c r="AF549" s="367"/>
      <c r="AG549" s="367"/>
      <c r="AH549" s="1961"/>
      <c r="AI549" s="367"/>
      <c r="AJ549" s="1961"/>
      <c r="AK549" s="1442"/>
      <c r="AL549" s="367"/>
      <c r="AM549" s="367"/>
      <c r="AN549" s="367"/>
      <c r="AO549" s="367"/>
      <c r="AP549" s="367"/>
      <c r="AQ549" s="367"/>
      <c r="AR549" s="367"/>
      <c r="AS549" s="367"/>
      <c r="AT549" s="367"/>
      <c r="AU549" s="367"/>
      <c r="AV549" s="367"/>
      <c r="AW549" s="367"/>
      <c r="AX549" s="367"/>
      <c r="AY549" s="367"/>
      <c r="AZ549" s="367"/>
      <c r="BA549" s="367"/>
      <c r="BB549" s="367"/>
      <c r="BC549" s="367"/>
      <c r="BD549" s="367"/>
      <c r="BE549" s="367"/>
      <c r="BF549" s="367"/>
      <c r="BG549" s="367"/>
      <c r="BH549" s="367"/>
      <c r="BI549" s="367"/>
      <c r="BJ549" s="367"/>
      <c r="BK549" s="367"/>
      <c r="BL549" s="367"/>
      <c r="BM549" s="367"/>
    </row>
    <row r="550" spans="2:65" hidden="1" outlineLevel="1">
      <c r="B550" s="367"/>
      <c r="C550" s="367" t="s">
        <v>367</v>
      </c>
      <c r="D550" s="367"/>
      <c r="E550" s="367"/>
      <c r="F550" s="367"/>
      <c r="G550" s="367">
        <v>103</v>
      </c>
      <c r="H550" s="367"/>
      <c r="I550" s="367"/>
      <c r="J550" s="367"/>
      <c r="K550" s="367"/>
      <c r="L550" s="367">
        <v>347</v>
      </c>
      <c r="M550" s="367">
        <v>366</v>
      </c>
      <c r="N550" s="367">
        <v>529</v>
      </c>
      <c r="O550" s="367">
        <v>522</v>
      </c>
      <c r="P550" s="367">
        <v>574</v>
      </c>
      <c r="Q550" s="367">
        <v>586</v>
      </c>
      <c r="R550" s="367">
        <v>280</v>
      </c>
      <c r="S550" s="367"/>
      <c r="T550" s="367">
        <v>0</v>
      </c>
      <c r="U550" s="367"/>
      <c r="V550" s="367"/>
      <c r="W550" s="367"/>
      <c r="X550" s="367"/>
      <c r="Y550" s="367"/>
      <c r="Z550" s="367"/>
      <c r="AA550" s="367"/>
      <c r="AB550" s="367"/>
      <c r="AC550" s="367"/>
      <c r="AD550" s="367"/>
      <c r="AE550" s="367"/>
      <c r="AF550" s="367"/>
      <c r="AG550" s="367"/>
      <c r="AH550" s="1961"/>
      <c r="AI550" s="367"/>
      <c r="AJ550" s="1961"/>
      <c r="AK550" s="1442"/>
      <c r="AL550" s="367"/>
      <c r="AM550" s="367"/>
      <c r="AN550" s="367"/>
      <c r="AO550" s="367"/>
      <c r="AP550" s="367"/>
      <c r="AQ550" s="367"/>
      <c r="AR550" s="367"/>
      <c r="AS550" s="367"/>
      <c r="AT550" s="367"/>
      <c r="AU550" s="367"/>
      <c r="AV550" s="367"/>
      <c r="AW550" s="367"/>
      <c r="AX550" s="367"/>
      <c r="AY550" s="367"/>
      <c r="AZ550" s="367"/>
      <c r="BA550" s="367"/>
      <c r="BB550" s="367"/>
      <c r="BC550" s="367"/>
      <c r="BD550" s="367"/>
      <c r="BE550" s="367"/>
      <c r="BF550" s="367"/>
      <c r="BG550" s="367"/>
      <c r="BH550" s="367"/>
      <c r="BI550" s="367"/>
      <c r="BJ550" s="367"/>
      <c r="BK550" s="367"/>
      <c r="BL550" s="367"/>
      <c r="BM550" s="367"/>
    </row>
    <row r="551" spans="2:65" hidden="1" outlineLevel="1">
      <c r="B551" s="367"/>
      <c r="C551" s="367" t="s">
        <v>366</v>
      </c>
      <c r="D551" s="367"/>
      <c r="E551" s="367"/>
      <c r="F551" s="367"/>
      <c r="G551" s="367"/>
      <c r="H551" s="367">
        <v>270</v>
      </c>
      <c r="I551" s="367"/>
      <c r="J551" s="367">
        <v>158</v>
      </c>
      <c r="K551" s="367">
        <v>258</v>
      </c>
      <c r="L551" s="367"/>
      <c r="M551" s="367"/>
      <c r="N551" s="367">
        <v>289</v>
      </c>
      <c r="O551" s="367">
        <v>30</v>
      </c>
      <c r="P551" s="367">
        <v>24</v>
      </c>
      <c r="Q551" s="367"/>
      <c r="R551" s="367"/>
      <c r="S551" s="367"/>
      <c r="T551" s="367">
        <v>0</v>
      </c>
      <c r="U551" s="367"/>
      <c r="V551" s="367"/>
      <c r="W551" s="367"/>
      <c r="X551" s="367"/>
      <c r="Y551" s="367"/>
      <c r="Z551" s="367"/>
      <c r="AA551" s="367"/>
      <c r="AB551" s="367"/>
      <c r="AC551" s="367"/>
      <c r="AD551" s="367"/>
      <c r="AE551" s="367"/>
      <c r="AF551" s="367"/>
      <c r="AG551" s="367"/>
      <c r="AH551" s="1961"/>
      <c r="AI551" s="367"/>
      <c r="AJ551" s="1961"/>
      <c r="AK551" s="1442"/>
      <c r="AL551" s="367"/>
      <c r="AM551" s="367"/>
      <c r="AN551" s="367"/>
      <c r="AO551" s="367"/>
      <c r="AP551" s="367"/>
      <c r="AQ551" s="367"/>
      <c r="AR551" s="367"/>
      <c r="AS551" s="367"/>
      <c r="AT551" s="367"/>
      <c r="AU551" s="367"/>
      <c r="AV551" s="367"/>
      <c r="AW551" s="367"/>
      <c r="AX551" s="367"/>
      <c r="AY551" s="367"/>
      <c r="AZ551" s="367"/>
      <c r="BA551" s="367"/>
      <c r="BB551" s="367"/>
      <c r="BC551" s="367"/>
      <c r="BD551" s="367"/>
      <c r="BE551" s="367"/>
      <c r="BF551" s="367"/>
      <c r="BG551" s="367"/>
      <c r="BH551" s="367"/>
      <c r="BI551" s="367"/>
      <c r="BJ551" s="367"/>
      <c r="BK551" s="367"/>
      <c r="BL551" s="367"/>
      <c r="BM551" s="367"/>
    </row>
    <row r="552" spans="2:65" hidden="1" outlineLevel="1">
      <c r="B552" s="1384"/>
      <c r="C552" s="1384" t="s">
        <v>365</v>
      </c>
      <c r="D552" s="1384"/>
      <c r="E552" s="1384"/>
      <c r="F552" s="1384"/>
      <c r="G552" s="1384">
        <v>517</v>
      </c>
      <c r="H552" s="1384"/>
      <c r="I552" s="1384">
        <v>1122</v>
      </c>
      <c r="J552" s="1384">
        <v>2299</v>
      </c>
      <c r="K552" s="1384">
        <v>1998</v>
      </c>
      <c r="L552" s="1384">
        <v>582</v>
      </c>
      <c r="M552" s="1384">
        <v>2646</v>
      </c>
      <c r="N552" s="1384">
        <v>2268</v>
      </c>
      <c r="O552" s="1384">
        <v>3825</v>
      </c>
      <c r="P552" s="1384">
        <v>288</v>
      </c>
      <c r="Q552" s="1384">
        <v>1337</v>
      </c>
      <c r="R552" s="1384">
        <v>828</v>
      </c>
      <c r="S552" s="1384">
        <v>47</v>
      </c>
      <c r="T552" s="1384">
        <v>123</v>
      </c>
      <c r="U552" s="1384"/>
      <c r="V552" s="1384"/>
      <c r="W552" s="1384"/>
      <c r="X552" s="1384"/>
      <c r="Y552" s="1384"/>
      <c r="Z552" s="1384"/>
      <c r="AA552" s="1384"/>
      <c r="AB552" s="1384"/>
      <c r="AC552" s="1384"/>
      <c r="AD552" s="1384"/>
      <c r="AE552" s="1384"/>
      <c r="AF552" s="1384"/>
      <c r="AG552" s="1384"/>
      <c r="AH552" s="1975"/>
      <c r="AI552" s="1384"/>
      <c r="AJ552" s="1975"/>
      <c r="AK552" s="1451"/>
      <c r="AL552" s="1384"/>
      <c r="AM552" s="1384"/>
      <c r="AN552" s="1384"/>
      <c r="AO552" s="1384"/>
      <c r="AP552" s="1384"/>
      <c r="AQ552" s="367"/>
      <c r="AR552" s="367"/>
      <c r="AS552" s="367"/>
      <c r="AT552" s="367"/>
      <c r="AU552" s="367"/>
      <c r="AV552" s="367"/>
      <c r="AW552" s="367"/>
      <c r="AX552" s="367"/>
      <c r="AY552" s="367"/>
      <c r="AZ552" s="367"/>
      <c r="BA552" s="367"/>
      <c r="BB552" s="367"/>
      <c r="BC552" s="367"/>
      <c r="BD552" s="367"/>
      <c r="BE552" s="367"/>
      <c r="BF552" s="367"/>
      <c r="BG552" s="367"/>
      <c r="BH552" s="367"/>
      <c r="BI552" s="367"/>
      <c r="BJ552" s="367"/>
      <c r="BK552" s="367"/>
      <c r="BL552" s="367"/>
      <c r="BM552" s="367"/>
    </row>
    <row r="553" spans="2:65" collapsed="1">
      <c r="B553" s="1338"/>
    </row>
    <row r="554" spans="2:65">
      <c r="B554" s="1338"/>
      <c r="AL554" s="378">
        <f>SUM(AL560:AL563)</f>
        <v>2700</v>
      </c>
      <c r="AM554" s="378">
        <f>SUM(AM560:AM563)</f>
        <v>1800</v>
      </c>
      <c r="AN554" s="378">
        <f>SUM(AN560:AN563)</f>
        <v>500</v>
      </c>
      <c r="AO554" s="378">
        <f>SUM(AO560:AO563)</f>
        <v>100</v>
      </c>
      <c r="AP554" s="378">
        <f>SUM(AP560:AP563)</f>
        <v>0</v>
      </c>
    </row>
    <row r="555" spans="2:65">
      <c r="B555" s="1338"/>
      <c r="AL555" s="378">
        <f>SUM(AL565:AL569)</f>
        <v>13000</v>
      </c>
      <c r="AM555" s="378">
        <f>SUM(AM565:AM569)</f>
        <v>2200</v>
      </c>
      <c r="AN555" s="378">
        <f>SUM(AN565:AN569)</f>
        <v>1300</v>
      </c>
      <c r="AO555" s="378">
        <f>SUM(AO565:AO569)</f>
        <v>1700</v>
      </c>
      <c r="AP555" s="378">
        <f>SUM(AP565:AP569)</f>
        <v>1700</v>
      </c>
    </row>
    <row r="556" spans="2:65">
      <c r="B556" s="1338"/>
    </row>
    <row r="557" spans="2:65">
      <c r="B557" s="1338"/>
    </row>
    <row r="558" spans="2:65">
      <c r="B558" s="1338"/>
    </row>
    <row r="559" spans="2:65">
      <c r="B559" s="2296" t="s">
        <v>1526</v>
      </c>
      <c r="C559" s="2296" t="s">
        <v>1526</v>
      </c>
      <c r="D559" s="2297"/>
      <c r="E559" s="2297"/>
      <c r="F559" s="2297"/>
      <c r="G559" s="2297"/>
      <c r="H559" s="2297"/>
      <c r="I559" s="2297"/>
      <c r="J559" s="2297"/>
      <c r="K559" s="2297"/>
      <c r="L559" s="2297"/>
      <c r="M559" s="2297"/>
      <c r="N559" s="2297"/>
      <c r="O559" s="2297"/>
      <c r="P559" s="2297"/>
      <c r="Q559" s="2297"/>
      <c r="R559" s="2297"/>
      <c r="S559" s="2297"/>
      <c r="T559" s="2297"/>
      <c r="U559" s="2297"/>
      <c r="V559" s="2297"/>
      <c r="W559" s="2297"/>
      <c r="X559" s="2297"/>
      <c r="Y559" s="2297"/>
      <c r="Z559" s="2297"/>
      <c r="AA559" s="2297"/>
      <c r="AB559" s="2297"/>
      <c r="AC559" s="2297"/>
      <c r="AD559" s="2297"/>
      <c r="AE559" s="2297"/>
      <c r="AF559" s="2297"/>
      <c r="AG559" s="2297"/>
      <c r="AH559" s="2298"/>
      <c r="AI559" s="2297"/>
      <c r="AJ559" s="2298"/>
      <c r="AK559" s="2299"/>
      <c r="AL559" s="2300">
        <f>ROUND(+AL191-AK191,-2)</f>
        <v>2700</v>
      </c>
      <c r="AM559" s="2300">
        <f>ROUND(+AM191-AL191,-2)</f>
        <v>1800</v>
      </c>
      <c r="AN559" s="2300">
        <f>ROUND(+AN191-AM191,-2)</f>
        <v>500</v>
      </c>
      <c r="AO559" s="2300">
        <f>ROUND(+AO191-AN191,-2)</f>
        <v>100</v>
      </c>
      <c r="AP559" s="2300">
        <f>ROUND(+AP191-AO191,-2)</f>
        <v>0</v>
      </c>
    </row>
    <row r="560" spans="2:65">
      <c r="B560" s="1261" t="s">
        <v>1528</v>
      </c>
      <c r="C560" s="1261" t="s">
        <v>1528</v>
      </c>
      <c r="AL560" s="378">
        <f>+AL197</f>
        <v>-2000</v>
      </c>
      <c r="AM560" s="378">
        <f>+AM197</f>
        <v>500</v>
      </c>
      <c r="AN560" s="378">
        <f>+AN197</f>
        <v>-100</v>
      </c>
      <c r="AO560" s="378">
        <f>+AO197</f>
        <v>200</v>
      </c>
      <c r="AP560" s="378">
        <f>+AP197</f>
        <v>0</v>
      </c>
    </row>
    <row r="561" spans="2:42">
      <c r="B561" s="1261" t="s">
        <v>1529</v>
      </c>
      <c r="C561" s="1261" t="s">
        <v>1529</v>
      </c>
      <c r="AL561" s="378">
        <f>+AL200</f>
        <v>8500</v>
      </c>
      <c r="AM561" s="378">
        <f>+AM200</f>
        <v>0</v>
      </c>
      <c r="AN561" s="378">
        <f>+AN200</f>
        <v>0</v>
      </c>
      <c r="AO561" s="378">
        <f>+AO200</f>
        <v>0</v>
      </c>
      <c r="AP561" s="378">
        <f>+AP200</f>
        <v>0</v>
      </c>
    </row>
    <row r="562" spans="2:42">
      <c r="B562" s="1261" t="s">
        <v>1530</v>
      </c>
      <c r="C562" s="1261" t="s">
        <v>1530</v>
      </c>
      <c r="AL562" s="378">
        <f>ROUND(+AL201,-2)</f>
        <v>-3400</v>
      </c>
      <c r="AM562" s="378">
        <f>ROUND(+AM201,-2)</f>
        <v>900</v>
      </c>
      <c r="AN562" s="378">
        <f>ROUND(+AN201,-2)</f>
        <v>700</v>
      </c>
      <c r="AO562" s="378">
        <f>ROUND(+AO201,-2)</f>
        <v>0</v>
      </c>
      <c r="AP562" s="378">
        <f>ROUND(+AP201,-2)</f>
        <v>0</v>
      </c>
    </row>
    <row r="563" spans="2:42">
      <c r="B563" s="1261" t="s">
        <v>1531</v>
      </c>
      <c r="C563" s="1261" t="s">
        <v>1531</v>
      </c>
      <c r="AL563" s="378">
        <f>+AL218+AL219</f>
        <v>-400</v>
      </c>
      <c r="AM563" s="378">
        <f>+AM218+AM219</f>
        <v>400</v>
      </c>
      <c r="AN563" s="378">
        <f>+AN218+AN219</f>
        <v>-100</v>
      </c>
      <c r="AO563" s="378">
        <f>+AO218+AO219</f>
        <v>-100</v>
      </c>
      <c r="AP563" s="378">
        <f>+AP218+AP219</f>
        <v>0</v>
      </c>
    </row>
    <row r="564" spans="2:42">
      <c r="B564" s="2296" t="s">
        <v>1527</v>
      </c>
      <c r="C564" s="2296" t="s">
        <v>1527</v>
      </c>
      <c r="D564" s="2297"/>
      <c r="E564" s="2297"/>
      <c r="F564" s="2297"/>
      <c r="G564" s="2297"/>
      <c r="H564" s="2297"/>
      <c r="I564" s="2297"/>
      <c r="J564" s="2297"/>
      <c r="K564" s="2297"/>
      <c r="L564" s="2297"/>
      <c r="M564" s="2297"/>
      <c r="N564" s="2297"/>
      <c r="O564" s="2297"/>
      <c r="P564" s="2297"/>
      <c r="Q564" s="2297"/>
      <c r="R564" s="2297"/>
      <c r="S564" s="2297"/>
      <c r="T564" s="2297"/>
      <c r="U564" s="2297"/>
      <c r="V564" s="2297"/>
      <c r="W564" s="2297"/>
      <c r="X564" s="2297"/>
      <c r="Y564" s="2297"/>
      <c r="Z564" s="2297"/>
      <c r="AA564" s="2297"/>
      <c r="AB564" s="2297"/>
      <c r="AC564" s="2297"/>
      <c r="AD564" s="2297"/>
      <c r="AE564" s="2297"/>
      <c r="AF564" s="2297"/>
      <c r="AG564" s="2297"/>
      <c r="AH564" s="2298"/>
      <c r="AI564" s="2297"/>
      <c r="AJ564" s="2298"/>
      <c r="AK564" s="2299"/>
      <c r="AL564" s="2300">
        <f>ROUND(+AL187-AK187,-2)</f>
        <v>14000</v>
      </c>
      <c r="AM564" s="2300">
        <f>ROUND(+AM187-AL187,-2)</f>
        <v>2200</v>
      </c>
      <c r="AN564" s="2300">
        <f>ROUND(+AN187-AM187,-2)</f>
        <v>1300</v>
      </c>
      <c r="AO564" s="2300">
        <f>ROUND(+AO187-AN187,-2)</f>
        <v>1700</v>
      </c>
      <c r="AP564" s="2300">
        <f>ROUND(+AP187-AO187,-2)</f>
        <v>1900</v>
      </c>
    </row>
    <row r="565" spans="2:42">
      <c r="B565" s="1261" t="s">
        <v>1528</v>
      </c>
      <c r="C565" s="1261" t="s">
        <v>1528</v>
      </c>
      <c r="AL565" s="1341">
        <f>+ROUND('maruchan inc'!AG36*'maruchan inc'!AG$99,-2)</f>
        <v>1900</v>
      </c>
      <c r="AM565" s="1341">
        <f>+ROUND('maruchan inc'!AH36*'maruchan inc'!AH$99,-2)</f>
        <v>5600</v>
      </c>
      <c r="AN565" s="2301">
        <f>+ROUND('maruchan inc'!AI36*'maruchan inc'!AI$99,-2)+ROUND('maruchan inc'!AI39*'maruchan inc'!AI$99/2,-2)</f>
        <v>4600</v>
      </c>
      <c r="AO565" s="2301">
        <f>+ROUND('maruchan inc'!AJ36*'maruchan inc'!AJ$99,-2)+ROUND('maruchan inc'!AJ39*'maruchan inc'!AJ$99/2,-2)</f>
        <v>4800</v>
      </c>
      <c r="AP565" s="2301">
        <f>+ROUND('maruchan inc'!AK36*'maruchan inc'!AK$99,-2)+ROUND('maruchan inc'!AK39*'maruchan inc'!AK$99/2,-2)</f>
        <v>4500</v>
      </c>
    </row>
    <row r="566" spans="2:42">
      <c r="B566" s="1261" t="s">
        <v>1529</v>
      </c>
      <c r="C566" s="1261" t="s">
        <v>1529</v>
      </c>
      <c r="AL566" s="1341">
        <f>+ROUND('maruchan inc'!AG38*'maruchan inc'!AG$99,-2)</f>
        <v>13000</v>
      </c>
      <c r="AM566" s="1341">
        <f>+ROUND('maruchan inc'!AH38*'maruchan inc'!AH$99,-2)</f>
        <v>-1300</v>
      </c>
      <c r="AN566" s="2301">
        <f>+ROUND('maruchan inc'!AI38*'maruchan inc'!AI$99,-2)+ROUND('maruchan inc'!AI39*'maruchan inc'!AI$99/2,-2)</f>
        <v>700</v>
      </c>
      <c r="AO566" s="2301">
        <f>+ROUND('maruchan inc'!AJ38*'maruchan inc'!AJ$99,-2)+ROUND('maruchan inc'!AJ39*'maruchan inc'!AJ$99/2,-2)</f>
        <v>700</v>
      </c>
      <c r="AP566" s="2301">
        <f>+ROUND('maruchan inc'!AK38*'maruchan inc'!AK$99,-2)+ROUND('maruchan inc'!AK39*'maruchan inc'!AK$99/2,-2)</f>
        <v>700</v>
      </c>
    </row>
    <row r="567" spans="2:42">
      <c r="B567" s="1261" t="s">
        <v>1532</v>
      </c>
      <c r="C567" s="1261" t="s">
        <v>1532</v>
      </c>
      <c r="AL567" s="1341">
        <v>1300</v>
      </c>
      <c r="AM567" s="1341"/>
      <c r="AN567" s="1341"/>
      <c r="AO567" s="1341"/>
      <c r="AP567" s="1341"/>
    </row>
    <row r="568" spans="2:42">
      <c r="B568" s="1261" t="s">
        <v>1530</v>
      </c>
      <c r="C568" s="1261" t="s">
        <v>1530</v>
      </c>
      <c r="AL568" s="1341">
        <f>+ROUND('maruchan inc'!AG39*'maruchan inc'!AG$99,-2)</f>
        <v>2600</v>
      </c>
      <c r="AM568" s="1341">
        <f>+ROUND('maruchan inc'!AH39*'maruchan inc'!AH$99,-2)</f>
        <v>1800</v>
      </c>
      <c r="AN568" s="2301">
        <v>0</v>
      </c>
      <c r="AO568" s="2301">
        <v>0</v>
      </c>
      <c r="AP568" s="2301">
        <v>0</v>
      </c>
    </row>
    <row r="569" spans="2:42">
      <c r="B569" s="1261" t="s">
        <v>1531</v>
      </c>
      <c r="C569" s="1261" t="s">
        <v>1531</v>
      </c>
      <c r="AL569" s="1341">
        <f>+ROUND('maruchan inc'!AG40*'maruchan inc'!AG$99+(-'maruchan inc'!AG78+'maruchan inc'!AF78)/1000*'maruchan inc'!AG$99,-2)</f>
        <v>-5800</v>
      </c>
      <c r="AM569" s="1341">
        <f>+ROUND('maruchan inc'!AH40*'maruchan inc'!AH$99+(-'maruchan inc'!AH78+'maruchan inc'!AG78)/1000*'maruchan inc'!AH$99,-2)</f>
        <v>-3900</v>
      </c>
      <c r="AN569" s="1341">
        <f>+ROUND('maruchan inc'!AI40*'maruchan inc'!AI$99+(-'maruchan inc'!AI78+'maruchan inc'!AH78)/1000*'maruchan inc'!AI$99,-2)</f>
        <v>-4000</v>
      </c>
      <c r="AO569" s="1341">
        <f>+ROUND('maruchan inc'!AJ40*'maruchan inc'!AJ$99+(-'maruchan inc'!AJ78+'maruchan inc'!AI78)/1000*'maruchan inc'!AJ$99,-2)</f>
        <v>-3800</v>
      </c>
      <c r="AP569" s="1341">
        <f>+ROUND('maruchan inc'!AK40*'maruchan inc'!AK$99+(-'maruchan inc'!AK78+'maruchan inc'!AJ78)/1000*'maruchan inc'!AK$99,-2)</f>
        <v>-3500</v>
      </c>
    </row>
    <row r="570" spans="2:42">
      <c r="B570" s="2296" t="s">
        <v>196</v>
      </c>
      <c r="C570" s="2296" t="s">
        <v>196</v>
      </c>
      <c r="D570" s="2297"/>
      <c r="E570" s="2297"/>
      <c r="F570" s="2297"/>
      <c r="G570" s="2297"/>
      <c r="H570" s="2297"/>
      <c r="I570" s="2297"/>
      <c r="J570" s="2297"/>
      <c r="K570" s="2297"/>
      <c r="L570" s="2297"/>
      <c r="M570" s="2297"/>
      <c r="N570" s="2297"/>
      <c r="O570" s="2297"/>
      <c r="P570" s="2297"/>
      <c r="Q570" s="2297"/>
      <c r="R570" s="2297"/>
      <c r="S570" s="2297"/>
      <c r="T570" s="2297"/>
      <c r="U570" s="2297"/>
      <c r="V570" s="2297"/>
      <c r="W570" s="2297"/>
      <c r="X570" s="2297"/>
      <c r="Y570" s="2297"/>
      <c r="Z570" s="2297"/>
      <c r="AA570" s="2297"/>
      <c r="AB570" s="2297"/>
      <c r="AC570" s="2297"/>
      <c r="AD570" s="2297"/>
      <c r="AE570" s="2297"/>
      <c r="AF570" s="2297"/>
      <c r="AG570" s="2297"/>
      <c r="AH570" s="2298"/>
      <c r="AI570" s="2297"/>
      <c r="AJ570" s="2298"/>
      <c r="AK570" s="2299"/>
      <c r="AL570" s="2300">
        <f>+ROUND(AL184-AK184+AL222-AK222+AL230-AK230+AL233-AK233+AL237-AK237,-2)</f>
        <v>2500</v>
      </c>
      <c r="AM570" s="2300">
        <f>+ROUND(AM184-AL184+AM222-AL222+AM230-AL230+AM233-AL233+AM237-AL237,-2)</f>
        <v>500</v>
      </c>
      <c r="AN570" s="2300">
        <f>+ROUND(AN184-AM184+AN222-AM222+AN230-AM230+AN233-AM233+AN237-AM237,-2)</f>
        <v>300</v>
      </c>
      <c r="AO570" s="2300">
        <f>+ROUND(AO184-AN184+AO222-AN222+AO230-AN230+AO233-AN233+AO237-AN237,-2)</f>
        <v>100</v>
      </c>
      <c r="AP570" s="2300">
        <f>+ROUND(AP184-AO184+AP222-AO222+AP230-AO230+AP233-AO233+AP237-AO237,-2)</f>
        <v>300</v>
      </c>
    </row>
    <row r="572" spans="2:42">
      <c r="AL572" s="1341">
        <f>+AL559+AL564+AL570</f>
        <v>19200</v>
      </c>
      <c r="AM572" s="1341">
        <f>+AM559+AM564+AM570</f>
        <v>4500</v>
      </c>
      <c r="AN572" s="1341">
        <f>+AN559+AN564+AN570</f>
        <v>2100</v>
      </c>
      <c r="AO572" s="1341">
        <f>+AO559+AO564+AO570</f>
        <v>1900</v>
      </c>
      <c r="AP572" s="1341">
        <f>+AP559+AP564+AP570</f>
        <v>2200</v>
      </c>
    </row>
    <row r="573" spans="2:42">
      <c r="AL573" s="1341">
        <f>+AL242-AK242</f>
        <v>19171</v>
      </c>
      <c r="AM573" s="1341">
        <f t="shared" ref="AM573:AP573" si="824">+AM242-AL242</f>
        <v>4500</v>
      </c>
      <c r="AN573" s="1341">
        <f t="shared" si="824"/>
        <v>2100</v>
      </c>
      <c r="AO573" s="1341">
        <f t="shared" si="824"/>
        <v>1900</v>
      </c>
      <c r="AP573" s="1341">
        <f t="shared" si="824"/>
        <v>2200</v>
      </c>
    </row>
  </sheetData>
  <phoneticPr fontId="96"/>
  <dataValidations count="1">
    <dataValidation allowBlank="1" sqref="M2:N2 R1:U1 J1:L2 O1:Q2 B2:B3 A1 A4:C4" xr:uid="{00000000-0002-0000-0A00-000000000000}"/>
  </dataValidations>
  <pageMargins left="0.70866141732283472" right="0.70866141732283472" top="0.74803149606299213" bottom="0.74803149606299213" header="0.31496062992125984" footer="0.31496062992125984"/>
  <pageSetup paperSize="8" scale="10" orientation="portrait" r:id="rId1"/>
  <customProperties>
    <customPr name="Qube.Worksheet.Visibility" r:id="rId2"/>
    <customPr name="QXL_SHEET_ID" r:id="rId3"/>
  </customProperties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pageSetUpPr fitToPage="1"/>
  </sheetPr>
  <dimension ref="B1:AT111"/>
  <sheetViews>
    <sheetView showGridLines="0" zoomScaleNormal="100" zoomScaleSheetLayoutView="76" workbookViewId="0">
      <pane xSplit="3" ySplit="5" topLeftCell="D6" activePane="bottomRight" state="frozen"/>
      <selection pane="topRight" activeCell="D1" sqref="D1"/>
      <selection pane="bottomLeft" activeCell="A5" sqref="A5"/>
      <selection pane="bottomRight"/>
    </sheetView>
  </sheetViews>
  <sheetFormatPr defaultColWidth="9" defaultRowHeight="11.5" outlineLevelCol="1"/>
  <cols>
    <col min="1" max="1" width="17" style="1" bestFit="1" customWidth="1"/>
    <col min="2" max="2" width="3.58203125" style="1" customWidth="1"/>
    <col min="3" max="3" width="22.75" style="1" customWidth="1"/>
    <col min="4" max="20" width="9.5" style="1" hidden="1" customWidth="1" outlineLevel="1"/>
    <col min="21" max="24" width="9.5" style="1" hidden="1" customWidth="1" outlineLevel="1" collapsed="1"/>
    <col min="25" max="26" width="9.5" style="1" hidden="1" customWidth="1" outlineLevel="1"/>
    <col min="27" max="27" width="9.5" style="1" customWidth="1" collapsed="1"/>
    <col min="28" max="28" width="9.5" style="1" customWidth="1"/>
    <col min="29" max="29" width="9.5" style="2068" customWidth="1"/>
    <col min="30" max="30" width="9.5" style="1" customWidth="1"/>
    <col min="31" max="31" width="9.5" style="2058" customWidth="1"/>
    <col min="32" max="32" width="9.5" style="357" customWidth="1"/>
    <col min="33" max="37" width="9.5" style="1" customWidth="1"/>
    <col min="38" max="38" width="7.08203125" style="1" customWidth="1"/>
    <col min="39" max="39" width="6.83203125" style="1" customWidth="1"/>
    <col min="40" max="45" width="6.83203125" style="1" hidden="1" customWidth="1" outlineLevel="1"/>
    <col min="46" max="46" width="6.83203125" style="1" customWidth="1" collapsed="1"/>
    <col min="47" max="47" width="6.83203125" style="1" customWidth="1"/>
    <col min="48" max="16384" width="9" style="1"/>
  </cols>
  <sheetData>
    <row r="1" spans="2:38">
      <c r="AC1" s="1"/>
      <c r="AE1" s="356"/>
    </row>
    <row r="2" spans="2:38">
      <c r="B2" s="1" t="s">
        <v>364</v>
      </c>
      <c r="AC2" s="1"/>
      <c r="AE2" s="356"/>
      <c r="AG2" s="2156"/>
      <c r="AH2" s="61"/>
      <c r="AI2" s="358"/>
      <c r="AJ2" s="358"/>
      <c r="AK2" s="358"/>
    </row>
    <row r="3" spans="2:38" s="386" customFormat="1">
      <c r="B3" s="2049"/>
      <c r="C3" s="2049"/>
      <c r="D3" s="2049" t="s">
        <v>363</v>
      </c>
      <c r="E3" s="2049" t="s">
        <v>362</v>
      </c>
      <c r="F3" s="2049" t="s">
        <v>361</v>
      </c>
      <c r="G3" s="2049" t="s">
        <v>360</v>
      </c>
      <c r="H3" s="2049" t="s">
        <v>359</v>
      </c>
      <c r="I3" s="2049" t="s">
        <v>358</v>
      </c>
      <c r="J3" s="2049" t="s">
        <v>357</v>
      </c>
      <c r="K3" s="2049" t="s">
        <v>356</v>
      </c>
      <c r="L3" s="2049" t="s">
        <v>355</v>
      </c>
      <c r="M3" s="2049" t="s">
        <v>354</v>
      </c>
      <c r="N3" s="2049" t="s">
        <v>353</v>
      </c>
      <c r="O3" s="2049" t="s">
        <v>352</v>
      </c>
      <c r="P3" s="2049" t="s">
        <v>351</v>
      </c>
      <c r="Q3" s="2049" t="s">
        <v>350</v>
      </c>
      <c r="R3" s="2049" t="s">
        <v>349</v>
      </c>
      <c r="S3" s="2049" t="s">
        <v>348</v>
      </c>
      <c r="T3" s="2049" t="s">
        <v>347</v>
      </c>
      <c r="U3" s="2049" t="s">
        <v>346</v>
      </c>
      <c r="V3" s="2049" t="s">
        <v>345</v>
      </c>
      <c r="W3" s="2049" t="s">
        <v>344</v>
      </c>
      <c r="X3" s="2049" t="s">
        <v>343</v>
      </c>
      <c r="Y3" s="2049" t="s">
        <v>1110</v>
      </c>
      <c r="Z3" s="2049" t="s">
        <v>1293</v>
      </c>
      <c r="AA3" s="2049" t="s">
        <v>1251</v>
      </c>
      <c r="AB3" s="2049" t="s">
        <v>1359</v>
      </c>
      <c r="AC3" s="2069" t="s">
        <v>1401</v>
      </c>
      <c r="AD3" s="2049" t="s">
        <v>1401</v>
      </c>
      <c r="AE3" s="2067" t="s">
        <v>1474</v>
      </c>
      <c r="AF3" s="2050" t="s">
        <v>1474</v>
      </c>
      <c r="AG3" s="2049" t="s">
        <v>1280</v>
      </c>
      <c r="AH3" s="2049" t="s">
        <v>1305</v>
      </c>
      <c r="AI3" s="2049" t="s">
        <v>1330</v>
      </c>
      <c r="AJ3" s="2049" t="s">
        <v>1368</v>
      </c>
      <c r="AK3" s="2049" t="s">
        <v>1402</v>
      </c>
    </row>
    <row r="4" spans="2:38" s="386" customFormat="1">
      <c r="B4" s="2049"/>
      <c r="C4" s="2049"/>
      <c r="D4" s="2049"/>
      <c r="E4" s="2049"/>
      <c r="F4" s="2049"/>
      <c r="G4" s="2049"/>
      <c r="H4" s="2049"/>
      <c r="I4" s="2049"/>
      <c r="J4" s="2049"/>
      <c r="K4" s="2049"/>
      <c r="L4" s="2049"/>
      <c r="M4" s="2049"/>
      <c r="N4" s="2049"/>
      <c r="O4" s="2049" t="s">
        <v>342</v>
      </c>
      <c r="P4" s="2049" t="s">
        <v>342</v>
      </c>
      <c r="Q4" s="2049"/>
      <c r="R4" s="2049"/>
      <c r="S4" s="2049"/>
      <c r="T4" s="2049"/>
      <c r="U4" s="2049"/>
      <c r="V4" s="2049"/>
      <c r="W4" s="2049"/>
      <c r="X4" s="2049"/>
      <c r="Y4" s="2049"/>
      <c r="Z4" s="2049"/>
      <c r="AA4" s="2049"/>
      <c r="AB4" s="2049"/>
      <c r="AC4" s="2070"/>
      <c r="AD4" s="2049"/>
      <c r="AE4" s="2059"/>
      <c r="AF4" s="2050"/>
      <c r="AG4" s="2049"/>
      <c r="AH4" s="2049"/>
      <c r="AI4" s="2049"/>
      <c r="AJ4" s="2049"/>
      <c r="AK4" s="2049"/>
    </row>
    <row r="5" spans="2:38" s="360" customFormat="1">
      <c r="B5" s="2099" t="s">
        <v>341</v>
      </c>
      <c r="C5" s="2099"/>
      <c r="D5" s="2099">
        <v>404307</v>
      </c>
      <c r="E5" s="2099">
        <v>419694</v>
      </c>
      <c r="F5" s="2099">
        <v>425337</v>
      </c>
      <c r="G5" s="2099"/>
      <c r="H5" s="2099"/>
      <c r="I5" s="2099"/>
      <c r="J5" s="2099">
        <v>597761</v>
      </c>
      <c r="K5" s="2099">
        <v>636489</v>
      </c>
      <c r="L5" s="2099">
        <v>285000</v>
      </c>
      <c r="M5" s="2099">
        <f>N5-L5</f>
        <v>319000</v>
      </c>
      <c r="N5" s="2099">
        <v>604000</v>
      </c>
      <c r="O5" s="2099">
        <v>332000</v>
      </c>
      <c r="P5" s="2099">
        <f>Q5-O5</f>
        <v>369000</v>
      </c>
      <c r="Q5" s="2099">
        <v>701000</v>
      </c>
      <c r="R5" s="2099">
        <v>367000</v>
      </c>
      <c r="S5" s="2099">
        <f t="shared" ref="S5:T5" si="0">S10+S18</f>
        <v>387746.10600000003</v>
      </c>
      <c r="T5" s="2099">
        <f t="shared" si="0"/>
        <v>751945.34344476811</v>
      </c>
      <c r="U5" s="2099">
        <v>733000</v>
      </c>
      <c r="V5" s="2099">
        <v>716000</v>
      </c>
      <c r="W5" s="2099">
        <v>687000</v>
      </c>
      <c r="X5" s="2054">
        <v>651000</v>
      </c>
      <c r="Y5" s="2054">
        <f t="shared" ref="Y5:Z5" si="1">Y10+Y18</f>
        <v>689544.81439200731</v>
      </c>
      <c r="Z5" s="2054">
        <f t="shared" si="1"/>
        <v>755534.1927433887</v>
      </c>
      <c r="AA5" s="2054">
        <f t="shared" ref="AA5:AC5" si="2">AA10+AA18</f>
        <v>816405.62209639628</v>
      </c>
      <c r="AB5" s="2054">
        <f t="shared" si="2"/>
        <v>848357.26108315319</v>
      </c>
      <c r="AC5" s="2054">
        <f t="shared" si="2"/>
        <v>933964.82335187483</v>
      </c>
      <c r="AD5" s="2054">
        <f>+Quarterly!IR18*1000</f>
        <v>933000</v>
      </c>
      <c r="AE5" s="2055">
        <f t="shared" ref="AE5" si="3">AE10+AE18</f>
        <v>1260370.0419190375</v>
      </c>
      <c r="AF5" s="2056">
        <f>+Quarterly!JD18*1000</f>
        <v>1336000</v>
      </c>
      <c r="AG5" s="2054">
        <f t="shared" ref="AG5:AH5" si="4">AG10+AG18</f>
        <v>1467900</v>
      </c>
      <c r="AH5" s="2054">
        <f t="shared" si="4"/>
        <v>1537900</v>
      </c>
      <c r="AI5" s="2054">
        <f t="shared" ref="AI5:AJ5" si="5">AI10+AI18</f>
        <v>1619700</v>
      </c>
      <c r="AJ5" s="2054">
        <f t="shared" si="5"/>
        <v>1705900</v>
      </c>
      <c r="AK5" s="2054">
        <f t="shared" ref="AK5" si="6">AK10+AK18</f>
        <v>1788100</v>
      </c>
      <c r="AL5" s="361"/>
    </row>
    <row r="6" spans="2:38" s="1449" customFormat="1" ht="12">
      <c r="B6" s="2100" t="s">
        <v>300</v>
      </c>
      <c r="C6" s="2100"/>
      <c r="D6" s="2100"/>
      <c r="E6" s="2101">
        <f>(E5-D5)/D5</f>
        <v>3.8057713569144239E-2</v>
      </c>
      <c r="F6" s="2101">
        <f>(F5-E5)/E5</f>
        <v>1.3445510300361693E-2</v>
      </c>
      <c r="G6" s="2100"/>
      <c r="H6" s="2100"/>
      <c r="I6" s="2100"/>
      <c r="J6" s="2101">
        <v>0.19700000000000001</v>
      </c>
      <c r="K6" s="2101">
        <f>(K5-J5)/J5</f>
        <v>6.4788435511851733E-2</v>
      </c>
      <c r="L6" s="2101">
        <v>-7.1999999999999995E-2</v>
      </c>
      <c r="M6" s="2101">
        <v>-3.1E-2</v>
      </c>
      <c r="N6" s="2101">
        <f>(N5-K5)/K5</f>
        <v>-5.1044087171969982E-2</v>
      </c>
      <c r="O6" s="2101">
        <v>0.16500000000000001</v>
      </c>
      <c r="P6" s="2101">
        <v>0.157</v>
      </c>
      <c r="Q6" s="2101">
        <f>(Q5-N5)/N5</f>
        <v>0.16059602649006621</v>
      </c>
      <c r="R6" s="2101">
        <f>(R5-O5)/O5</f>
        <v>0.10542168674698796</v>
      </c>
      <c r="S6" s="2101">
        <f>(S5-P5)/P5</f>
        <v>5.0802455284552926E-2</v>
      </c>
      <c r="T6" s="2101">
        <f>(T5-Q5)/Q5</f>
        <v>7.2675240292108576E-2</v>
      </c>
      <c r="U6" s="2101">
        <f t="shared" ref="U6:AK6" si="7">(U5-T5)/T5</f>
        <v>-2.519510707783202E-2</v>
      </c>
      <c r="V6" s="2101">
        <f t="shared" si="7"/>
        <v>-2.3192360163710776E-2</v>
      </c>
      <c r="W6" s="2101">
        <f t="shared" si="7"/>
        <v>-4.0502793296089384E-2</v>
      </c>
      <c r="X6" s="2102">
        <f t="shared" si="7"/>
        <v>-5.2401746724890827E-2</v>
      </c>
      <c r="Y6" s="2102">
        <f t="shared" si="7"/>
        <v>5.9208624258075736E-2</v>
      </c>
      <c r="Z6" s="2102">
        <f>(Z5-Y5)/Y5</f>
        <v>9.5699912426382677E-2</v>
      </c>
      <c r="AA6" s="2102">
        <f t="shared" si="7"/>
        <v>8.0567405072667686E-2</v>
      </c>
      <c r="AB6" s="2102">
        <f t="shared" si="7"/>
        <v>3.9136965892898092E-2</v>
      </c>
      <c r="AC6" s="2102">
        <f>(AC5-AB5)/AB5</f>
        <v>0.10090980085373569</v>
      </c>
      <c r="AD6" s="2102">
        <f>(AD5-AB5)/AB5</f>
        <v>9.9772516603179526E-2</v>
      </c>
      <c r="AE6" s="2103">
        <f>(AE5-AD5)/AD5</f>
        <v>0.35087893024548494</v>
      </c>
      <c r="AF6" s="2104">
        <f>(AF5-AD5)/AD5</f>
        <v>0.43193997856377275</v>
      </c>
      <c r="AG6" s="2102">
        <f t="shared" si="7"/>
        <v>9.872754491017964E-2</v>
      </c>
      <c r="AH6" s="2102">
        <f t="shared" si="7"/>
        <v>4.7687172150691466E-2</v>
      </c>
      <c r="AI6" s="2102">
        <f t="shared" si="7"/>
        <v>5.3189414136159699E-2</v>
      </c>
      <c r="AJ6" s="2102">
        <f t="shared" si="7"/>
        <v>5.3219732049144902E-2</v>
      </c>
      <c r="AK6" s="2102">
        <f t="shared" si="7"/>
        <v>4.818570842370596E-2</v>
      </c>
      <c r="AL6" s="2044"/>
    </row>
    <row r="7" spans="2:38" s="2043" customFormat="1" ht="12">
      <c r="B7" s="2043" t="s">
        <v>340</v>
      </c>
      <c r="J7" s="2043">
        <v>0.03</v>
      </c>
      <c r="K7" s="2043">
        <v>0.02</v>
      </c>
      <c r="L7" s="2043">
        <v>-0.05</v>
      </c>
      <c r="M7" s="2043">
        <v>0.03</v>
      </c>
      <c r="N7" s="2043">
        <v>-0.01</v>
      </c>
      <c r="O7" s="2043">
        <v>0.13</v>
      </c>
      <c r="P7" s="2043">
        <v>0.03</v>
      </c>
      <c r="Q7" s="2043">
        <v>7.4999999999999997E-2</v>
      </c>
      <c r="R7" s="2043">
        <f>R12*0.7+R20*0.3</f>
        <v>3.3000000000000002E-2</v>
      </c>
      <c r="S7" s="2043">
        <f>(S12+S20)*0.5</f>
        <v>7.7499999999999999E-2</v>
      </c>
      <c r="T7" s="2043">
        <f>(T12+T20)*0.5</f>
        <v>6.6250000000000003E-2</v>
      </c>
      <c r="U7" s="2043">
        <f t="shared" ref="U7:W8" si="8">U12*0.7+U20*0.3</f>
        <v>-4.9999999999999992E-3</v>
      </c>
      <c r="V7" s="2043">
        <f t="shared" si="8"/>
        <v>-1.4999999999999998E-2</v>
      </c>
      <c r="W7" s="2043">
        <f t="shared" si="8"/>
        <v>-2.8999999999999998E-2</v>
      </c>
      <c r="X7" s="2044">
        <f t="shared" ref="X7" si="9">X12*0.7+X20*0.3</f>
        <v>-3.9799999999999988E-2</v>
      </c>
      <c r="Y7" s="1453">
        <f t="shared" ref="Y7" si="10">Y12*0.7+Y20*0.3</f>
        <v>6.0999999999999999E-2</v>
      </c>
      <c r="Z7" s="1453">
        <f>Z12*0.6+Z20*0.4</f>
        <v>7.8E-2</v>
      </c>
      <c r="AA7" s="1453">
        <f t="shared" ref="AA7:AG7" si="11">AA12*0.6+AA20*0.4</f>
        <v>5.3999999999999999E-2</v>
      </c>
      <c r="AB7" s="1453">
        <f t="shared" si="11"/>
        <v>-2.8000000000000001E-2</v>
      </c>
      <c r="AC7" s="1962">
        <f t="shared" ref="AC7" si="12">AC12*0.6+AC20*0.4</f>
        <v>1.6E-2</v>
      </c>
      <c r="AD7" s="1453">
        <f t="shared" si="11"/>
        <v>1.6E-2</v>
      </c>
      <c r="AE7" s="2061">
        <f t="shared" ref="AE7" si="13">AE12*0.6+AE20*0.4</f>
        <v>0.10200000000000001</v>
      </c>
      <c r="AF7" s="2046">
        <f t="shared" si="11"/>
        <v>0.128</v>
      </c>
      <c r="AG7" s="1453">
        <f t="shared" si="11"/>
        <v>3.2500000000000001E-2</v>
      </c>
      <c r="AH7" s="1453">
        <f t="shared" ref="AH7" si="14">AH12*0.6+AH20*0.4</f>
        <v>5.3000000000000005E-2</v>
      </c>
      <c r="AI7" s="1453">
        <f t="shared" ref="AI7:AJ7" si="15">AI12*0.6+AI20*0.4</f>
        <v>4.8000000000000001E-2</v>
      </c>
      <c r="AJ7" s="1453">
        <f t="shared" si="15"/>
        <v>4.8000000000000001E-2</v>
      </c>
      <c r="AK7" s="1453">
        <f t="shared" ref="AK7" si="16">AK12*0.6+AK20*0.4</f>
        <v>4.2999999999999997E-2</v>
      </c>
      <c r="AL7" s="2044"/>
    </row>
    <row r="8" spans="2:38" s="2043" customFormat="1" ht="12">
      <c r="B8" s="2043" t="s">
        <v>1428</v>
      </c>
      <c r="J8" s="2043">
        <v>0.16</v>
      </c>
      <c r="K8" s="2043">
        <v>4.4999999999999998E-2</v>
      </c>
      <c r="L8" s="2043">
        <v>-0.02</v>
      </c>
      <c r="M8" s="2043">
        <v>-0.06</v>
      </c>
      <c r="N8" s="2043">
        <v>-0.04</v>
      </c>
      <c r="O8" s="2043">
        <v>0.03</v>
      </c>
      <c r="P8" s="2043">
        <v>0.13</v>
      </c>
      <c r="Q8" s="2043">
        <v>8.5000000000000006E-2</v>
      </c>
      <c r="R8" s="2043">
        <f>R13*0.7+R21*0.3</f>
        <v>7.3061902783548072E-2</v>
      </c>
      <c r="S8" s="2043">
        <f>(S13+S21)*0.5</f>
        <v>-5.0000000000000001E-3</v>
      </c>
      <c r="T8" s="2043">
        <f>(T13+T21)*0.5</f>
        <v>2.8384918986290066E-2</v>
      </c>
      <c r="U8" s="2043">
        <f t="shared" si="8"/>
        <v>-1.6999999999999998E-2</v>
      </c>
      <c r="V8" s="2043">
        <f t="shared" si="8"/>
        <v>-7.4999999999999989E-3</v>
      </c>
      <c r="W8" s="2043">
        <f t="shared" si="8"/>
        <v>-1.7999999999999999E-2</v>
      </c>
      <c r="X8" s="2044">
        <f t="shared" ref="X8" si="17">X13*0.7+X21*0.3</f>
        <v>-1.0499999999999999E-2</v>
      </c>
      <c r="Y8" s="1453">
        <f t="shared" ref="Y8" si="18">Y13*0.7+Y21*0.3</f>
        <v>-6.9999999999999993E-3</v>
      </c>
      <c r="Z8" s="1453">
        <f>Z13*0.6+Z21*0.4</f>
        <v>2.0000000000000004E-2</v>
      </c>
      <c r="AA8" s="1453">
        <f t="shared" ref="AA8:AG8" si="19">AA13*0.6+AA21*0.4</f>
        <v>2.6000000000000002E-2</v>
      </c>
      <c r="AB8" s="1453">
        <f t="shared" si="19"/>
        <v>7.0000000000000007E-2</v>
      </c>
      <c r="AC8" s="1962">
        <f t="shared" ref="AC8" si="20">AC13*0.6+AC21*0.4</f>
        <v>8.3999999999999991E-2</v>
      </c>
      <c r="AD8" s="1453">
        <f t="shared" si="19"/>
        <v>7.8756382978723463E-2</v>
      </c>
      <c r="AE8" s="2061">
        <f t="shared" ref="AE8" si="21">AE13*0.6+AE21*0.4</f>
        <v>0.23</v>
      </c>
      <c r="AF8" s="2046">
        <f t="shared" si="19"/>
        <v>0.30193997856377275</v>
      </c>
      <c r="AG8" s="1453">
        <f t="shared" si="19"/>
        <v>7.5304529579496834E-2</v>
      </c>
      <c r="AH8" s="1453">
        <f t="shared" ref="AH8" si="22">AH13*0.6+AH21*0.4</f>
        <v>-5.0000000000000001E-3</v>
      </c>
      <c r="AI8" s="1453">
        <f t="shared" ref="AI8:AJ8" si="23">AI13*0.6+AI21*0.4</f>
        <v>5.0000000000000001E-3</v>
      </c>
      <c r="AJ8" s="1453">
        <f t="shared" si="23"/>
        <v>5.0000000000000001E-3</v>
      </c>
      <c r="AK8" s="1453">
        <f t="shared" ref="AK8" si="24">AK13*0.6+AK21*0.4</f>
        <v>5.0000000000000001E-3</v>
      </c>
      <c r="AL8" s="1453"/>
    </row>
    <row r="9" spans="2:38" s="2043" customFormat="1" ht="6" customHeight="1">
      <c r="X9" s="2044"/>
      <c r="Y9" s="1453"/>
      <c r="Z9" s="1453"/>
      <c r="AA9" s="1453"/>
      <c r="AB9" s="1453"/>
      <c r="AC9" s="1962"/>
      <c r="AD9" s="1453"/>
      <c r="AE9" s="2061"/>
      <c r="AF9" s="2046"/>
      <c r="AG9" s="1453"/>
      <c r="AH9" s="1453"/>
      <c r="AI9" s="1453"/>
      <c r="AJ9" s="1453"/>
      <c r="AK9" s="1453"/>
      <c r="AL9" s="1453"/>
    </row>
    <row r="10" spans="2:38" s="367" customFormat="1">
      <c r="C10" s="1487" t="s">
        <v>315</v>
      </c>
      <c r="D10" s="1489">
        <v>283010</v>
      </c>
      <c r="E10" s="1489">
        <v>293790</v>
      </c>
      <c r="F10" s="1489">
        <v>297740</v>
      </c>
      <c r="G10" s="1489"/>
      <c r="H10" s="1489"/>
      <c r="I10" s="1489"/>
      <c r="J10" s="1489">
        <v>442343</v>
      </c>
      <c r="K10" s="1489">
        <v>458270</v>
      </c>
      <c r="L10" s="1489">
        <v>205200</v>
      </c>
      <c r="M10" s="1489">
        <f>N10-L10</f>
        <v>229680</v>
      </c>
      <c r="N10" s="1489">
        <v>434880</v>
      </c>
      <c r="O10" s="1489">
        <v>235720</v>
      </c>
      <c r="P10" s="1489">
        <v>257376</v>
      </c>
      <c r="Q10" s="1489">
        <v>493096</v>
      </c>
      <c r="R10" s="1489">
        <f>R5*0.7</f>
        <v>256899.99999999997</v>
      </c>
      <c r="S10" s="1489">
        <f t="shared" ref="S10:W10" si="25">S15*S16*1000</f>
        <v>270596.10600000003</v>
      </c>
      <c r="T10" s="1489">
        <f t="shared" si="25"/>
        <v>526375.36159848631</v>
      </c>
      <c r="U10" s="1489">
        <f t="shared" si="25"/>
        <v>505530.89727918629</v>
      </c>
      <c r="V10" s="1489">
        <f t="shared" si="25"/>
        <v>483009.49580539844</v>
      </c>
      <c r="W10" s="1489">
        <f t="shared" si="25"/>
        <v>459148.82671261171</v>
      </c>
      <c r="X10" s="1489">
        <f>X15*X16*1000</f>
        <v>418794.23633284029</v>
      </c>
      <c r="Y10" s="1489">
        <f t="shared" ref="Y10:Z10" si="26">Y15*Y16*1000</f>
        <v>443628.73454737774</v>
      </c>
      <c r="Z10" s="1489">
        <f t="shared" si="26"/>
        <v>470468.27298749413</v>
      </c>
      <c r="AA10" s="1489">
        <f t="shared" ref="AA10:AC10" si="27">AA15*AA16*1000</f>
        <v>512810.41755636863</v>
      </c>
      <c r="AB10" s="1489">
        <f t="shared" si="27"/>
        <v>526758.86091390182</v>
      </c>
      <c r="AC10" s="1489">
        <f t="shared" si="27"/>
        <v>579434.7470052921</v>
      </c>
      <c r="AD10" s="1489">
        <f t="shared" ref="AD10" si="28">AD15*AD16*1000</f>
        <v>568244.48350147333</v>
      </c>
      <c r="AE10" s="1490">
        <f t="shared" ref="AE10" si="29">AE15*AE16*1000</f>
        <v>788439.22085829417</v>
      </c>
      <c r="AF10" s="2053">
        <f>ROUND(AF15*AF16*1000,-2)</f>
        <v>815000</v>
      </c>
      <c r="AG10" s="1489">
        <f>ROUND(AG15*AG16*1000,-2)</f>
        <v>869800</v>
      </c>
      <c r="AH10" s="1489">
        <f t="shared" ref="AH10:AK10" si="30">ROUND(AH15*AH16*1000,-2)</f>
        <v>913000</v>
      </c>
      <c r="AI10" s="1489">
        <f t="shared" si="30"/>
        <v>963500</v>
      </c>
      <c r="AJ10" s="1489">
        <f t="shared" si="30"/>
        <v>1016700</v>
      </c>
      <c r="AK10" s="1489">
        <f t="shared" si="30"/>
        <v>1067700</v>
      </c>
    </row>
    <row r="11" spans="2:38" s="1449" customFormat="1" ht="12">
      <c r="B11" s="1449" t="s">
        <v>339</v>
      </c>
      <c r="C11" s="1909" t="s">
        <v>300</v>
      </c>
      <c r="D11" s="1909"/>
      <c r="E11" s="1910">
        <f>(E10-D10)/D10</f>
        <v>3.8090526836507543E-2</v>
      </c>
      <c r="F11" s="1910">
        <f>(F10-E10)/E10</f>
        <v>1.3444977705163553E-2</v>
      </c>
      <c r="G11" s="1909"/>
      <c r="H11" s="1909"/>
      <c r="I11" s="1909"/>
      <c r="J11" s="1910">
        <v>0.26500000000000001</v>
      </c>
      <c r="K11" s="1910">
        <f>(K10-J10)/J10</f>
        <v>3.6005995347501825E-2</v>
      </c>
      <c r="L11" s="1910">
        <v>-7.1999999999999995E-2</v>
      </c>
      <c r="M11" s="1910">
        <v>-3.1E-2</v>
      </c>
      <c r="N11" s="1910">
        <f>(N10-K10)/K10</f>
        <v>-5.1039780042333123E-2</v>
      </c>
      <c r="O11" s="1910">
        <v>0.14899999999999999</v>
      </c>
      <c r="P11" s="1910">
        <v>0.121</v>
      </c>
      <c r="Q11" s="1910">
        <f>(Q10-N10)/N10</f>
        <v>0.13386681383370125</v>
      </c>
      <c r="R11" s="1910">
        <f t="shared" ref="R11:T11" si="31">(R10-O10)/O10</f>
        <v>8.9852367215340109E-2</v>
      </c>
      <c r="S11" s="1910">
        <f t="shared" si="31"/>
        <v>5.1364952443118353E-2</v>
      </c>
      <c r="T11" s="1910">
        <f t="shared" si="31"/>
        <v>6.7490633869441874E-2</v>
      </c>
      <c r="U11" s="1910">
        <f>+U10/T10-1</f>
        <v>-3.9599999999999969E-2</v>
      </c>
      <c r="V11" s="1910">
        <f>+V10/U10-1</f>
        <v>-4.4550000000000201E-2</v>
      </c>
      <c r="W11" s="1910">
        <f>+W10/V10-1</f>
        <v>-4.940000000000011E-2</v>
      </c>
      <c r="X11" s="1910">
        <f>+X10/W10-1</f>
        <v>-8.7889999999999913E-2</v>
      </c>
      <c r="Y11" s="1910">
        <f>+Y10/X10-1</f>
        <v>5.930000000000013E-2</v>
      </c>
      <c r="Z11" s="1910">
        <f t="shared" ref="Z11:AK11" si="32">+Z10/Y10-1</f>
        <v>6.0499999999999998E-2</v>
      </c>
      <c r="AA11" s="1910">
        <f t="shared" si="32"/>
        <v>9.000000000000008E-2</v>
      </c>
      <c r="AB11" s="1910">
        <f t="shared" si="32"/>
        <v>2.7199999999999891E-2</v>
      </c>
      <c r="AC11" s="1910">
        <f>+AC10/AB10-1</f>
        <v>0.10000000000000009</v>
      </c>
      <c r="AD11" s="1910">
        <f>+AD10/AB10-1</f>
        <v>7.8756382978723671E-2</v>
      </c>
      <c r="AE11" s="1911">
        <f>+AE10/AD10-1</f>
        <v>0.38749999999999996</v>
      </c>
      <c r="AF11" s="2096">
        <f>+AF10/AD10-1</f>
        <v>0.43424181608951229</v>
      </c>
      <c r="AG11" s="1910">
        <f t="shared" si="32"/>
        <v>6.7239263803680949E-2</v>
      </c>
      <c r="AH11" s="1910">
        <f t="shared" si="32"/>
        <v>4.9666590020694512E-2</v>
      </c>
      <c r="AI11" s="1910">
        <f t="shared" si="32"/>
        <v>5.5312157721796318E-2</v>
      </c>
      <c r="AJ11" s="1910">
        <f t="shared" si="32"/>
        <v>5.5215360664244928E-2</v>
      </c>
      <c r="AK11" s="1910">
        <f t="shared" si="32"/>
        <v>5.0162289760991463E-2</v>
      </c>
    </row>
    <row r="12" spans="2:38" s="1441" customFormat="1" ht="12">
      <c r="C12" s="1441" t="s">
        <v>338</v>
      </c>
      <c r="J12" s="1453">
        <v>0.08</v>
      </c>
      <c r="K12" s="1453">
        <v>0.03</v>
      </c>
      <c r="L12" s="1453">
        <v>-0.05</v>
      </c>
      <c r="M12" s="1453">
        <v>0.02</v>
      </c>
      <c r="N12" s="1453">
        <v>-1.4999999999999999E-2</v>
      </c>
      <c r="O12" s="1453">
        <v>0.14000000000000001</v>
      </c>
      <c r="P12" s="1453">
        <v>0.01</v>
      </c>
      <c r="Q12" s="1453">
        <v>7.4999999999999997E-2</v>
      </c>
      <c r="R12" s="1453">
        <v>0</v>
      </c>
      <c r="S12" s="1453">
        <v>5.5E-2</v>
      </c>
      <c r="T12" s="1453">
        <f>(R12+S12)*0.5</f>
        <v>2.75E-2</v>
      </c>
      <c r="U12" s="1453">
        <v>-0.02</v>
      </c>
      <c r="V12" s="1453">
        <v>-0.03</v>
      </c>
      <c r="W12" s="1453">
        <v>-0.02</v>
      </c>
      <c r="X12" s="1453">
        <v>-7.3999999999999996E-2</v>
      </c>
      <c r="Y12" s="1453">
        <v>7.0000000000000007E-2</v>
      </c>
      <c r="Z12" s="1453">
        <v>0.05</v>
      </c>
      <c r="AA12" s="1453">
        <v>0.09</v>
      </c>
      <c r="AB12" s="1453">
        <v>-0.04</v>
      </c>
      <c r="AC12" s="1962">
        <v>0</v>
      </c>
      <c r="AD12" s="1453">
        <f>+Quarterly!IR22</f>
        <v>0</v>
      </c>
      <c r="AE12" s="2061">
        <v>0.11</v>
      </c>
      <c r="AF12" s="2046">
        <f>+Quarterly!JD22</f>
        <v>0.14000000000000001</v>
      </c>
      <c r="AG12" s="1657">
        <f>+Quarterly!JX22</f>
        <v>2.5000000000000022E-3</v>
      </c>
      <c r="AH12" s="1657">
        <v>5.5E-2</v>
      </c>
      <c r="AI12" s="1657">
        <v>0.05</v>
      </c>
      <c r="AJ12" s="1657">
        <v>0.05</v>
      </c>
      <c r="AK12" s="1657">
        <v>4.4999999999999998E-2</v>
      </c>
      <c r="AL12" s="1453"/>
    </row>
    <row r="13" spans="2:38" s="1449" customFormat="1" ht="12">
      <c r="C13" s="1449" t="s">
        <v>337</v>
      </c>
      <c r="J13" s="1453">
        <v>0.185</v>
      </c>
      <c r="K13" s="1453">
        <v>6.0000000000000001E-3</v>
      </c>
      <c r="L13" s="1453">
        <v>-0.02</v>
      </c>
      <c r="M13" s="1453">
        <v>-0.03</v>
      </c>
      <c r="N13" s="1453">
        <v>-2.5000000000000001E-2</v>
      </c>
      <c r="O13" s="1453">
        <v>0.05</v>
      </c>
      <c r="P13" s="1453">
        <v>0.126</v>
      </c>
      <c r="Q13" s="1453">
        <v>8.7999999999999995E-2</v>
      </c>
      <c r="R13" s="1453">
        <v>0.09</v>
      </c>
      <c r="S13" s="1453">
        <v>-0.01</v>
      </c>
      <c r="T13" s="1453">
        <f>(R13+S13)*0.5</f>
        <v>0.04</v>
      </c>
      <c r="U13" s="1453">
        <v>-0.02</v>
      </c>
      <c r="V13" s="1453">
        <v>-1.4999999999999999E-2</v>
      </c>
      <c r="W13" s="1453">
        <v>-0.03</v>
      </c>
      <c r="X13" s="1453">
        <v>-1.4999999999999999E-2</v>
      </c>
      <c r="Y13" s="1453">
        <v>-0.01</v>
      </c>
      <c r="Z13" s="1453">
        <v>0.01</v>
      </c>
      <c r="AA13" s="1453">
        <v>0</v>
      </c>
      <c r="AB13" s="1453">
        <v>7.0000000000000007E-2</v>
      </c>
      <c r="AC13" s="1962">
        <v>0.1</v>
      </c>
      <c r="AD13" s="1453">
        <f>+Quarterly!IR24</f>
        <v>7.8756382978723463E-2</v>
      </c>
      <c r="AE13" s="2061">
        <v>0.25</v>
      </c>
      <c r="AF13" s="2046">
        <f>+Quarterly!JD24</f>
        <v>0.30193997856377275</v>
      </c>
      <c r="AG13" s="1657">
        <f>+Quarterly!JX24</f>
        <v>7.5304529579496834E-2</v>
      </c>
      <c r="AH13" s="1657">
        <v>-5.0000000000000001E-3</v>
      </c>
      <c r="AI13" s="1657">
        <v>5.0000000000000001E-3</v>
      </c>
      <c r="AJ13" s="1657">
        <v>5.0000000000000001E-3</v>
      </c>
      <c r="AK13" s="1657">
        <v>5.0000000000000001E-3</v>
      </c>
      <c r="AL13" s="1453"/>
    </row>
    <row r="14" spans="2:38" s="367" customFormat="1">
      <c r="C14" s="2105" t="s">
        <v>336</v>
      </c>
      <c r="AC14" s="2071"/>
      <c r="AE14" s="2060"/>
      <c r="AF14" s="2051"/>
    </row>
    <row r="15" spans="2:38" s="367" customFormat="1">
      <c r="C15" s="367" t="s">
        <v>335</v>
      </c>
      <c r="D15" s="367">
        <v>2535</v>
      </c>
      <c r="E15" s="367">
        <v>2535</v>
      </c>
      <c r="F15" s="367">
        <v>2470</v>
      </c>
      <c r="J15" s="367">
        <v>2982</v>
      </c>
      <c r="K15" s="367">
        <v>3060</v>
      </c>
      <c r="L15" s="367">
        <v>1445</v>
      </c>
      <c r="M15" s="367">
        <v>1509</v>
      </c>
      <c r="N15" s="367">
        <v>2975</v>
      </c>
      <c r="O15" s="367">
        <v>1647</v>
      </c>
      <c r="P15" s="367">
        <v>1524</v>
      </c>
      <c r="Q15" s="367">
        <v>3171</v>
      </c>
      <c r="R15" s="367">
        <f>O15*(1+R12)</f>
        <v>1647</v>
      </c>
      <c r="S15" s="367">
        <f>P15*(1+S12)</f>
        <v>1607.82</v>
      </c>
      <c r="T15" s="367">
        <f>S15+R15</f>
        <v>3254.8199999999997</v>
      </c>
      <c r="U15" s="367">
        <f t="shared" ref="U15:AK16" si="33">T15*(1+U12)</f>
        <v>3189.7235999999998</v>
      </c>
      <c r="V15" s="367">
        <f t="shared" si="33"/>
        <v>3094.0318919999995</v>
      </c>
      <c r="W15" s="367">
        <f t="shared" si="33"/>
        <v>3032.1512541599996</v>
      </c>
      <c r="X15" s="367">
        <f>W15*(1+X12)</f>
        <v>2807.7720613521597</v>
      </c>
      <c r="Y15" s="367">
        <f t="shared" si="33"/>
        <v>3004.3161056468111</v>
      </c>
      <c r="Z15" s="367">
        <f t="shared" si="33"/>
        <v>3154.5319109291518</v>
      </c>
      <c r="AA15" s="367">
        <f t="shared" si="33"/>
        <v>3438.4397829127756</v>
      </c>
      <c r="AB15" s="367">
        <f t="shared" si="33"/>
        <v>3300.9021915962644</v>
      </c>
      <c r="AC15" s="2071">
        <f>AB15*(1+AC12)</f>
        <v>3300.9021915962644</v>
      </c>
      <c r="AD15" s="367">
        <f>AB15*(1+AD12)</f>
        <v>3300.9021915962644</v>
      </c>
      <c r="AE15" s="2060">
        <f>AD15*(1+AE12)</f>
        <v>3664.0014326718538</v>
      </c>
      <c r="AF15" s="2051">
        <f>AD15*(1+AF12)</f>
        <v>3763.0284984197419</v>
      </c>
      <c r="AG15" s="2035">
        <f>AF15*(1+AG12)*0.99</f>
        <v>3734.7117089691328</v>
      </c>
      <c r="AH15" s="367">
        <f t="shared" si="33"/>
        <v>3940.120852962435</v>
      </c>
      <c r="AI15" s="367">
        <f t="shared" si="33"/>
        <v>4137.1268956105569</v>
      </c>
      <c r="AJ15" s="367">
        <f t="shared" si="33"/>
        <v>4343.983240391085</v>
      </c>
      <c r="AK15" s="367">
        <f t="shared" si="33"/>
        <v>4539.4624862086839</v>
      </c>
    </row>
    <row r="16" spans="2:38">
      <c r="C16" s="1" t="s">
        <v>334</v>
      </c>
      <c r="D16" s="370">
        <f>D10/1000/D15</f>
        <v>0.11164102564102564</v>
      </c>
      <c r="E16" s="370">
        <f>E10/1000/E15</f>
        <v>0.11589349112426037</v>
      </c>
      <c r="F16" s="370">
        <f>F10/1000/F15</f>
        <v>0.12054251012145749</v>
      </c>
      <c r="J16" s="370">
        <f>J10/1000/J15</f>
        <v>0.14833769282360831</v>
      </c>
      <c r="K16" s="370">
        <f>K10/1000/K15</f>
        <v>0.14976143790849672</v>
      </c>
      <c r="L16" s="370">
        <v>0.14000000000000001</v>
      </c>
      <c r="M16" s="370">
        <v>0.15</v>
      </c>
      <c r="N16" s="370">
        <f>N10/1000/N15</f>
        <v>0.14617815126050421</v>
      </c>
      <c r="O16" s="370">
        <v>0.15</v>
      </c>
      <c r="P16" s="370">
        <v>0.17</v>
      </c>
      <c r="Q16" s="370">
        <f>Q10/1000/Q15</f>
        <v>0.15550173446862189</v>
      </c>
      <c r="R16" s="370">
        <f>O16*(1+R13)</f>
        <v>0.16350000000000001</v>
      </c>
      <c r="S16" s="370">
        <f>P16*(1+S13)</f>
        <v>0.16830000000000001</v>
      </c>
      <c r="T16" s="370">
        <f>Q16*(1+T13)</f>
        <v>0.16172180384736679</v>
      </c>
      <c r="U16" s="370">
        <f t="shared" si="33"/>
        <v>0.15848736777041944</v>
      </c>
      <c r="V16" s="370">
        <f t="shared" si="33"/>
        <v>0.15611005725386315</v>
      </c>
      <c r="W16" s="370">
        <f t="shared" si="33"/>
        <v>0.15142675553624724</v>
      </c>
      <c r="X16" s="370">
        <f>W16*(1+X13)</f>
        <v>0.14915535420320353</v>
      </c>
      <c r="Y16" s="370">
        <f t="shared" si="33"/>
        <v>0.14766380066117149</v>
      </c>
      <c r="Z16" s="370">
        <f t="shared" si="33"/>
        <v>0.1491404386677832</v>
      </c>
      <c r="AA16" s="370">
        <f t="shared" si="33"/>
        <v>0.1491404386677832</v>
      </c>
      <c r="AB16" s="370">
        <f t="shared" si="33"/>
        <v>0.15958026937452804</v>
      </c>
      <c r="AC16" s="2072">
        <f>AB16*(1+AC13)</f>
        <v>0.17553829631198087</v>
      </c>
      <c r="AD16" s="370">
        <f>AB16*(1+AD13)</f>
        <v>0.17214823418523623</v>
      </c>
      <c r="AE16" s="2062">
        <f>AD16*(1+AE13)</f>
        <v>0.2151852927315453</v>
      </c>
      <c r="AF16" s="2052">
        <f>AD16*(1+AF13)-0.00755</f>
        <v>0.21657666832491776</v>
      </c>
      <c r="AG16" s="370">
        <f>AF16*(1+AG13)</f>
        <v>0.23288587245102038</v>
      </c>
      <c r="AH16" s="370">
        <f t="shared" si="33"/>
        <v>0.23172144308876527</v>
      </c>
      <c r="AI16" s="370">
        <f t="shared" si="33"/>
        <v>0.23288005030420908</v>
      </c>
      <c r="AJ16" s="370">
        <f t="shared" si="33"/>
        <v>0.23404445055573009</v>
      </c>
      <c r="AK16" s="370">
        <f t="shared" si="33"/>
        <v>0.23521467280850872</v>
      </c>
      <c r="AL16" s="370"/>
    </row>
    <row r="17" spans="2:38" ht="6" customHeight="1">
      <c r="D17" s="370"/>
      <c r="E17" s="370"/>
      <c r="F17" s="370"/>
      <c r="J17" s="370"/>
      <c r="K17" s="370"/>
      <c r="L17" s="370"/>
      <c r="M17" s="370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  <c r="AA17" s="370"/>
      <c r="AB17" s="370"/>
      <c r="AC17" s="2072"/>
      <c r="AD17" s="370"/>
      <c r="AE17" s="2062"/>
      <c r="AF17" s="2052"/>
      <c r="AG17" s="370"/>
      <c r="AH17" s="370"/>
      <c r="AI17" s="370"/>
      <c r="AJ17" s="370"/>
      <c r="AK17" s="370"/>
      <c r="AL17" s="370"/>
    </row>
    <row r="18" spans="2:38" s="367" customFormat="1">
      <c r="C18" s="1487" t="s">
        <v>313</v>
      </c>
      <c r="D18" s="1489">
        <f>D5-D10</f>
        <v>121297</v>
      </c>
      <c r="E18" s="1489">
        <f>E5-E10</f>
        <v>125904</v>
      </c>
      <c r="F18" s="1489">
        <f>F5-F10</f>
        <v>127597</v>
      </c>
      <c r="G18" s="1489"/>
      <c r="H18" s="1489"/>
      <c r="I18" s="1489"/>
      <c r="J18" s="1489">
        <f>J5-J10</f>
        <v>155418</v>
      </c>
      <c r="K18" s="1489">
        <f>K5-K10</f>
        <v>178219</v>
      </c>
      <c r="L18" s="1489">
        <v>79800</v>
      </c>
      <c r="M18" s="1489">
        <f>N18-L18</f>
        <v>89320</v>
      </c>
      <c r="N18" s="1489">
        <f>N5-N10</f>
        <v>169120</v>
      </c>
      <c r="O18" s="1489">
        <v>96280</v>
      </c>
      <c r="P18" s="1489">
        <v>105130</v>
      </c>
      <c r="Q18" s="1489">
        <f>Q5-Q10</f>
        <v>207904</v>
      </c>
      <c r="R18" s="1489">
        <f>R5-R10</f>
        <v>110100.00000000003</v>
      </c>
      <c r="S18" s="1489">
        <f t="shared" ref="S18:AE18" si="34">S23*S24*1000</f>
        <v>117150</v>
      </c>
      <c r="T18" s="1489">
        <f t="shared" si="34"/>
        <v>225569.98184628176</v>
      </c>
      <c r="U18" s="1489">
        <f t="shared" si="34"/>
        <v>230013.71048865351</v>
      </c>
      <c r="V18" s="1489">
        <f t="shared" si="34"/>
        <v>236960.12454541086</v>
      </c>
      <c r="W18" s="1489">
        <f t="shared" si="34"/>
        <v>227363.23950132172</v>
      </c>
      <c r="X18" s="1489">
        <f t="shared" si="34"/>
        <v>236457.7690813746</v>
      </c>
      <c r="Y18" s="1489">
        <f t="shared" si="34"/>
        <v>245916.0798446296</v>
      </c>
      <c r="Z18" s="1489">
        <f t="shared" si="34"/>
        <v>285065.91975589457</v>
      </c>
      <c r="AA18" s="1489">
        <f t="shared" si="34"/>
        <v>303595.20454002771</v>
      </c>
      <c r="AB18" s="1489">
        <f t="shared" si="34"/>
        <v>321598.40016925137</v>
      </c>
      <c r="AC18" s="1489">
        <f t="shared" si="34"/>
        <v>354530.07634658273</v>
      </c>
      <c r="AD18" s="1489">
        <f t="shared" si="34"/>
        <v>360803.38001585874</v>
      </c>
      <c r="AE18" s="1490">
        <f t="shared" si="34"/>
        <v>471930.82106074324</v>
      </c>
      <c r="AF18" s="2053">
        <f>+AF5-AF10</f>
        <v>521000</v>
      </c>
      <c r="AG18" s="1489">
        <f>ROUND(AG23*AG24*1000,-2)</f>
        <v>598100</v>
      </c>
      <c r="AH18" s="1489">
        <f>ROUND(AH23*AH24*1000,-2)</f>
        <v>624900</v>
      </c>
      <c r="AI18" s="1489">
        <f>ROUND(AI23*AI24*1000,-2)</f>
        <v>656200</v>
      </c>
      <c r="AJ18" s="1489">
        <f>ROUND(AJ23*AJ24*1000,-2)</f>
        <v>689200</v>
      </c>
      <c r="AK18" s="1489">
        <f>ROUND(AK23*AK24*1000,-2)</f>
        <v>720400</v>
      </c>
    </row>
    <row r="19" spans="2:38" s="360" customFormat="1" ht="12">
      <c r="C19" s="2097" t="s">
        <v>300</v>
      </c>
      <c r="D19" s="2097"/>
      <c r="E19" s="2098">
        <f>(E18-D18)/D18</f>
        <v>3.7981153697123592E-2</v>
      </c>
      <c r="F19" s="2098">
        <f>(F18-E18)/E18</f>
        <v>1.3446753081713052E-2</v>
      </c>
      <c r="G19" s="2097"/>
      <c r="H19" s="2097"/>
      <c r="I19" s="2097"/>
      <c r="J19" s="2098">
        <v>3.6999999999999998E-2</v>
      </c>
      <c r="K19" s="2098">
        <f>(K18-J18)/J18</f>
        <v>0.14670758856760477</v>
      </c>
      <c r="L19" s="2098">
        <v>-7.1999999999999995E-2</v>
      </c>
      <c r="M19" s="2098">
        <v>-3.1E-2</v>
      </c>
      <c r="N19" s="2098">
        <f>(N18-K18)/K18</f>
        <v>-5.1055162468648121E-2</v>
      </c>
      <c r="O19" s="2098">
        <v>0.20699999999999999</v>
      </c>
      <c r="P19" s="2098">
        <v>0.17699999999999999</v>
      </c>
      <c r="Q19" s="2098">
        <f>(Q18-N18)/N18</f>
        <v>0.22932828760643331</v>
      </c>
      <c r="R19" s="2098">
        <f>(R18-O18)/O18</f>
        <v>0.14353967594516026</v>
      </c>
      <c r="S19" s="2098">
        <f t="shared" ref="S19:X19" si="35">S20+S21</f>
        <v>0.1</v>
      </c>
      <c r="T19" s="2098">
        <f t="shared" si="35"/>
        <v>0.12176983797258015</v>
      </c>
      <c r="U19" s="2098">
        <f t="shared" si="35"/>
        <v>1.9999999999999997E-2</v>
      </c>
      <c r="V19" s="2098">
        <f t="shared" si="35"/>
        <v>0.03</v>
      </c>
      <c r="W19" s="2098">
        <f t="shared" si="35"/>
        <v>-0.04</v>
      </c>
      <c r="X19" s="1910">
        <f t="shared" si="35"/>
        <v>0.04</v>
      </c>
      <c r="Y19" s="1910">
        <f t="shared" ref="Y19:Z19" si="36">Y20+Y21</f>
        <v>0.04</v>
      </c>
      <c r="Z19" s="1910">
        <f t="shared" si="36"/>
        <v>0.155</v>
      </c>
      <c r="AA19" s="1910">
        <f t="shared" ref="AA19:AC19" si="37">AA20+AA21</f>
        <v>6.5000000000000002E-2</v>
      </c>
      <c r="AB19" s="1910">
        <f t="shared" si="37"/>
        <v>6.0000000000000005E-2</v>
      </c>
      <c r="AC19" s="1910">
        <f t="shared" si="37"/>
        <v>0.1</v>
      </c>
      <c r="AD19" s="1910">
        <f t="shared" ref="AD19:AF19" si="38">AD20+AD21</f>
        <v>0.11875638297872346</v>
      </c>
      <c r="AE19" s="1911">
        <f t="shared" ref="AE19" si="39">AE20+AE21</f>
        <v>0.29000000000000004</v>
      </c>
      <c r="AF19" s="2096">
        <f t="shared" si="38"/>
        <v>0.41193997856377274</v>
      </c>
      <c r="AG19" s="1910">
        <f t="shared" ref="AG19:AH19" si="40">AG20+AG21</f>
        <v>0.15280452957949683</v>
      </c>
      <c r="AH19" s="1910">
        <f t="shared" si="40"/>
        <v>4.5000000000000005E-2</v>
      </c>
      <c r="AI19" s="1910">
        <f t="shared" ref="AI19:AJ19" si="41">AI20+AI21</f>
        <v>4.9999999999999996E-2</v>
      </c>
      <c r="AJ19" s="1910">
        <f t="shared" si="41"/>
        <v>4.9999999999999996E-2</v>
      </c>
      <c r="AK19" s="1910">
        <f t="shared" ref="AK19" si="42">AK20+AK21</f>
        <v>4.4999999999999998E-2</v>
      </c>
      <c r="AL19" s="253"/>
    </row>
    <row r="20" spans="2:38" s="360" customFormat="1" ht="12">
      <c r="C20" s="2047" t="s">
        <v>338</v>
      </c>
      <c r="D20" s="2047"/>
      <c r="E20" s="2047"/>
      <c r="F20" s="2047"/>
      <c r="G20" s="2047"/>
      <c r="H20" s="2047"/>
      <c r="I20" s="2047"/>
      <c r="J20" s="2043">
        <v>-0.02</v>
      </c>
      <c r="K20" s="2043">
        <v>0</v>
      </c>
      <c r="L20" s="2043">
        <v>-0.04</v>
      </c>
      <c r="M20" s="2043">
        <v>0.04</v>
      </c>
      <c r="N20" s="2043">
        <v>0</v>
      </c>
      <c r="O20" s="2043">
        <v>0.09</v>
      </c>
      <c r="P20" s="2043">
        <v>7.0000000000000007E-2</v>
      </c>
      <c r="Q20" s="2043">
        <v>0.11</v>
      </c>
      <c r="R20" s="2043">
        <v>0.11</v>
      </c>
      <c r="S20" s="2043">
        <v>0.1</v>
      </c>
      <c r="T20" s="2044">
        <f>(R20+S20)*0.5</f>
        <v>0.10500000000000001</v>
      </c>
      <c r="U20" s="2044">
        <v>0.03</v>
      </c>
      <c r="V20" s="2044">
        <v>0.02</v>
      </c>
      <c r="W20" s="2044">
        <v>-0.05</v>
      </c>
      <c r="X20" s="2044">
        <v>0.04</v>
      </c>
      <c r="Y20" s="1453">
        <v>0.04</v>
      </c>
      <c r="Z20" s="2044">
        <v>0.12</v>
      </c>
      <c r="AA20" s="2044">
        <v>0</v>
      </c>
      <c r="AB20" s="2044">
        <v>-0.01</v>
      </c>
      <c r="AC20" s="1962">
        <v>0.04</v>
      </c>
      <c r="AD20" s="2044">
        <f>+Quarterly!IR23</f>
        <v>0.04</v>
      </c>
      <c r="AE20" s="2061">
        <v>0.09</v>
      </c>
      <c r="AF20" s="2088">
        <f>+Quarterly!JD23</f>
        <v>0.11</v>
      </c>
      <c r="AG20" s="1657">
        <f>+Quarterly!JX23</f>
        <v>7.7499999999999999E-2</v>
      </c>
      <c r="AH20" s="1657">
        <v>0.05</v>
      </c>
      <c r="AI20" s="1657">
        <v>4.4999999999999998E-2</v>
      </c>
      <c r="AJ20" s="1657">
        <v>4.4999999999999998E-2</v>
      </c>
      <c r="AK20" s="1657">
        <v>0.04</v>
      </c>
      <c r="AL20" s="253"/>
    </row>
    <row r="21" spans="2:38" s="360" customFormat="1" ht="12">
      <c r="C21" s="2047" t="s">
        <v>337</v>
      </c>
      <c r="D21" s="2047"/>
      <c r="E21" s="2047"/>
      <c r="F21" s="2047"/>
      <c r="G21" s="2047"/>
      <c r="H21" s="2047"/>
      <c r="I21" s="2047"/>
      <c r="J21" s="2043">
        <v>5.7000000000000002E-2</v>
      </c>
      <c r="K21" s="2043">
        <v>0.14699999999999999</v>
      </c>
      <c r="L21" s="2043">
        <v>-0.02</v>
      </c>
      <c r="M21" s="2043">
        <v>-0.08</v>
      </c>
      <c r="N21" s="2043">
        <v>-0.05</v>
      </c>
      <c r="O21" s="2043">
        <v>0.05</v>
      </c>
      <c r="P21" s="2043">
        <v>0.1</v>
      </c>
      <c r="Q21" s="2043">
        <v>0.11</v>
      </c>
      <c r="R21" s="2043">
        <f>R19-R20</f>
        <v>3.3539675945160261E-2</v>
      </c>
      <c r="S21" s="2043">
        <v>0</v>
      </c>
      <c r="T21" s="2044">
        <f>(R21+S21)*0.5</f>
        <v>1.676983797258013E-2</v>
      </c>
      <c r="U21" s="2044">
        <v>-0.01</v>
      </c>
      <c r="V21" s="2044">
        <v>0.01</v>
      </c>
      <c r="W21" s="2044">
        <v>0.01</v>
      </c>
      <c r="X21" s="2044">
        <v>0</v>
      </c>
      <c r="Y21" s="1932">
        <v>0</v>
      </c>
      <c r="Z21" s="2057">
        <v>3.5000000000000003E-2</v>
      </c>
      <c r="AA21" s="2057">
        <v>6.5000000000000002E-2</v>
      </c>
      <c r="AB21" s="2057">
        <v>7.0000000000000007E-2</v>
      </c>
      <c r="AC21" s="1962">
        <v>0.06</v>
      </c>
      <c r="AD21" s="2044">
        <f>+Quarterly!IR24</f>
        <v>7.8756382978723463E-2</v>
      </c>
      <c r="AE21" s="2077">
        <v>0.2</v>
      </c>
      <c r="AF21" s="2088">
        <f>+Quarterly!JD24</f>
        <v>0.30193997856377275</v>
      </c>
      <c r="AG21" s="1657">
        <f>+Quarterly!JX24</f>
        <v>7.5304529579496834E-2</v>
      </c>
      <c r="AH21" s="1657">
        <v>-5.0000000000000001E-3</v>
      </c>
      <c r="AI21" s="1657">
        <v>5.0000000000000001E-3</v>
      </c>
      <c r="AJ21" s="1657">
        <v>5.0000000000000001E-3</v>
      </c>
      <c r="AK21" s="1657">
        <v>5.0000000000000001E-3</v>
      </c>
      <c r="AL21" s="252"/>
    </row>
    <row r="22" spans="2:38" s="360" customFormat="1">
      <c r="C22" s="2106" t="s">
        <v>336</v>
      </c>
      <c r="T22" s="361"/>
      <c r="U22" s="361"/>
      <c r="V22" s="361"/>
      <c r="W22" s="361"/>
      <c r="X22" s="361"/>
      <c r="Y22" s="367"/>
      <c r="Z22" s="361"/>
      <c r="AA22" s="361"/>
      <c r="AB22" s="361"/>
      <c r="AC22" s="2071"/>
      <c r="AD22" s="361"/>
      <c r="AE22" s="2060"/>
      <c r="AF22" s="371">
        <f>+AF23*AF24</f>
        <v>521.41622277637805</v>
      </c>
      <c r="AG22" s="361">
        <f>+AG23*AG24</f>
        <v>598.09268096237463</v>
      </c>
      <c r="AH22" s="361"/>
      <c r="AI22" s="361"/>
      <c r="AJ22" s="361"/>
      <c r="AK22" s="361"/>
      <c r="AL22" s="361"/>
    </row>
    <row r="23" spans="2:38" s="360" customFormat="1">
      <c r="C23" s="360" t="s">
        <v>335</v>
      </c>
      <c r="D23" s="360">
        <v>800</v>
      </c>
      <c r="E23" s="360">
        <v>800</v>
      </c>
      <c r="F23" s="360">
        <v>800</v>
      </c>
      <c r="J23" s="360">
        <v>688</v>
      </c>
      <c r="K23" s="360">
        <v>688</v>
      </c>
      <c r="L23" s="360">
        <v>332</v>
      </c>
      <c r="M23" s="360">
        <v>332</v>
      </c>
      <c r="N23" s="360">
        <v>664</v>
      </c>
      <c r="O23" s="360">
        <v>362</v>
      </c>
      <c r="P23" s="360">
        <v>355</v>
      </c>
      <c r="Q23" s="360">
        <v>717</v>
      </c>
      <c r="R23" s="360">
        <f>O23*(1+R20)</f>
        <v>401.82000000000005</v>
      </c>
      <c r="S23" s="360">
        <f>P23*(1+S20)</f>
        <v>390.50000000000006</v>
      </c>
      <c r="T23" s="361">
        <f>S23+R23</f>
        <v>792.32000000000016</v>
      </c>
      <c r="U23" s="361">
        <f t="shared" ref="U23:AK23" si="43">T23*(1+U20)</f>
        <v>816.08960000000025</v>
      </c>
      <c r="V23" s="361">
        <f t="shared" si="43"/>
        <v>832.41139200000032</v>
      </c>
      <c r="W23" s="361">
        <f t="shared" si="43"/>
        <v>790.79082240000025</v>
      </c>
      <c r="X23" s="361">
        <f t="shared" si="43"/>
        <v>822.42245529600029</v>
      </c>
      <c r="Y23" s="367">
        <f t="shared" si="43"/>
        <v>855.31935350784033</v>
      </c>
      <c r="Z23" s="361">
        <f t="shared" si="43"/>
        <v>957.95767592878121</v>
      </c>
      <c r="AA23" s="361">
        <f t="shared" si="43"/>
        <v>957.95767592878121</v>
      </c>
      <c r="AB23" s="361">
        <f t="shared" si="43"/>
        <v>948.37809916949334</v>
      </c>
      <c r="AC23" s="2071">
        <f>AB23*(1+AC20)</f>
        <v>986.31322313627311</v>
      </c>
      <c r="AD23" s="361">
        <f>AB23*(1+AD20)</f>
        <v>986.31322313627311</v>
      </c>
      <c r="AE23" s="2060">
        <f>AD23*(1+AE20)</f>
        <v>1075.0814132185378</v>
      </c>
      <c r="AF23" s="362">
        <f>AD23*(1+AF20)</f>
        <v>1094.8076776812632</v>
      </c>
      <c r="AG23" s="2035">
        <f>AF23*(1+AG20)*0.99</f>
        <v>1167.8587199745455</v>
      </c>
      <c r="AH23" s="361">
        <f t="shared" si="43"/>
        <v>1226.2516559732728</v>
      </c>
      <c r="AI23" s="361">
        <f t="shared" si="43"/>
        <v>1281.4329804920701</v>
      </c>
      <c r="AJ23" s="361">
        <f t="shared" si="43"/>
        <v>1339.0974646142131</v>
      </c>
      <c r="AK23" s="361">
        <f t="shared" si="43"/>
        <v>1392.6613631987816</v>
      </c>
      <c r="AL23" s="361"/>
    </row>
    <row r="24" spans="2:38" s="368" customFormat="1">
      <c r="C24" s="368" t="s">
        <v>334</v>
      </c>
      <c r="D24" s="368">
        <f>D18/1000/D23</f>
        <v>0.15162124999999999</v>
      </c>
      <c r="E24" s="368">
        <f>E18/1000/E23</f>
        <v>0.15737999999999999</v>
      </c>
      <c r="F24" s="368">
        <f>F18/1000/F23</f>
        <v>0.15949625000000001</v>
      </c>
      <c r="J24" s="368">
        <f>J18/1000/J23</f>
        <v>0.22589825581395351</v>
      </c>
      <c r="K24" s="368">
        <f>K18/1000/K23</f>
        <v>0.25903924418604651</v>
      </c>
      <c r="L24" s="368">
        <v>0.24</v>
      </c>
      <c r="M24" s="368">
        <v>0.27</v>
      </c>
      <c r="N24" s="368">
        <f>N18/1000/N23</f>
        <v>0.25469879518072291</v>
      </c>
      <c r="O24" s="368">
        <v>0.25</v>
      </c>
      <c r="P24" s="368">
        <v>0.3</v>
      </c>
      <c r="Q24" s="368">
        <v>0.28000000000000003</v>
      </c>
      <c r="R24" s="368">
        <f>O24*(1+R21)</f>
        <v>0.25838491898629007</v>
      </c>
      <c r="S24" s="368">
        <f>P24*(1+S21)</f>
        <v>0.3</v>
      </c>
      <c r="T24" s="369">
        <f>Q24*(1+T21)</f>
        <v>0.28469555463232243</v>
      </c>
      <c r="U24" s="369">
        <f t="shared" ref="U24:AB24" si="44">T24*(1+U21)</f>
        <v>0.28184859908599919</v>
      </c>
      <c r="V24" s="369">
        <f t="shared" si="44"/>
        <v>0.28466708507685917</v>
      </c>
      <c r="W24" s="369">
        <f t="shared" si="44"/>
        <v>0.28751375592762779</v>
      </c>
      <c r="X24" s="369">
        <f t="shared" si="44"/>
        <v>0.28751375592762779</v>
      </c>
      <c r="Y24" s="369">
        <f t="shared" si="44"/>
        <v>0.28751375592762779</v>
      </c>
      <c r="Z24" s="369">
        <f t="shared" si="44"/>
        <v>0.29757673738509471</v>
      </c>
      <c r="AA24" s="369">
        <f t="shared" si="44"/>
        <v>0.31691922531512584</v>
      </c>
      <c r="AB24" s="369">
        <f t="shared" si="44"/>
        <v>0.3391035710871847</v>
      </c>
      <c r="AC24" s="2072">
        <f>AB24*(1+AC21)</f>
        <v>0.35944978535241578</v>
      </c>
      <c r="AD24" s="369">
        <f>AB24*(1+AD21)</f>
        <v>0.36581014180117977</v>
      </c>
      <c r="AE24" s="2062">
        <f>AD24*(1+AE21)</f>
        <v>0.43897217016141571</v>
      </c>
      <c r="AF24" s="371">
        <f>AD24*(1+AF21)</f>
        <v>0.47626284817503861</v>
      </c>
      <c r="AG24" s="369">
        <f>AF24*(1+AG21)</f>
        <v>0.51212759791305118</v>
      </c>
      <c r="AH24" s="369">
        <f>AG24*(1+AH21)</f>
        <v>0.50956695992348588</v>
      </c>
      <c r="AI24" s="369">
        <f>AH24*(1+AI21)</f>
        <v>0.51211479472310328</v>
      </c>
      <c r="AJ24" s="369">
        <f>AI24*(1+AJ21)</f>
        <v>0.5146753686967187</v>
      </c>
      <c r="AK24" s="369">
        <f>AJ24*(1+AK21)</f>
        <v>0.51724874554020228</v>
      </c>
      <c r="AL24" s="369"/>
    </row>
    <row r="25" spans="2:38" s="360" customFormat="1" ht="6" customHeight="1">
      <c r="T25" s="361"/>
      <c r="U25" s="361"/>
      <c r="V25" s="361"/>
      <c r="W25" s="361"/>
      <c r="X25" s="361"/>
      <c r="Y25" s="361"/>
      <c r="Z25" s="361"/>
      <c r="AA25" s="361"/>
      <c r="AB25" s="361"/>
      <c r="AC25" s="2071"/>
      <c r="AD25" s="361"/>
      <c r="AE25" s="2060"/>
      <c r="AF25" s="362"/>
      <c r="AG25" s="361"/>
      <c r="AH25" s="361"/>
      <c r="AI25" s="361"/>
      <c r="AJ25" s="361"/>
      <c r="AK25" s="361"/>
      <c r="AL25" s="361"/>
    </row>
    <row r="26" spans="2:38" s="361" customFormat="1">
      <c r="B26" s="2078"/>
      <c r="C26" s="2078" t="s">
        <v>333</v>
      </c>
      <c r="D26" s="2078"/>
      <c r="E26" s="2078"/>
      <c r="F26" s="2078"/>
      <c r="G26" s="2078"/>
      <c r="H26" s="2078"/>
      <c r="I26" s="2078"/>
      <c r="J26" s="2078"/>
      <c r="K26" s="2078"/>
      <c r="L26" s="2078"/>
      <c r="M26" s="2078"/>
      <c r="N26" s="2078"/>
      <c r="O26" s="2078"/>
      <c r="P26" s="2078"/>
      <c r="Q26" s="2079">
        <f t="shared" ref="Q26:AK26" si="45">Q10/Q5</f>
        <v>0.70341797432239661</v>
      </c>
      <c r="R26" s="2079">
        <f t="shared" si="45"/>
        <v>0.7</v>
      </c>
      <c r="S26" s="2079">
        <f t="shared" si="45"/>
        <v>0.6978693062619693</v>
      </c>
      <c r="T26" s="2079">
        <f t="shared" si="45"/>
        <v>0.7000181145973805</v>
      </c>
      <c r="U26" s="2079">
        <f t="shared" si="45"/>
        <v>0.68967380256369204</v>
      </c>
      <c r="V26" s="2079">
        <f t="shared" si="45"/>
        <v>0.67459426788463472</v>
      </c>
      <c r="W26" s="2079">
        <f t="shared" si="45"/>
        <v>0.66833890351180747</v>
      </c>
      <c r="X26" s="2079">
        <f t="shared" si="45"/>
        <v>0.64330911879084529</v>
      </c>
      <c r="Y26" s="2079">
        <f t="shared" si="45"/>
        <v>0.64336461574080395</v>
      </c>
      <c r="Z26" s="2079">
        <f t="shared" si="45"/>
        <v>0.62269620290670946</v>
      </c>
      <c r="AA26" s="2079">
        <f t="shared" si="45"/>
        <v>0.62813190364803617</v>
      </c>
      <c r="AB26" s="2079">
        <f t="shared" si="45"/>
        <v>0.62091631094352195</v>
      </c>
      <c r="AC26" s="2080">
        <f t="shared" si="45"/>
        <v>0.62040318063134148</v>
      </c>
      <c r="AD26" s="2079">
        <f t="shared" si="45"/>
        <v>0.60905089335634865</v>
      </c>
      <c r="AE26" s="2081">
        <f t="shared" si="45"/>
        <v>0.62556169587926558</v>
      </c>
      <c r="AF26" s="2082">
        <f t="shared" si="45"/>
        <v>0.61002994011976053</v>
      </c>
      <c r="AG26" s="2079">
        <f t="shared" si="45"/>
        <v>0.59254717623816333</v>
      </c>
      <c r="AH26" s="2079">
        <f t="shared" si="45"/>
        <v>0.59366668834124459</v>
      </c>
      <c r="AI26" s="2079">
        <f t="shared" si="45"/>
        <v>0.5948632462801754</v>
      </c>
      <c r="AJ26" s="2079">
        <f t="shared" si="45"/>
        <v>0.5959903863063486</v>
      </c>
      <c r="AK26" s="2079">
        <f t="shared" si="45"/>
        <v>0.59711425535484597</v>
      </c>
      <c r="AL26" s="253"/>
    </row>
    <row r="27" spans="2:38" s="361" customFormat="1">
      <c r="B27" s="2083"/>
      <c r="C27" s="2083" t="s">
        <v>332</v>
      </c>
      <c r="D27" s="2083"/>
      <c r="E27" s="2083"/>
      <c r="F27" s="2083"/>
      <c r="G27" s="2083"/>
      <c r="H27" s="2083"/>
      <c r="I27" s="2083"/>
      <c r="J27" s="2083"/>
      <c r="K27" s="2083"/>
      <c r="L27" s="2083"/>
      <c r="M27" s="2083"/>
      <c r="N27" s="2083"/>
      <c r="O27" s="2083"/>
      <c r="P27" s="2083"/>
      <c r="Q27" s="2084">
        <f t="shared" ref="Q27:X27" si="46">1-Q26</f>
        <v>0.29658202567760339</v>
      </c>
      <c r="R27" s="2084">
        <f t="shared" si="46"/>
        <v>0.30000000000000004</v>
      </c>
      <c r="S27" s="2084">
        <f t="shared" si="46"/>
        <v>0.3021306937380307</v>
      </c>
      <c r="T27" s="2084">
        <f t="shared" si="46"/>
        <v>0.2999818854026195</v>
      </c>
      <c r="U27" s="2084">
        <f t="shared" si="46"/>
        <v>0.31032619743630796</v>
      </c>
      <c r="V27" s="2084">
        <f t="shared" si="46"/>
        <v>0.32540573211536528</v>
      </c>
      <c r="W27" s="2084">
        <f t="shared" si="46"/>
        <v>0.33166109648819253</v>
      </c>
      <c r="X27" s="2084">
        <f t="shared" si="46"/>
        <v>0.35669088120915471</v>
      </c>
      <c r="Y27" s="2084">
        <f t="shared" ref="Y27:Z27" si="47">1-Y26</f>
        <v>0.35663538425919605</v>
      </c>
      <c r="Z27" s="2084">
        <f t="shared" si="47"/>
        <v>0.37730379709329054</v>
      </c>
      <c r="AA27" s="2084">
        <f t="shared" ref="AA27:AC27" si="48">1-AA26</f>
        <v>0.37186809635196383</v>
      </c>
      <c r="AB27" s="2084">
        <f t="shared" si="48"/>
        <v>0.37908368905647805</v>
      </c>
      <c r="AC27" s="2085">
        <f t="shared" si="48"/>
        <v>0.37959681936865852</v>
      </c>
      <c r="AD27" s="2084">
        <f t="shared" ref="AD27:AF27" si="49">1-AD26</f>
        <v>0.39094910664365135</v>
      </c>
      <c r="AE27" s="2086">
        <f t="shared" ref="AE27" si="50">1-AE26</f>
        <v>0.37443830412073442</v>
      </c>
      <c r="AF27" s="2087">
        <f t="shared" si="49"/>
        <v>0.38997005988023947</v>
      </c>
      <c r="AG27" s="2084">
        <f t="shared" ref="AG27:AH27" si="51">1-AG26</f>
        <v>0.40745282376183667</v>
      </c>
      <c r="AH27" s="2084">
        <f t="shared" si="51"/>
        <v>0.40633331165875541</v>
      </c>
      <c r="AI27" s="2084">
        <f t="shared" ref="AI27:AJ27" si="52">1-AI26</f>
        <v>0.4051367537198246</v>
      </c>
      <c r="AJ27" s="2084">
        <f t="shared" si="52"/>
        <v>0.4040096136936514</v>
      </c>
      <c r="AK27" s="2084">
        <f t="shared" ref="AK27" si="53">1-AK26</f>
        <v>0.40288574464515403</v>
      </c>
      <c r="AL27" s="253"/>
    </row>
    <row r="28" spans="2:38" s="360" customFormat="1" ht="6" customHeight="1">
      <c r="Q28" s="363"/>
      <c r="R28" s="363"/>
      <c r="S28" s="363"/>
      <c r="T28" s="363"/>
      <c r="U28" s="363"/>
      <c r="V28" s="363"/>
      <c r="W28" s="363"/>
      <c r="X28" s="253"/>
      <c r="Y28" s="253"/>
      <c r="Z28" s="253"/>
      <c r="AA28" s="253"/>
      <c r="AB28" s="253"/>
      <c r="AC28" s="2073"/>
      <c r="AD28" s="253"/>
      <c r="AE28" s="2063"/>
      <c r="AF28" s="364"/>
      <c r="AG28" s="253"/>
      <c r="AH28" s="253"/>
      <c r="AI28" s="253"/>
      <c r="AJ28" s="253"/>
      <c r="AK28" s="253"/>
      <c r="AL28" s="253"/>
    </row>
    <row r="29" spans="2:38" s="360" customFormat="1">
      <c r="B29" s="2108" t="s">
        <v>331</v>
      </c>
      <c r="C29" s="2108"/>
      <c r="D29" s="2108">
        <v>292312</v>
      </c>
      <c r="E29" s="2108">
        <v>313126</v>
      </c>
      <c r="F29" s="2108">
        <v>306947</v>
      </c>
      <c r="G29" s="2108"/>
      <c r="H29" s="2108"/>
      <c r="I29" s="2108"/>
      <c r="J29" s="2108">
        <v>453374</v>
      </c>
      <c r="K29" s="2108">
        <v>422495</v>
      </c>
      <c r="L29" s="2108">
        <v>224344</v>
      </c>
      <c r="M29" s="2108">
        <v>232794</v>
      </c>
      <c r="N29" s="2108">
        <v>457138</v>
      </c>
      <c r="O29" s="2108">
        <f>O30*O5</f>
        <v>250328</v>
      </c>
      <c r="P29" s="2108">
        <f>P30*P5</f>
        <v>255347.99999999997</v>
      </c>
      <c r="Q29" s="2108">
        <v>505692</v>
      </c>
      <c r="R29" s="2108">
        <f t="shared" ref="R29:AK29" si="54">R5-R32</f>
        <v>257171.85810049385</v>
      </c>
      <c r="S29" s="2108">
        <f t="shared" si="54"/>
        <v>272371.01837037038</v>
      </c>
      <c r="T29" s="2108">
        <f t="shared" si="54"/>
        <v>526434.77800550289</v>
      </c>
      <c r="U29" s="2108">
        <f t="shared" si="54"/>
        <v>511533.37226426916</v>
      </c>
      <c r="V29" s="2108">
        <f t="shared" si="54"/>
        <v>500088.57065671252</v>
      </c>
      <c r="W29" s="2108">
        <f t="shared" si="54"/>
        <v>463291.21965208638</v>
      </c>
      <c r="X29" s="1457">
        <f t="shared" si="54"/>
        <v>425001.08678060444</v>
      </c>
      <c r="Y29" s="1457">
        <f t="shared" si="54"/>
        <v>459640.77749936085</v>
      </c>
      <c r="Z29" s="1457">
        <f t="shared" si="54"/>
        <v>494407.77130381286</v>
      </c>
      <c r="AA29" s="1457">
        <f t="shared" si="54"/>
        <v>508026.65237274586</v>
      </c>
      <c r="AB29" s="1457">
        <f t="shared" si="54"/>
        <v>482939.50368138775</v>
      </c>
      <c r="AC29" s="1457">
        <f t="shared" si="54"/>
        <v>557447.19233719469</v>
      </c>
      <c r="AD29" s="1457">
        <f t="shared" si="54"/>
        <v>550943.39858556096</v>
      </c>
      <c r="AE29" s="1494">
        <f t="shared" si="54"/>
        <v>668956.87816969177</v>
      </c>
      <c r="AF29" s="2109">
        <f t="shared" si="54"/>
        <v>723200</v>
      </c>
      <c r="AG29" s="1457">
        <f t="shared" si="54"/>
        <v>769700</v>
      </c>
      <c r="AH29" s="1457">
        <f t="shared" si="54"/>
        <v>802700</v>
      </c>
      <c r="AI29" s="1457">
        <f t="shared" si="54"/>
        <v>851700</v>
      </c>
      <c r="AJ29" s="1457">
        <f>AJ5-AJ32</f>
        <v>903000</v>
      </c>
      <c r="AK29" s="1457">
        <f t="shared" si="54"/>
        <v>950400</v>
      </c>
      <c r="AL29" s="361"/>
    </row>
    <row r="30" spans="2:38" s="1449" customFormat="1" ht="12">
      <c r="B30" s="2021" t="s">
        <v>303</v>
      </c>
      <c r="C30" s="2021"/>
      <c r="D30" s="2110">
        <f>D29/D5</f>
        <v>0.72299514972533252</v>
      </c>
      <c r="E30" s="2110">
        <f>E29/E5</f>
        <v>0.74608166902552808</v>
      </c>
      <c r="F30" s="2110">
        <f>F29/F5</f>
        <v>0.72165600453287626</v>
      </c>
      <c r="G30" s="2110"/>
      <c r="H30" s="2110"/>
      <c r="I30" s="2110"/>
      <c r="J30" s="2110">
        <f>J29/J5</f>
        <v>0.7584536294606038</v>
      </c>
      <c r="K30" s="2110">
        <f>K29/K5</f>
        <v>0.66378994766602406</v>
      </c>
      <c r="L30" s="2110">
        <f>L29/L5</f>
        <v>0.78717192982456141</v>
      </c>
      <c r="M30" s="2110">
        <f>M29/M5</f>
        <v>0.72976175548589339</v>
      </c>
      <c r="N30" s="2110">
        <f>N29/N5</f>
        <v>0.75685099337748341</v>
      </c>
      <c r="O30" s="2110">
        <v>0.754</v>
      </c>
      <c r="P30" s="2110">
        <v>0.69199999999999995</v>
      </c>
      <c r="Q30" s="2110">
        <f t="shared" ref="Q30:AK30" si="55">Q29/Q5</f>
        <v>0.72138659058487875</v>
      </c>
      <c r="R30" s="2110">
        <f t="shared" si="55"/>
        <v>0.70074075776701317</v>
      </c>
      <c r="S30" s="2110">
        <f t="shared" si="55"/>
        <v>0.7024468180484329</v>
      </c>
      <c r="T30" s="2110">
        <f t="shared" si="55"/>
        <v>0.70009713151999931</v>
      </c>
      <c r="U30" s="2110">
        <f t="shared" si="55"/>
        <v>0.69786271795943955</v>
      </c>
      <c r="V30" s="2110">
        <f t="shared" si="55"/>
        <v>0.69844772438088343</v>
      </c>
      <c r="W30" s="2110">
        <f t="shared" si="55"/>
        <v>0.67436858755762208</v>
      </c>
      <c r="X30" s="2024">
        <f t="shared" si="55"/>
        <v>0.65284345127589005</v>
      </c>
      <c r="Y30" s="2024">
        <f t="shared" si="55"/>
        <v>0.66658579385393557</v>
      </c>
      <c r="Z30" s="2024">
        <f t="shared" si="55"/>
        <v>0.6543817289176409</v>
      </c>
      <c r="AA30" s="2024">
        <f t="shared" si="55"/>
        <v>0.62227235901219835</v>
      </c>
      <c r="AB30" s="2024">
        <f t="shared" si="55"/>
        <v>0.56926430153351582</v>
      </c>
      <c r="AC30" s="2024">
        <f t="shared" si="55"/>
        <v>0.59686101488982346</v>
      </c>
      <c r="AD30" s="2024">
        <f t="shared" si="55"/>
        <v>0.5905073939823805</v>
      </c>
      <c r="AE30" s="2025">
        <f t="shared" si="55"/>
        <v>0.53076228085454891</v>
      </c>
      <c r="AF30" s="2111">
        <f t="shared" si="55"/>
        <v>0.54131736526946106</v>
      </c>
      <c r="AG30" s="2024">
        <f t="shared" si="55"/>
        <v>0.52435452006267458</v>
      </c>
      <c r="AH30" s="2024">
        <f t="shared" si="55"/>
        <v>0.52194551011119061</v>
      </c>
      <c r="AI30" s="2024">
        <f>AI29/AI5</f>
        <v>0.52583811817003145</v>
      </c>
      <c r="AJ30" s="2024">
        <f t="shared" si="55"/>
        <v>0.5293393516618794</v>
      </c>
      <c r="AK30" s="2024">
        <f t="shared" si="55"/>
        <v>0.53151389743302946</v>
      </c>
      <c r="AL30" s="2044"/>
    </row>
    <row r="31" spans="2:38" s="1449" customFormat="1" ht="15" customHeight="1">
      <c r="D31" s="2112"/>
      <c r="E31" s="2112"/>
      <c r="F31" s="2112"/>
      <c r="G31" s="2112"/>
      <c r="H31" s="2112"/>
      <c r="I31" s="2112"/>
      <c r="J31" s="2112"/>
      <c r="K31" s="2112"/>
      <c r="L31" s="2112"/>
      <c r="M31" s="2112"/>
      <c r="N31" s="2112"/>
      <c r="O31" s="2112"/>
      <c r="P31" s="2112"/>
      <c r="Q31" s="2112"/>
      <c r="R31" s="2112"/>
      <c r="S31" s="2112"/>
      <c r="T31" s="2112"/>
      <c r="U31" s="2112"/>
      <c r="V31" s="2112"/>
      <c r="W31" s="2112"/>
      <c r="X31" s="1453"/>
      <c r="Y31" s="1453"/>
      <c r="Z31" s="1453"/>
      <c r="AA31" s="1453"/>
      <c r="AB31" s="1453"/>
      <c r="AC31" s="1453"/>
      <c r="AD31" s="1453"/>
      <c r="AE31" s="1905"/>
      <c r="AF31" s="2046"/>
      <c r="AG31" s="2305">
        <v>676200</v>
      </c>
      <c r="AH31" s="2305">
        <v>704300</v>
      </c>
      <c r="AI31" s="2305">
        <v>731100</v>
      </c>
      <c r="AJ31" s="2305">
        <v>756900</v>
      </c>
      <c r="AK31" s="2305">
        <v>783200</v>
      </c>
      <c r="AL31" s="1453"/>
    </row>
    <row r="32" spans="2:38" s="360" customFormat="1">
      <c r="B32" s="2099" t="s">
        <v>330</v>
      </c>
      <c r="C32" s="2099"/>
      <c r="D32" s="2099">
        <f>D5-D29</f>
        <v>111995</v>
      </c>
      <c r="E32" s="2099">
        <f>E5-E29</f>
        <v>106568</v>
      </c>
      <c r="F32" s="2099">
        <f>F5-F29</f>
        <v>118390</v>
      </c>
      <c r="G32" s="2099"/>
      <c r="H32" s="2099"/>
      <c r="I32" s="2099"/>
      <c r="J32" s="2099">
        <f t="shared" ref="J32:Q32" si="56">J5-J29</f>
        <v>144387</v>
      </c>
      <c r="K32" s="2099">
        <f t="shared" si="56"/>
        <v>213994</v>
      </c>
      <c r="L32" s="2099">
        <f t="shared" si="56"/>
        <v>60656</v>
      </c>
      <c r="M32" s="2099">
        <f t="shared" si="56"/>
        <v>86206</v>
      </c>
      <c r="N32" s="2099">
        <f t="shared" si="56"/>
        <v>146862</v>
      </c>
      <c r="O32" s="2099">
        <f t="shared" si="56"/>
        <v>81672</v>
      </c>
      <c r="P32" s="2099">
        <f t="shared" si="56"/>
        <v>113652.00000000003</v>
      </c>
      <c r="Q32" s="2099">
        <f t="shared" si="56"/>
        <v>195308</v>
      </c>
      <c r="R32" s="2099">
        <f>R35*1000+O32</f>
        <v>109828.14189950614</v>
      </c>
      <c r="S32" s="2099">
        <f>S35*1000+P32</f>
        <v>115375.08762962968</v>
      </c>
      <c r="T32" s="2099">
        <f>T35*1000+Q32</f>
        <v>225510.56543926516</v>
      </c>
      <c r="U32" s="2099">
        <f t="shared" ref="U32:AC32" si="57">U35*1000+T32</f>
        <v>221466.62773573081</v>
      </c>
      <c r="V32" s="2099">
        <f t="shared" si="57"/>
        <v>215911.42934328751</v>
      </c>
      <c r="W32" s="2099">
        <f t="shared" si="57"/>
        <v>223708.78034791359</v>
      </c>
      <c r="X32" s="2054">
        <f t="shared" si="57"/>
        <v>225998.91321939559</v>
      </c>
      <c r="Y32" s="2054">
        <f t="shared" si="57"/>
        <v>229904.03689264649</v>
      </c>
      <c r="Z32" s="2054">
        <f t="shared" si="57"/>
        <v>261126.42143957582</v>
      </c>
      <c r="AA32" s="2054">
        <f t="shared" si="57"/>
        <v>308378.96972365043</v>
      </c>
      <c r="AB32" s="2054">
        <f t="shared" si="57"/>
        <v>365417.75740176544</v>
      </c>
      <c r="AC32" s="2054">
        <f t="shared" si="57"/>
        <v>376517.63101468014</v>
      </c>
      <c r="AD32" s="2054">
        <f>AD35*1000+AB32</f>
        <v>382056.60141443909</v>
      </c>
      <c r="AE32" s="2055">
        <f>AE35*1000+AD32</f>
        <v>591413.16374934569</v>
      </c>
      <c r="AF32" s="2056">
        <f>ROUND(AF35*1000+AD32,-2)</f>
        <v>612800</v>
      </c>
      <c r="AG32" s="2054">
        <f>ROUND(AG35*1000+AF32,-2)</f>
        <v>698200</v>
      </c>
      <c r="AH32" s="2054">
        <f>ROUND(AH35*1000+AG32,-2)</f>
        <v>735200</v>
      </c>
      <c r="AI32" s="2054">
        <f>ROUND(AI35*1000+AH32,-2)</f>
        <v>768000</v>
      </c>
      <c r="AJ32" s="2054">
        <f t="shared" ref="AJ32" si="58">ROUND(AJ35*1000+AI32,-2)</f>
        <v>802900</v>
      </c>
      <c r="AK32" s="2054">
        <f>ROUND(AK35*1000+AJ32,-2)</f>
        <v>837700</v>
      </c>
      <c r="AL32" s="361"/>
    </row>
    <row r="33" spans="2:38" s="1449" customFormat="1" ht="12">
      <c r="B33" s="2100" t="s">
        <v>1477</v>
      </c>
      <c r="C33" s="2100"/>
      <c r="D33" s="2100"/>
      <c r="E33" s="2101">
        <f>(E32-D32)/D32</f>
        <v>-4.8457520425018975E-2</v>
      </c>
      <c r="F33" s="2101">
        <f>(F32-E32)/E32</f>
        <v>0.11093386382403723</v>
      </c>
      <c r="G33" s="2100"/>
      <c r="H33" s="2100"/>
      <c r="I33" s="2100"/>
      <c r="J33" s="2101">
        <v>0.19700000000000001</v>
      </c>
      <c r="K33" s="2101">
        <f>(K32-J32)/J32</f>
        <v>0.48208633741264795</v>
      </c>
      <c r="L33" s="2101">
        <v>-7.1999999999999995E-2</v>
      </c>
      <c r="M33" s="2101">
        <v>-3.1E-2</v>
      </c>
      <c r="N33" s="2101">
        <f>(N32-K32)/K32</f>
        <v>-0.31370973017935083</v>
      </c>
      <c r="O33" s="2101">
        <v>0.16500000000000001</v>
      </c>
      <c r="P33" s="2101">
        <v>0.157</v>
      </c>
      <c r="Q33" s="2101">
        <f>(Q32-N32)/N32</f>
        <v>0.32987430376816329</v>
      </c>
      <c r="R33" s="2101">
        <f>(R32-O32)/O32</f>
        <v>0.34474657042200679</v>
      </c>
      <c r="S33" s="2101">
        <f>(S32-P32)/P32</f>
        <v>1.5161084975448279E-2</v>
      </c>
      <c r="T33" s="2101">
        <f>(T32-Q32)/Q32</f>
        <v>0.15464069797071889</v>
      </c>
      <c r="U33" s="2101">
        <f t="shared" ref="U33" si="59">(U32-T32)/T32</f>
        <v>-1.7932364701659483E-2</v>
      </c>
      <c r="V33" s="2101">
        <f t="shared" ref="V33" si="60">(V32-U32)/U32</f>
        <v>-2.5083681678090771E-2</v>
      </c>
      <c r="W33" s="2101">
        <f t="shared" ref="W33" si="61">(W32-V32)/V32</f>
        <v>3.6113655624171292E-2</v>
      </c>
      <c r="X33" s="2102">
        <f t="shared" ref="X33" si="62">(X32-W32)/W32</f>
        <v>1.0237116611696535E-2</v>
      </c>
      <c r="Y33" s="2102">
        <f t="shared" ref="Y33" si="63">(Y32-X32)/X32</f>
        <v>1.7279391381231451E-2</v>
      </c>
      <c r="Z33" s="2102">
        <f>(Z32-Y32)/Y32</f>
        <v>0.13580616055693098</v>
      </c>
      <c r="AA33" s="2102">
        <f t="shared" ref="AA33" si="64">(AA32-Z32)/Z32</f>
        <v>0.18095659574995848</v>
      </c>
      <c r="AB33" s="2102">
        <f t="shared" ref="AB33" si="65">(AB32-AA32)/AA32</f>
        <v>0.18496328633962794</v>
      </c>
      <c r="AC33" s="2102">
        <f>(AC32-AB32)/AB32</f>
        <v>3.0375846241951332E-2</v>
      </c>
      <c r="AD33" s="2102">
        <f>(AD32-AB32)/AB32</f>
        <v>4.5533758761427026E-2</v>
      </c>
      <c r="AE33" s="2103">
        <f>(AE32-AD32)/AD32</f>
        <v>0.54797263431604815</v>
      </c>
      <c r="AF33" s="2104">
        <f>(AF32-AD32)/AD32</f>
        <v>0.60395082228996766</v>
      </c>
      <c r="AG33" s="2102">
        <f t="shared" ref="AG33" si="66">(AG32-AF32)/AF32</f>
        <v>0.13936031331592688</v>
      </c>
      <c r="AH33" s="2102">
        <f t="shared" ref="AH33" si="67">(AH32-AG32)/AG32</f>
        <v>5.2993411629905472E-2</v>
      </c>
      <c r="AI33" s="2102">
        <f>(AI32-AH32)/AH32</f>
        <v>4.461371055495103E-2</v>
      </c>
      <c r="AJ33" s="2102">
        <f>(AJ32-AI32)/AI32</f>
        <v>4.5442708333333331E-2</v>
      </c>
      <c r="AK33" s="2102">
        <f>(AK32-AJ32)/AJ32</f>
        <v>4.334288205255947E-2</v>
      </c>
      <c r="AL33" s="2044"/>
    </row>
    <row r="34" spans="2:38" s="1449" customFormat="1" ht="12">
      <c r="B34" s="2100" t="s">
        <v>1476</v>
      </c>
      <c r="C34" s="2100"/>
      <c r="D34" s="2100"/>
      <c r="E34" s="2101"/>
      <c r="F34" s="2101"/>
      <c r="G34" s="2100"/>
      <c r="H34" s="2100"/>
      <c r="I34" s="2100"/>
      <c r="J34" s="2101">
        <f t="shared" ref="J34:AK34" si="68">+J32/J5</f>
        <v>0.24154637053939618</v>
      </c>
      <c r="K34" s="2101">
        <f t="shared" si="68"/>
        <v>0.33621005233397594</v>
      </c>
      <c r="L34" s="2101">
        <f t="shared" si="68"/>
        <v>0.21282807017543859</v>
      </c>
      <c r="M34" s="2101">
        <f t="shared" si="68"/>
        <v>0.27023824451410661</v>
      </c>
      <c r="N34" s="2101">
        <f t="shared" si="68"/>
        <v>0.24314900662251657</v>
      </c>
      <c r="O34" s="2101">
        <f t="shared" si="68"/>
        <v>0.246</v>
      </c>
      <c r="P34" s="2101">
        <f t="shared" si="68"/>
        <v>0.30800000000000005</v>
      </c>
      <c r="Q34" s="2101">
        <f t="shared" si="68"/>
        <v>0.27861340941512125</v>
      </c>
      <c r="R34" s="2101">
        <f t="shared" si="68"/>
        <v>0.29925924223298678</v>
      </c>
      <c r="S34" s="2101">
        <f t="shared" si="68"/>
        <v>0.29755318195156721</v>
      </c>
      <c r="T34" s="2101">
        <f t="shared" si="68"/>
        <v>0.29990286848000058</v>
      </c>
      <c r="U34" s="2101">
        <f t="shared" si="68"/>
        <v>0.30213728204056045</v>
      </c>
      <c r="V34" s="2101">
        <f t="shared" si="68"/>
        <v>0.30155227561911663</v>
      </c>
      <c r="W34" s="2101">
        <f t="shared" si="68"/>
        <v>0.32563141244237787</v>
      </c>
      <c r="X34" s="2102">
        <f t="shared" si="68"/>
        <v>0.34715654872410995</v>
      </c>
      <c r="Y34" s="2102">
        <f t="shared" si="68"/>
        <v>0.33341420614606448</v>
      </c>
      <c r="Z34" s="2102">
        <f t="shared" si="68"/>
        <v>0.34561827108235904</v>
      </c>
      <c r="AA34" s="2102">
        <f t="shared" si="68"/>
        <v>0.37772764098780165</v>
      </c>
      <c r="AB34" s="2102">
        <f t="shared" si="68"/>
        <v>0.43073569846648413</v>
      </c>
      <c r="AC34" s="2102">
        <f t="shared" si="68"/>
        <v>0.40313898511017654</v>
      </c>
      <c r="AD34" s="2102">
        <f t="shared" si="68"/>
        <v>0.40949260601761961</v>
      </c>
      <c r="AE34" s="2103">
        <f t="shared" si="68"/>
        <v>0.46923771914545109</v>
      </c>
      <c r="AF34" s="2104">
        <f t="shared" si="68"/>
        <v>0.45868263473053894</v>
      </c>
      <c r="AG34" s="2102">
        <f t="shared" si="68"/>
        <v>0.47564547993732542</v>
      </c>
      <c r="AH34" s="2102">
        <f t="shared" si="68"/>
        <v>0.47805448988880944</v>
      </c>
      <c r="AI34" s="2102">
        <f t="shared" si="68"/>
        <v>0.47416188182996849</v>
      </c>
      <c r="AJ34" s="2102">
        <f t="shared" si="68"/>
        <v>0.47066064833812066</v>
      </c>
      <c r="AK34" s="2102">
        <f t="shared" si="68"/>
        <v>0.46848610256697054</v>
      </c>
      <c r="AL34" s="2044"/>
    </row>
    <row r="35" spans="2:38">
      <c r="B35" s="2131" t="s">
        <v>1429</v>
      </c>
      <c r="C35" s="2131"/>
      <c r="D35" s="2131"/>
      <c r="E35" s="2131"/>
      <c r="F35" s="2131"/>
      <c r="G35" s="2131"/>
      <c r="H35" s="2131"/>
      <c r="I35" s="2131"/>
      <c r="J35" s="2131"/>
      <c r="K35" s="2131"/>
      <c r="L35" s="2131"/>
      <c r="M35" s="2131"/>
      <c r="N35" s="2131"/>
      <c r="O35" s="2131">
        <f>(O32-L32)/1000</f>
        <v>21.015999999999998</v>
      </c>
      <c r="P35" s="2131">
        <f>(P32-M32)/1000</f>
        <v>27.44600000000003</v>
      </c>
      <c r="Q35" s="2131">
        <f>(Q32-N32)/1000</f>
        <v>48.445999999999998</v>
      </c>
      <c r="R35" s="2131">
        <f t="shared" ref="R35:W35" si="69">R36+R38+R39+R40</f>
        <v>28.156141899506139</v>
      </c>
      <c r="S35" s="2131">
        <f t="shared" si="69"/>
        <v>1.7230876296296538</v>
      </c>
      <c r="T35" s="2131">
        <f t="shared" si="69"/>
        <v>30.202565439265179</v>
      </c>
      <c r="U35" s="2131">
        <f t="shared" si="69"/>
        <v>-4.0439377035343629</v>
      </c>
      <c r="V35" s="2131">
        <f t="shared" si="69"/>
        <v>-5.5551983924433026</v>
      </c>
      <c r="W35" s="2131">
        <f t="shared" si="69"/>
        <v>7.7973510046260692</v>
      </c>
      <c r="X35" s="2131">
        <f>X36+X38+X39+X40</f>
        <v>2.2901328714819904</v>
      </c>
      <c r="Y35" s="2131">
        <f>Y36+Y38+Y39+Y40</f>
        <v>3.9051236732509107</v>
      </c>
      <c r="Z35" s="2131">
        <f>Z36+Z38+Z39+Z40</f>
        <v>31.222384546929334</v>
      </c>
      <c r="AA35" s="2131">
        <f t="shared" ref="AA35:AC35" si="70">AA36+AA38+AA39+AA40</f>
        <v>47.252548284074621</v>
      </c>
      <c r="AB35" s="2131">
        <f t="shared" si="70"/>
        <v>57.038787678115</v>
      </c>
      <c r="AC35" s="2131">
        <f t="shared" si="70"/>
        <v>11.099873612914706</v>
      </c>
      <c r="AD35" s="2131">
        <f t="shared" ref="AD35:AF35" si="71">AD36+AD38+AD39+AD40</f>
        <v>16.63884401267363</v>
      </c>
      <c r="AE35" s="2132">
        <f t="shared" ref="AE35" si="72">AE36+AE38+AE39+AE40</f>
        <v>209.35656233490664</v>
      </c>
      <c r="AF35" s="2133">
        <f t="shared" si="71"/>
        <v>230.69714171043768</v>
      </c>
      <c r="AG35" s="2131">
        <f>AG36+AG38+AG39+AG40</f>
        <v>85.442219395571485</v>
      </c>
      <c r="AH35" s="2131">
        <f>AH36+AH38+AH39+AH40</f>
        <v>36.96353613355673</v>
      </c>
      <c r="AI35" s="2131">
        <f t="shared" ref="AI35:AJ35" si="73">AI36+AI38+AI39+AI40</f>
        <v>32.829482205900469</v>
      </c>
      <c r="AJ35" s="2131">
        <f t="shared" si="73"/>
        <v>34.927173651549872</v>
      </c>
      <c r="AK35" s="2131">
        <f t="shared" ref="AK35" si="74">AK36+AK38+AK39+AK40</f>
        <v>34.755013863258917</v>
      </c>
      <c r="AL35" s="378"/>
    </row>
    <row r="36" spans="2:38">
      <c r="B36" s="1" t="s">
        <v>329</v>
      </c>
      <c r="D36" s="1856"/>
      <c r="E36" s="1856">
        <f>D16*(E15-D15)*E37+D24*(E23-D23)*E37</f>
        <v>0</v>
      </c>
      <c r="F36" s="1856">
        <f>E16*(F15-E15)*F37+E24*(F23-E23)*F37</f>
        <v>-2.2599230769230769</v>
      </c>
      <c r="G36" s="1856"/>
      <c r="H36" s="1856"/>
      <c r="I36" s="1856"/>
      <c r="J36" s="1856">
        <v>32</v>
      </c>
      <c r="K36" s="1856">
        <f>J16*(K15-J15)*K37+J24*(K23-J23)*K37</f>
        <v>3.4711020120724347</v>
      </c>
      <c r="L36" s="1856"/>
      <c r="M36" s="1856"/>
      <c r="N36" s="1856">
        <f t="shared" ref="N36:T36" si="75">K16*(N15-K15)*N37+K24*(N23-K23)*N37</f>
        <v>-5.6839992248062012</v>
      </c>
      <c r="O36" s="1856">
        <f t="shared" si="75"/>
        <v>10.644</v>
      </c>
      <c r="P36" s="1856">
        <f t="shared" si="75"/>
        <v>2.5380000000000003</v>
      </c>
      <c r="Q36" s="1856">
        <f t="shared" si="75"/>
        <v>12.644986137491141</v>
      </c>
      <c r="R36" s="1856">
        <f t="shared" si="75"/>
        <v>2.9865000000000035</v>
      </c>
      <c r="S36" s="1856">
        <f t="shared" si="75"/>
        <v>7.4698200000000021</v>
      </c>
      <c r="T36" s="1856">
        <f t="shared" si="75"/>
        <v>10.237126614947966</v>
      </c>
      <c r="U36" s="1856">
        <f t="shared" ref="U36:AC36" si="76">T16*(U15-T15)*U37+T24*(U23-T23)*U37</f>
        <v>-1.2785386440376203</v>
      </c>
      <c r="V36" s="1856">
        <f t="shared" si="76"/>
        <v>-4.0149480292689663</v>
      </c>
      <c r="W36" s="1856">
        <f t="shared" si="76"/>
        <v>-9.0334423802189789</v>
      </c>
      <c r="X36" s="1848">
        <f t="shared" si="76"/>
        <v>-11.445942454472974</v>
      </c>
      <c r="Y36" s="1848">
        <f t="shared" si="76"/>
        <v>17.913545175627881</v>
      </c>
      <c r="Z36" s="1848">
        <f t="shared" si="76"/>
        <v>23.881411234630697</v>
      </c>
      <c r="AA36" s="1848">
        <f t="shared" si="76"/>
        <v>19.562070790820016</v>
      </c>
      <c r="AB36" s="1848">
        <f t="shared" si="76"/>
        <v>-10.879346361416641</v>
      </c>
      <c r="AC36" s="2126">
        <f t="shared" si="76"/>
        <v>5.9431384351277705</v>
      </c>
      <c r="AD36" s="1848">
        <f>AB16*(AD15-AB15)*AD37+AB24*(AD23-AB23)*AD37</f>
        <v>5.1713022747215662</v>
      </c>
      <c r="AE36" s="2127">
        <f>AD16*(AE15-AD15)*AE37+AD24*(AE23-AD23)*AE37</f>
        <v>38.181637349408945</v>
      </c>
      <c r="AF36" s="1866">
        <f>AD16*(AF15-AD15)*AF37+AD24*(AF23-AD23)*AF37</f>
        <v>47.935524995764212</v>
      </c>
      <c r="AG36" s="1848">
        <f>AF16*(AG15-AF15)*AG37+AF24*(AG23-AF23)*AG37</f>
        <v>12.896433696547229</v>
      </c>
      <c r="AH36" s="1848">
        <f>AG16*(AH15-AG15)*AH37+AG24*(AH23-AG23)*AH37</f>
        <v>38.870760878208117</v>
      </c>
      <c r="AI36" s="1848">
        <f>AH16*(AI15-AH15)*AI37+AH24*(AI23-AH23)*AI37</f>
        <v>36.884552139612232</v>
      </c>
      <c r="AJ36" s="1848">
        <f>AI16*(AJ15-AI15)*AJ37+AI24*(AJ23-AI23)*AJ37</f>
        <v>38.851775713629564</v>
      </c>
      <c r="AK36" s="1848">
        <f>AJ16*(AK15-AJ15)*AK37+AJ24*(AK23-AJ23)*AK37</f>
        <v>36.659425967637439</v>
      </c>
      <c r="AL36" s="361"/>
    </row>
    <row r="37" spans="2:38" s="2128" customFormat="1" ht="12">
      <c r="B37" s="2128" t="s">
        <v>328</v>
      </c>
      <c r="D37" s="2128">
        <v>0.3</v>
      </c>
      <c r="E37" s="2128">
        <f t="shared" ref="E37:K37" si="77">D37</f>
        <v>0.3</v>
      </c>
      <c r="F37" s="2128">
        <f t="shared" si="77"/>
        <v>0.3</v>
      </c>
      <c r="G37" s="2128">
        <f t="shared" si="77"/>
        <v>0.3</v>
      </c>
      <c r="H37" s="2128">
        <f t="shared" si="77"/>
        <v>0.3</v>
      </c>
      <c r="I37" s="2128">
        <f t="shared" si="77"/>
        <v>0.3</v>
      </c>
      <c r="J37" s="2128">
        <f t="shared" si="77"/>
        <v>0.3</v>
      </c>
      <c r="K37" s="2128">
        <f t="shared" si="77"/>
        <v>0.3</v>
      </c>
      <c r="L37" s="2128">
        <v>0.3</v>
      </c>
      <c r="M37" s="2128">
        <v>0.3</v>
      </c>
      <c r="N37" s="2128">
        <f>K37</f>
        <v>0.3</v>
      </c>
      <c r="O37" s="2128">
        <v>0.3</v>
      </c>
      <c r="P37" s="2128">
        <v>0.3</v>
      </c>
      <c r="Q37" s="2128">
        <f>N37</f>
        <v>0.3</v>
      </c>
      <c r="R37" s="2128">
        <v>0.3</v>
      </c>
      <c r="S37" s="2128">
        <v>0.3</v>
      </c>
      <c r="T37" s="2128">
        <f>Q37</f>
        <v>0.3</v>
      </c>
      <c r="U37" s="2128">
        <f>+T37+0.04</f>
        <v>0.33999999999999997</v>
      </c>
      <c r="V37" s="2128">
        <f t="shared" ref="V37:X37" si="78">+U37+0.04</f>
        <v>0.37999999999999995</v>
      </c>
      <c r="W37" s="2128">
        <f t="shared" si="78"/>
        <v>0.41999999999999993</v>
      </c>
      <c r="X37" s="2057">
        <f t="shared" si="78"/>
        <v>0.45999999999999991</v>
      </c>
      <c r="Y37" s="2057">
        <f>X37+0.002</f>
        <v>0.46199999999999991</v>
      </c>
      <c r="Z37" s="2057">
        <f t="shared" ref="Z37:AB37" si="79">Y37</f>
        <v>0.46199999999999991</v>
      </c>
      <c r="AA37" s="2057">
        <f t="shared" si="79"/>
        <v>0.46199999999999991</v>
      </c>
      <c r="AB37" s="2057">
        <f t="shared" si="79"/>
        <v>0.46199999999999991</v>
      </c>
      <c r="AC37" s="1946">
        <f>AB37</f>
        <v>0.46199999999999991</v>
      </c>
      <c r="AD37" s="2057">
        <f>AB37-0.06</f>
        <v>0.40199999999999991</v>
      </c>
      <c r="AE37" s="2061">
        <f>AD37</f>
        <v>0.40199999999999991</v>
      </c>
      <c r="AF37" s="2226">
        <f>AD37</f>
        <v>0.40199999999999991</v>
      </c>
      <c r="AG37" s="2048">
        <f>AF37+0.048</f>
        <v>0.4499999999999999</v>
      </c>
      <c r="AH37" s="2048">
        <v>0.5</v>
      </c>
      <c r="AI37" s="2048">
        <f t="shared" ref="AI37:AK37" si="80">AH37</f>
        <v>0.5</v>
      </c>
      <c r="AJ37" s="2048">
        <f t="shared" si="80"/>
        <v>0.5</v>
      </c>
      <c r="AK37" s="2048">
        <f t="shared" si="80"/>
        <v>0.5</v>
      </c>
      <c r="AL37" s="2057"/>
    </row>
    <row r="38" spans="2:38">
      <c r="B38" s="1" t="s">
        <v>327</v>
      </c>
      <c r="D38" s="1856"/>
      <c r="E38" s="1856"/>
      <c r="F38" s="1856">
        <f>(((F16+F24)*0.5-(E24+E16)*0.5)*(E15+E23))</f>
        <v>11.281086052826247</v>
      </c>
      <c r="G38" s="1856"/>
      <c r="H38" s="1856"/>
      <c r="I38" s="1856"/>
      <c r="J38" s="1856">
        <v>68</v>
      </c>
      <c r="K38" s="1856">
        <f>(((K16+K24)*0.5-(J24+J16)*0.5)*(J15+J23))</f>
        <v>63.426285893560888</v>
      </c>
      <c r="L38" s="1856"/>
      <c r="M38" s="1856"/>
      <c r="N38" s="1856">
        <f t="shared" ref="N38:T38" si="81">(((N16+N24)*0.5-(K24+K16)*0.5)*(K15+K23))</f>
        <v>-14.849080614314392</v>
      </c>
      <c r="O38" s="1856">
        <f t="shared" si="81"/>
        <v>17.770000000000017</v>
      </c>
      <c r="P38" s="1856">
        <f t="shared" si="81"/>
        <v>46.024999999999942</v>
      </c>
      <c r="Q38" s="1856">
        <f t="shared" si="81"/>
        <v>62.999801815844883</v>
      </c>
      <c r="R38" s="1856">
        <f t="shared" si="81"/>
        <v>21.983401121728384</v>
      </c>
      <c r="S38" s="1856">
        <f t="shared" si="81"/>
        <v>-1.5971499999999805</v>
      </c>
      <c r="T38" s="1856">
        <f t="shared" si="81"/>
        <v>21.219973077514773</v>
      </c>
      <c r="U38" s="1856">
        <f t="shared" ref="U38:AC38" si="82">(((U16+U24)*0.5-(T24+T16)*0.5)*(T15+T23))</f>
        <v>-12.306121647101675</v>
      </c>
      <c r="V38" s="1856">
        <f t="shared" si="82"/>
        <v>0.88363326924094654</v>
      </c>
      <c r="W38" s="1856">
        <f t="shared" si="82"/>
        <v>-3.6057134661597736</v>
      </c>
      <c r="X38" s="1848">
        <f t="shared" si="82"/>
        <v>-4.3417178644236358</v>
      </c>
      <c r="Y38" s="1848">
        <f t="shared" si="82"/>
        <v>-2.7073147447858705</v>
      </c>
      <c r="Z38" s="1848">
        <f t="shared" si="82"/>
        <v>22.269362234354499</v>
      </c>
      <c r="AA38" s="1848">
        <f t="shared" si="82"/>
        <v>39.772890098089135</v>
      </c>
      <c r="AB38" s="1848">
        <f t="shared" si="82"/>
        <v>71.714423284105592</v>
      </c>
      <c r="AC38" s="2126">
        <f t="shared" si="82"/>
        <v>77.133448306885271</v>
      </c>
      <c r="AD38" s="1848">
        <f>(((AD16+AD24)*0.5-(AB24+AB16)*0.5)*(AB15+AB23))</f>
        <v>83.44425486705039</v>
      </c>
      <c r="AE38" s="2127">
        <f>(((AE16+AE24)*0.5-(AD24+AD16)*0.5)*(AD15+AD23))</f>
        <v>249.08525828179276</v>
      </c>
      <c r="AF38" s="1866">
        <f>+AD15*(AF16-AD16)+AD23*(AF24-AD24)</f>
        <v>255.59488044859017</v>
      </c>
      <c r="AG38" s="2307">
        <f>+AF15*(AG16-AF16)*0.89+AF23*(AG24-AF24)*0.89</f>
        <v>89.566932923082405</v>
      </c>
      <c r="AH38" s="1848">
        <f>(((AH16+AH24)*0.5-(AG24+AG16)*0.5)*(AG15+AG23))</f>
        <v>-9.1312025224291951</v>
      </c>
      <c r="AI38" s="1848">
        <f>(((AI16+AI24)*0.5-(AH24+AH16)*0.5)*(AH15+AH23))</f>
        <v>9.574430066288242</v>
      </c>
      <c r="AJ38" s="1848">
        <f>(((AJ16+AJ24)*0.5-(AI24+AI16)*0.5)*(AI15+AI23))</f>
        <v>10.091997937920288</v>
      </c>
      <c r="AK38" s="1848">
        <f>(((AK16+AK24)*0.5-(AJ24+AJ16)*0.5)*(AJ15+AJ23))</f>
        <v>10.637587895621509</v>
      </c>
      <c r="AL38" s="361"/>
    </row>
    <row r="39" spans="2:38" s="1856" customFormat="1">
      <c r="B39" s="1856" t="s">
        <v>326</v>
      </c>
      <c r="E39" s="1856">
        <f>-(E42-D42)</f>
        <v>0.58790697530864833</v>
      </c>
      <c r="F39" s="1856">
        <f>-(F42-E42)</f>
        <v>-4.0200909876543207</v>
      </c>
      <c r="J39" s="1856">
        <v>-40</v>
      </c>
      <c r="K39" s="1856">
        <f>-(K42-J42)</f>
        <v>46.994385604938259</v>
      </c>
      <c r="N39" s="1856">
        <f t="shared" ref="N39:T39" si="83">-(N42-K42)</f>
        <v>-14.997843600823018</v>
      </c>
      <c r="O39" s="1856">
        <f t="shared" si="83"/>
        <v>-32.501160851851836</v>
      </c>
      <c r="P39" s="1856">
        <f t="shared" si="83"/>
        <v>-18.417252798353907</v>
      </c>
      <c r="Q39" s="1856">
        <f t="shared" si="83"/>
        <v>-50.389390275395044</v>
      </c>
      <c r="R39" s="1856">
        <f t="shared" si="83"/>
        <v>8.1862407777777548</v>
      </c>
      <c r="S39" s="1856">
        <f t="shared" si="83"/>
        <v>0.85041762962963219</v>
      </c>
      <c r="T39" s="1856">
        <f t="shared" si="83"/>
        <v>8.7454657468024379</v>
      </c>
      <c r="U39" s="1856">
        <f t="shared" ref="U39:AK39" si="84">-(U42-T42)</f>
        <v>9.5407225876049324</v>
      </c>
      <c r="V39" s="1856">
        <f t="shared" si="84"/>
        <v>-2.4238836324152828</v>
      </c>
      <c r="W39" s="1856">
        <f t="shared" si="84"/>
        <v>20.436506851004822</v>
      </c>
      <c r="X39" s="1848">
        <f>-(X42-W42)</f>
        <v>18.0777931903786</v>
      </c>
      <c r="Y39" s="1848">
        <f>-(Y42-X42)</f>
        <v>-3.3011067575910999</v>
      </c>
      <c r="Z39" s="1848">
        <f>-(Z42-Y42)</f>
        <v>-12.928388922055859</v>
      </c>
      <c r="AA39" s="1848">
        <f t="shared" si="84"/>
        <v>-10.082412604834531</v>
      </c>
      <c r="AB39" s="1848">
        <f t="shared" si="84"/>
        <v>0.20371075542604444</v>
      </c>
      <c r="AC39" s="2126">
        <f>-(AC42-AB42)</f>
        <v>-65.976713129098329</v>
      </c>
      <c r="AD39" s="1848">
        <f>-(AD42-AB42)</f>
        <v>-65.976713129098329</v>
      </c>
      <c r="AE39" s="2127">
        <f>-(AE42-AD42)</f>
        <v>-71.91033329629505</v>
      </c>
      <c r="AF39" s="1866">
        <f>-(AF42-AD42)</f>
        <v>-66.833263733916738</v>
      </c>
      <c r="AG39" s="1848">
        <f>-(AG42-AF42)</f>
        <v>17.978852775941846</v>
      </c>
      <c r="AH39" s="1848">
        <f>-(AH42-AG42)</f>
        <v>12.223977777777804</v>
      </c>
      <c r="AI39" s="1848">
        <f t="shared" si="84"/>
        <v>-9.6295000000000073</v>
      </c>
      <c r="AJ39" s="1848">
        <f t="shared" si="84"/>
        <v>-11.016599999999983</v>
      </c>
      <c r="AK39" s="1848">
        <f t="shared" si="84"/>
        <v>-10.54200000000003</v>
      </c>
      <c r="AL39" s="1848"/>
    </row>
    <row r="40" spans="2:38" s="1856" customFormat="1">
      <c r="B40" s="2134" t="s">
        <v>325</v>
      </c>
      <c r="C40" s="2134"/>
      <c r="D40" s="2134"/>
      <c r="E40" s="2134"/>
      <c r="F40" s="2134"/>
      <c r="G40" s="2134"/>
      <c r="H40" s="2134"/>
      <c r="I40" s="2134"/>
      <c r="J40" s="2134"/>
      <c r="K40" s="2134"/>
      <c r="L40" s="2134"/>
      <c r="M40" s="2134"/>
      <c r="N40" s="2134"/>
      <c r="O40" s="2134">
        <f>O35-O36-O38-O39</f>
        <v>25.103160851851818</v>
      </c>
      <c r="P40" s="2134">
        <f>P35-P36-P38-P39</f>
        <v>-2.6997472016460051</v>
      </c>
      <c r="Q40" s="2134">
        <f>Q35-Q36-Q38-Q39</f>
        <v>23.190602322059014</v>
      </c>
      <c r="R40" s="2134">
        <v>-5</v>
      </c>
      <c r="S40" s="2134">
        <v>-5</v>
      </c>
      <c r="T40" s="2134">
        <f>R40+S40</f>
        <v>-10</v>
      </c>
      <c r="U40" s="2134">
        <v>0</v>
      </c>
      <c r="V40" s="2134">
        <f t="shared" ref="V40:X40" si="85">U40</f>
        <v>0</v>
      </c>
      <c r="W40" s="2134">
        <f t="shared" si="85"/>
        <v>0</v>
      </c>
      <c r="X40" s="2134">
        <f t="shared" si="85"/>
        <v>0</v>
      </c>
      <c r="Y40" s="2135">
        <v>-8</v>
      </c>
      <c r="Z40" s="2134">
        <v>-2</v>
      </c>
      <c r="AA40" s="2134">
        <v>-2</v>
      </c>
      <c r="AB40" s="2134">
        <v>-4</v>
      </c>
      <c r="AC40" s="2136">
        <v>-6</v>
      </c>
      <c r="AD40" s="2134">
        <v>-6</v>
      </c>
      <c r="AE40" s="2137">
        <f>AD40</f>
        <v>-6</v>
      </c>
      <c r="AF40" s="2138">
        <f>AD40</f>
        <v>-6</v>
      </c>
      <c r="AG40" s="2306">
        <v>-35</v>
      </c>
      <c r="AH40" s="2134">
        <v>-5</v>
      </c>
      <c r="AI40" s="2134">
        <f>AH40+1</f>
        <v>-4</v>
      </c>
      <c r="AJ40" s="2134">
        <f t="shared" ref="AJ40:AK40" si="86">AI40+1</f>
        <v>-3</v>
      </c>
      <c r="AK40" s="2134">
        <f t="shared" si="86"/>
        <v>-2</v>
      </c>
      <c r="AL40" s="1848"/>
    </row>
    <row r="41" spans="2:38" ht="6.75" customHeight="1">
      <c r="AF41" s="357">
        <f>(((AF16+AF24)*0.5-(AD24+AD16)*0.5)*(AD15+AD23))</f>
        <v>332.00440653050327</v>
      </c>
      <c r="AG41" s="1">
        <f>(((AG16+AG24)*0.5-(AF24+AF16)*0.5)*(AF15+AF23))</f>
        <v>126.72626026566202</v>
      </c>
    </row>
    <row r="42" spans="2:38">
      <c r="B42" s="2117" t="s">
        <v>324</v>
      </c>
      <c r="C42" s="2117"/>
      <c r="D42" s="2118">
        <f>D43+D62</f>
        <v>53.628158703703704</v>
      </c>
      <c r="E42" s="2118">
        <f>E43+E62</f>
        <v>53.040251728395056</v>
      </c>
      <c r="F42" s="2118">
        <f>F43+F62</f>
        <v>57.060342716049377</v>
      </c>
      <c r="G42" s="2118"/>
      <c r="H42" s="2118"/>
      <c r="I42" s="2118"/>
      <c r="J42" s="2118">
        <f t="shared" ref="J42:R42" si="87">J43+J62</f>
        <v>138.79171263374485</v>
      </c>
      <c r="K42" s="2118">
        <f t="shared" si="87"/>
        <v>91.797327028806592</v>
      </c>
      <c r="L42" s="2118">
        <f t="shared" si="87"/>
        <v>50.284471024691356</v>
      </c>
      <c r="M42" s="2118">
        <f t="shared" si="87"/>
        <v>55.997333209876537</v>
      </c>
      <c r="N42" s="2118">
        <f t="shared" si="87"/>
        <v>106.79517062962961</v>
      </c>
      <c r="O42" s="2118">
        <f t="shared" si="87"/>
        <v>82.785631876543192</v>
      </c>
      <c r="P42" s="2118">
        <f t="shared" si="87"/>
        <v>74.414586008230444</v>
      </c>
      <c r="Q42" s="2118">
        <f t="shared" si="87"/>
        <v>157.18456090502465</v>
      </c>
      <c r="R42" s="2118">
        <f t="shared" si="87"/>
        <v>74.599391098765437</v>
      </c>
      <c r="S42" s="2118">
        <f t="shared" ref="S42:W42" si="88">S43+S62+S76</f>
        <v>73.564168378600812</v>
      </c>
      <c r="T42" s="2118">
        <f t="shared" si="88"/>
        <v>148.43909515822222</v>
      </c>
      <c r="U42" s="2118">
        <f t="shared" si="88"/>
        <v>138.89837257061728</v>
      </c>
      <c r="V42" s="2118">
        <f t="shared" si="88"/>
        <v>141.32225620303257</v>
      </c>
      <c r="W42" s="2118">
        <f t="shared" si="88"/>
        <v>120.88574935202774</v>
      </c>
      <c r="X42" s="2119">
        <f>X43+X62+X76</f>
        <v>102.80795616164914</v>
      </c>
      <c r="Y42" s="2119">
        <f t="shared" ref="Y42:Z42" si="89">Y43+Y62+Y76</f>
        <v>106.10906291924024</v>
      </c>
      <c r="Z42" s="2119">
        <f t="shared" si="89"/>
        <v>119.0374518412961</v>
      </c>
      <c r="AA42" s="2119">
        <f t="shared" ref="AA42:AC42" si="90">AA43+AA62+AA76</f>
        <v>129.11986444613063</v>
      </c>
      <c r="AB42" s="2119">
        <f t="shared" si="90"/>
        <v>128.91615369070459</v>
      </c>
      <c r="AC42" s="2119">
        <f t="shared" si="90"/>
        <v>194.89286681980292</v>
      </c>
      <c r="AD42" s="2119">
        <f t="shared" ref="AD42" si="91">AD43+AD62+AD76</f>
        <v>194.89286681980292</v>
      </c>
      <c r="AE42" s="2120">
        <f t="shared" ref="AE42" si="92">AE43+AE62+AE76</f>
        <v>266.80320011609797</v>
      </c>
      <c r="AF42" s="2121">
        <f>AF43+AF62+AF76</f>
        <v>261.72613055371966</v>
      </c>
      <c r="AG42" s="2119">
        <f>AG43+AG62+AG76</f>
        <v>243.74727777777781</v>
      </c>
      <c r="AH42" s="2119">
        <f t="shared" ref="AH42" si="93">AH43+AH62+AH76</f>
        <v>231.52330000000001</v>
      </c>
      <c r="AI42" s="2119">
        <f>AI43+AI62+AI76</f>
        <v>241.15280000000001</v>
      </c>
      <c r="AJ42" s="2119">
        <f t="shared" ref="AJ42" si="94">AJ43+AJ62+AJ76</f>
        <v>252.1694</v>
      </c>
      <c r="AK42" s="2119">
        <f t="shared" ref="AK42" si="95">AK43+AK62+AK76</f>
        <v>262.71140000000003</v>
      </c>
      <c r="AL42" s="1376"/>
    </row>
    <row r="43" spans="2:38">
      <c r="B43" s="2013" t="s">
        <v>323</v>
      </c>
      <c r="C43" s="2013"/>
      <c r="D43" s="2113">
        <f t="shared" ref="D43:W43" si="96">D59*D60*D57/1000000</f>
        <v>24.703703703703706</v>
      </c>
      <c r="E43" s="2113">
        <f t="shared" si="96"/>
        <v>22.64506172839506</v>
      </c>
      <c r="F43" s="2113">
        <f t="shared" si="96"/>
        <v>23.549382716049376</v>
      </c>
      <c r="G43" s="2113">
        <f t="shared" si="96"/>
        <v>0</v>
      </c>
      <c r="H43" s="2113">
        <f t="shared" si="96"/>
        <v>0</v>
      </c>
      <c r="I43" s="2113">
        <f t="shared" si="96"/>
        <v>0</v>
      </c>
      <c r="J43" s="2113">
        <f t="shared" si="96"/>
        <v>60.411522633744852</v>
      </c>
      <c r="K43" s="2113">
        <f t="shared" si="96"/>
        <v>40.873251028806585</v>
      </c>
      <c r="L43" s="2113">
        <f t="shared" si="96"/>
        <v>20.841358024691356</v>
      </c>
      <c r="M43" s="2113">
        <f t="shared" si="96"/>
        <v>21.589043209876536</v>
      </c>
      <c r="N43" s="2113">
        <f t="shared" si="96"/>
        <v>42.679629629629616</v>
      </c>
      <c r="O43" s="2113">
        <f t="shared" si="96"/>
        <v>32.243209876543204</v>
      </c>
      <c r="P43" s="2113">
        <f t="shared" si="96"/>
        <v>27.063786008230448</v>
      </c>
      <c r="Q43" s="2113">
        <f t="shared" si="96"/>
        <v>59.233391358024669</v>
      </c>
      <c r="R43" s="2113">
        <f t="shared" si="96"/>
        <v>33.725432098765424</v>
      </c>
      <c r="S43" s="2113">
        <f t="shared" si="96"/>
        <v>32.894156378600819</v>
      </c>
      <c r="T43" s="2113">
        <f t="shared" si="96"/>
        <v>66.172942222222218</v>
      </c>
      <c r="U43" s="2113">
        <f t="shared" si="96"/>
        <v>62.394606950617273</v>
      </c>
      <c r="V43" s="2113">
        <f>V59*V60*V57/1000000</f>
        <v>58.379959021234555</v>
      </c>
      <c r="W43" s="2113">
        <f t="shared" si="96"/>
        <v>43.760165723333337</v>
      </c>
      <c r="X43" s="2114">
        <f>X59*X60*X57/1000000</f>
        <v>35.4816392779504</v>
      </c>
      <c r="Y43" s="2114">
        <f>Y59*Y60*Y57/1000000</f>
        <v>38.431611391742635</v>
      </c>
      <c r="Z43" s="2114">
        <f t="shared" ref="Z43" si="97">Z59*Z60*Z57/1000000</f>
        <v>47.358577317160609</v>
      </c>
      <c r="AA43" s="2114">
        <f t="shared" ref="AA43:AB43" si="98">AA59*AA60*AA57/1000000</f>
        <v>56.830074001226549</v>
      </c>
      <c r="AB43" s="2114">
        <f t="shared" si="98"/>
        <v>56.92596404159918</v>
      </c>
      <c r="AC43" s="2114">
        <f>AC59*AC60*AC57/1000000</f>
        <v>76.032672002415126</v>
      </c>
      <c r="AD43" s="2114">
        <f>AD59*AD60*AD57/1000000</f>
        <v>76.032672002415126</v>
      </c>
      <c r="AE43" s="2115">
        <f t="shared" ref="AE43:AF43" si="99">AE59*AE60*AE57/1000000</f>
        <v>105.9133079345753</v>
      </c>
      <c r="AF43" s="2116">
        <f t="shared" si="99"/>
        <v>105.27006172839506</v>
      </c>
      <c r="AG43" s="2114">
        <f>AG59*AG60*AG57/1000000</f>
        <v>97.465277777777786</v>
      </c>
      <c r="AH43" s="2114">
        <f>AH59*AH60*AH57/1000000</f>
        <v>93.537499999999994</v>
      </c>
      <c r="AI43" s="2114">
        <f t="shared" ref="AI43:AJ43" si="100">AI59*AI60*AI57/1000000</f>
        <v>98.174999999999997</v>
      </c>
      <c r="AJ43" s="2114">
        <f t="shared" si="100"/>
        <v>102.9</v>
      </c>
      <c r="AK43" s="2114">
        <f t="shared" ref="AK43" si="101">AK59*AK60*AK57/1000000</f>
        <v>107.45</v>
      </c>
      <c r="AL43" s="1376"/>
    </row>
    <row r="44" spans="2:38">
      <c r="B44" s="1" t="s">
        <v>316</v>
      </c>
      <c r="D44" s="1">
        <v>40</v>
      </c>
      <c r="E44" s="1">
        <f t="shared" ref="E44:K44" si="102">D44</f>
        <v>40</v>
      </c>
      <c r="F44" s="1">
        <f t="shared" si="102"/>
        <v>40</v>
      </c>
      <c r="G44" s="1">
        <f t="shared" si="102"/>
        <v>40</v>
      </c>
      <c r="H44" s="1">
        <f t="shared" si="102"/>
        <v>40</v>
      </c>
      <c r="I44" s="1">
        <f t="shared" si="102"/>
        <v>40</v>
      </c>
      <c r="J44" s="1">
        <f t="shared" si="102"/>
        <v>40</v>
      </c>
      <c r="K44" s="1">
        <f t="shared" si="102"/>
        <v>40</v>
      </c>
      <c r="L44" s="1">
        <v>40</v>
      </c>
      <c r="M44" s="1">
        <v>40</v>
      </c>
      <c r="N44" s="1">
        <f>K44</f>
        <v>40</v>
      </c>
      <c r="O44" s="1">
        <v>40</v>
      </c>
      <c r="P44" s="1">
        <v>40</v>
      </c>
      <c r="Q44" s="1">
        <f>N44</f>
        <v>40</v>
      </c>
      <c r="R44" s="1">
        <v>40</v>
      </c>
      <c r="S44" s="1">
        <v>40</v>
      </c>
      <c r="T44" s="1">
        <f>Q44</f>
        <v>40</v>
      </c>
      <c r="U44" s="1">
        <f t="shared" ref="U44:AK44" si="103">T44</f>
        <v>40</v>
      </c>
      <c r="V44" s="1">
        <f t="shared" si="103"/>
        <v>40</v>
      </c>
      <c r="W44" s="1">
        <f t="shared" si="103"/>
        <v>40</v>
      </c>
      <c r="X44" s="1">
        <f t="shared" si="103"/>
        <v>40</v>
      </c>
      <c r="Y44" s="1">
        <f t="shared" si="103"/>
        <v>40</v>
      </c>
      <c r="Z44" s="1">
        <f t="shared" si="103"/>
        <v>40</v>
      </c>
      <c r="AA44" s="1">
        <f t="shared" si="103"/>
        <v>40</v>
      </c>
      <c r="AB44" s="1">
        <f t="shared" si="103"/>
        <v>40</v>
      </c>
      <c r="AC44" s="2068">
        <f>AB44</f>
        <v>40</v>
      </c>
      <c r="AD44" s="1">
        <f>AB44</f>
        <v>40</v>
      </c>
      <c r="AE44" s="2058">
        <f>AD44</f>
        <v>40</v>
      </c>
      <c r="AF44" s="357">
        <f>AD44</f>
        <v>40</v>
      </c>
      <c r="AG44" s="1">
        <f t="shared" si="103"/>
        <v>40</v>
      </c>
      <c r="AH44" s="1">
        <f t="shared" si="103"/>
        <v>40</v>
      </c>
      <c r="AI44" s="1">
        <f t="shared" si="103"/>
        <v>40</v>
      </c>
      <c r="AJ44" s="1">
        <f t="shared" si="103"/>
        <v>40</v>
      </c>
      <c r="AK44" s="1">
        <f t="shared" si="103"/>
        <v>40</v>
      </c>
    </row>
    <row r="45" spans="2:38">
      <c r="B45" s="2141" t="s">
        <v>315</v>
      </c>
    </row>
    <row r="46" spans="2:38" s="360" customFormat="1">
      <c r="B46" s="360" t="s">
        <v>321</v>
      </c>
      <c r="D46" s="360">
        <v>3900</v>
      </c>
      <c r="E46" s="360">
        <v>3900</v>
      </c>
      <c r="F46" s="360">
        <v>3800</v>
      </c>
      <c r="J46" s="360">
        <v>4200</v>
      </c>
      <c r="K46" s="360">
        <v>4250</v>
      </c>
      <c r="L46" s="360">
        <f>N46*0.5</f>
        <v>2125</v>
      </c>
      <c r="M46" s="360">
        <f>N46-L46</f>
        <v>2125</v>
      </c>
      <c r="N46" s="360">
        <v>4250</v>
      </c>
      <c r="O46" s="360">
        <f>Q46*0.5</f>
        <v>2231.5</v>
      </c>
      <c r="P46" s="360">
        <f>Q46-O46</f>
        <v>2231.5</v>
      </c>
      <c r="Q46" s="360">
        <v>4463</v>
      </c>
      <c r="R46" s="360">
        <f>T46*0.5</f>
        <v>2276.13</v>
      </c>
      <c r="S46" s="360">
        <f>T46-R46</f>
        <v>2276.13</v>
      </c>
      <c r="T46" s="360">
        <f>Q46*(1+T47)</f>
        <v>4552.26</v>
      </c>
      <c r="U46" s="360">
        <f t="shared" ref="U46:AB46" si="104">T46*(1+U47)</f>
        <v>4643.3052000000007</v>
      </c>
      <c r="V46" s="360">
        <f t="shared" si="104"/>
        <v>4736.1713040000004</v>
      </c>
      <c r="W46" s="360">
        <f t="shared" si="104"/>
        <v>4830.894730080001</v>
      </c>
      <c r="X46" s="361">
        <f>W46*(1+X47)</f>
        <v>4473.4085200540812</v>
      </c>
      <c r="Y46" s="361">
        <f t="shared" si="104"/>
        <v>4786.5471164578676</v>
      </c>
      <c r="Z46" s="361">
        <f t="shared" si="104"/>
        <v>5025.8744722807614</v>
      </c>
      <c r="AA46" s="361">
        <f t="shared" si="104"/>
        <v>5478.2031747860301</v>
      </c>
      <c r="AB46" s="361">
        <f t="shared" si="104"/>
        <v>5259.0750477945885</v>
      </c>
      <c r="AC46" s="2071">
        <f>AB46*(1+AC47)</f>
        <v>5259.0750477945885</v>
      </c>
      <c r="AD46" s="2035">
        <f>AB46*(1+AD47)</f>
        <v>5259.0750477945885</v>
      </c>
      <c r="AE46" s="2037">
        <f>AD46*(1+AE47)</f>
        <v>5837.5733030519941</v>
      </c>
      <c r="AF46" s="2143">
        <f>ROUND(AD46*(1+AF47),-1)</f>
        <v>6000</v>
      </c>
      <c r="AG46" s="361">
        <f>ROUND(AF46*(1+AG47),-1)</f>
        <v>6010</v>
      </c>
      <c r="AH46" s="361">
        <f t="shared" ref="AH46:AK46" si="105">ROUND(AG46*(1+AH47),-1)</f>
        <v>6340</v>
      </c>
      <c r="AI46" s="361">
        <f t="shared" si="105"/>
        <v>6660</v>
      </c>
      <c r="AJ46" s="361">
        <f t="shared" si="105"/>
        <v>6990</v>
      </c>
      <c r="AK46" s="361">
        <f t="shared" si="105"/>
        <v>7300</v>
      </c>
      <c r="AL46" s="361"/>
    </row>
    <row r="47" spans="2:38" s="2047" customFormat="1" ht="12">
      <c r="B47" s="2047" t="s">
        <v>322</v>
      </c>
      <c r="E47" s="2043">
        <f t="shared" ref="E47:K47" si="106">(E46-D46)/D46</f>
        <v>0</v>
      </c>
      <c r="F47" s="2043">
        <f t="shared" si="106"/>
        <v>-2.564102564102564E-2</v>
      </c>
      <c r="G47" s="2043">
        <f t="shared" si="106"/>
        <v>-1</v>
      </c>
      <c r="H47" s="2043" t="e">
        <f t="shared" si="106"/>
        <v>#DIV/0!</v>
      </c>
      <c r="I47" s="2043" t="e">
        <f t="shared" si="106"/>
        <v>#DIV/0!</v>
      </c>
      <c r="J47" s="2043" t="e">
        <f t="shared" si="106"/>
        <v>#DIV/0!</v>
      </c>
      <c r="K47" s="2043">
        <f t="shared" si="106"/>
        <v>1.1904761904761904E-2</v>
      </c>
      <c r="L47" s="2043"/>
      <c r="M47" s="2043"/>
      <c r="N47" s="2043">
        <f t="shared" ref="N47:S47" si="107">(N46-K46)/K46</f>
        <v>0</v>
      </c>
      <c r="O47" s="2043">
        <f t="shared" si="107"/>
        <v>5.0117647058823531E-2</v>
      </c>
      <c r="P47" s="2043">
        <f t="shared" si="107"/>
        <v>5.0117647058823531E-2</v>
      </c>
      <c r="Q47" s="2043">
        <f t="shared" si="107"/>
        <v>5.0117647058823531E-2</v>
      </c>
      <c r="R47" s="2043">
        <f t="shared" si="107"/>
        <v>2.0000000000000049E-2</v>
      </c>
      <c r="S47" s="2043">
        <f t="shared" si="107"/>
        <v>2.0000000000000049E-2</v>
      </c>
      <c r="T47" s="2043">
        <v>0.02</v>
      </c>
      <c r="U47" s="2043">
        <v>0.02</v>
      </c>
      <c r="V47" s="2043">
        <v>0.02</v>
      </c>
      <c r="W47" s="2043">
        <v>0.02</v>
      </c>
      <c r="X47" s="2044">
        <f t="shared" ref="X47:AF47" si="108">X12</f>
        <v>-7.3999999999999996E-2</v>
      </c>
      <c r="Y47" s="2057">
        <f t="shared" si="108"/>
        <v>7.0000000000000007E-2</v>
      </c>
      <c r="Z47" s="2057">
        <f t="shared" si="108"/>
        <v>0.05</v>
      </c>
      <c r="AA47" s="2057">
        <f t="shared" si="108"/>
        <v>0.09</v>
      </c>
      <c r="AB47" s="2057">
        <f t="shared" si="108"/>
        <v>-0.04</v>
      </c>
      <c r="AC47" s="1946">
        <f t="shared" si="108"/>
        <v>0</v>
      </c>
      <c r="AD47" s="2057">
        <f t="shared" si="108"/>
        <v>0</v>
      </c>
      <c r="AE47" s="2077">
        <f t="shared" si="108"/>
        <v>0.11</v>
      </c>
      <c r="AF47" s="2139">
        <f t="shared" si="108"/>
        <v>0.14000000000000001</v>
      </c>
      <c r="AG47" s="2275">
        <f>+AG12*AF49/AG49</f>
        <v>2.4621212121212141E-3</v>
      </c>
      <c r="AH47" s="2275">
        <f t="shared" ref="AH47:AK47" si="109">+AH12*AG49/AH49</f>
        <v>5.4179104477611935E-2</v>
      </c>
      <c r="AI47" s="2275">
        <f t="shared" si="109"/>
        <v>0.05</v>
      </c>
      <c r="AJ47" s="2275">
        <f t="shared" si="109"/>
        <v>0.05</v>
      </c>
      <c r="AK47" s="2275">
        <f t="shared" si="109"/>
        <v>4.4999999999999998E-2</v>
      </c>
      <c r="AL47" s="2057"/>
    </row>
    <row r="48" spans="2:38" s="360" customFormat="1">
      <c r="B48" s="360" t="s">
        <v>320</v>
      </c>
      <c r="D48" s="360">
        <f t="shared" ref="D48:N48" si="110">D44*D46</f>
        <v>156000</v>
      </c>
      <c r="E48" s="360">
        <f t="shared" si="110"/>
        <v>156000</v>
      </c>
      <c r="F48" s="360">
        <f t="shared" si="110"/>
        <v>152000</v>
      </c>
      <c r="G48" s="360">
        <f t="shared" si="110"/>
        <v>0</v>
      </c>
      <c r="H48" s="360">
        <f t="shared" si="110"/>
        <v>0</v>
      </c>
      <c r="I48" s="360">
        <f t="shared" si="110"/>
        <v>0</v>
      </c>
      <c r="J48" s="360">
        <f t="shared" si="110"/>
        <v>168000</v>
      </c>
      <c r="K48" s="360">
        <f t="shared" si="110"/>
        <v>170000</v>
      </c>
      <c r="L48" s="360">
        <f t="shared" si="110"/>
        <v>85000</v>
      </c>
      <c r="M48" s="360">
        <f t="shared" si="110"/>
        <v>85000</v>
      </c>
      <c r="N48" s="360">
        <f t="shared" si="110"/>
        <v>170000</v>
      </c>
      <c r="O48" s="360">
        <f>Q48*0.5</f>
        <v>89260</v>
      </c>
      <c r="P48" s="360">
        <f>Q48-O48</f>
        <v>89260</v>
      </c>
      <c r="Q48" s="360">
        <f>Q44*Q46</f>
        <v>178520</v>
      </c>
      <c r="R48" s="360">
        <f>T48*0.5</f>
        <v>91045.200000000012</v>
      </c>
      <c r="S48" s="360">
        <f>T48-R48</f>
        <v>91045.200000000012</v>
      </c>
      <c r="T48" s="360">
        <f t="shared" ref="T48:Y48" si="111">T44*T46</f>
        <v>182090.40000000002</v>
      </c>
      <c r="U48" s="360">
        <f t="shared" si="111"/>
        <v>185732.20800000004</v>
      </c>
      <c r="V48" s="360">
        <f t="shared" si="111"/>
        <v>189446.85216000001</v>
      </c>
      <c r="W48" s="360">
        <f t="shared" si="111"/>
        <v>193235.78920320002</v>
      </c>
      <c r="X48" s="361">
        <f>X44*X46</f>
        <v>178936.34080216323</v>
      </c>
      <c r="Y48" s="361">
        <f t="shared" si="111"/>
        <v>191461.8846583147</v>
      </c>
      <c r="Z48" s="361">
        <f t="shared" ref="Z48:AC48" si="112">Z44*Z46</f>
        <v>201034.97889123045</v>
      </c>
      <c r="AA48" s="361">
        <f t="shared" si="112"/>
        <v>219128.12699144121</v>
      </c>
      <c r="AB48" s="361">
        <f t="shared" si="112"/>
        <v>210363.00191178353</v>
      </c>
      <c r="AC48" s="2071">
        <f t="shared" si="112"/>
        <v>210363.00191178353</v>
      </c>
      <c r="AD48" s="361">
        <f t="shared" ref="AD48:AF48" si="113">AD44*AD46</f>
        <v>210363.00191178353</v>
      </c>
      <c r="AE48" s="2060">
        <f t="shared" ref="AE48" si="114">AE44*AE46</f>
        <v>233502.93212207977</v>
      </c>
      <c r="AF48" s="362">
        <f t="shared" si="113"/>
        <v>240000</v>
      </c>
      <c r="AG48" s="361">
        <f t="shared" ref="AG48" si="115">AG44*AG46</f>
        <v>240400</v>
      </c>
      <c r="AH48" s="361">
        <f>AH44*AH46</f>
        <v>253600</v>
      </c>
      <c r="AI48" s="361">
        <f t="shared" ref="AI48:AJ48" si="116">AI44*AI46</f>
        <v>266400</v>
      </c>
      <c r="AJ48" s="361">
        <f t="shared" si="116"/>
        <v>279600</v>
      </c>
      <c r="AK48" s="361">
        <f t="shared" ref="AK48" si="117">AK44*AK46</f>
        <v>292000</v>
      </c>
      <c r="AL48" s="361"/>
    </row>
    <row r="49" spans="2:42" s="363" customFormat="1">
      <c r="B49" s="363" t="s">
        <v>314</v>
      </c>
      <c r="D49" s="363">
        <v>0.65</v>
      </c>
      <c r="E49" s="363">
        <v>0.65</v>
      </c>
      <c r="F49" s="363">
        <v>0.65</v>
      </c>
      <c r="J49" s="363">
        <v>0.71</v>
      </c>
      <c r="K49" s="363">
        <v>0.72</v>
      </c>
      <c r="L49" s="363">
        <v>0.68</v>
      </c>
      <c r="M49" s="363">
        <v>0.71</v>
      </c>
      <c r="N49" s="363">
        <v>0.7</v>
      </c>
      <c r="O49" s="363">
        <f>O50/O48</f>
        <v>0.73806856374635899</v>
      </c>
      <c r="P49" s="363">
        <f>P50/P48</f>
        <v>0.68294868922249607</v>
      </c>
      <c r="Q49" s="363">
        <v>0.71099999999999997</v>
      </c>
      <c r="R49" s="363">
        <f>R50/R48</f>
        <v>0.72359663112388128</v>
      </c>
      <c r="S49" s="363">
        <f>S50/S48</f>
        <v>0.70638320306836588</v>
      </c>
      <c r="T49" s="363">
        <v>0.72399999999999998</v>
      </c>
      <c r="U49" s="363">
        <v>0.72499999999999998</v>
      </c>
      <c r="V49" s="363">
        <v>0.72499999999999998</v>
      </c>
      <c r="W49" s="363">
        <f t="shared" ref="W49:AB49" si="118">V49</f>
        <v>0.72499999999999998</v>
      </c>
      <c r="X49" s="253">
        <f t="shared" si="118"/>
        <v>0.72499999999999998</v>
      </c>
      <c r="Y49" s="253">
        <f t="shared" si="118"/>
        <v>0.72499999999999998</v>
      </c>
      <c r="Z49" s="253">
        <f t="shared" si="118"/>
        <v>0.72499999999999998</v>
      </c>
      <c r="AA49" s="253">
        <f t="shared" si="118"/>
        <v>0.72499999999999998</v>
      </c>
      <c r="AB49" s="253">
        <f t="shared" si="118"/>
        <v>0.72499999999999998</v>
      </c>
      <c r="AC49" s="2073">
        <f>AB49</f>
        <v>0.72499999999999998</v>
      </c>
      <c r="AD49" s="253">
        <f>AB49</f>
        <v>0.72499999999999998</v>
      </c>
      <c r="AE49" s="2063">
        <f>AD49</f>
        <v>0.72499999999999998</v>
      </c>
      <c r="AF49" s="364">
        <v>0.65</v>
      </c>
      <c r="AG49" s="2048">
        <f>AF49+0.01</f>
        <v>0.66</v>
      </c>
      <c r="AH49" s="2048">
        <f>+AG49+0.01</f>
        <v>0.67</v>
      </c>
      <c r="AI49" s="2048">
        <f>+AH49</f>
        <v>0.67</v>
      </c>
      <c r="AJ49" s="2048">
        <f t="shared" ref="AJ49:AK49" si="119">+AI49</f>
        <v>0.67</v>
      </c>
      <c r="AK49" s="2048">
        <f t="shared" si="119"/>
        <v>0.67</v>
      </c>
      <c r="AL49" s="253"/>
    </row>
    <row r="50" spans="2:42" s="360" customFormat="1">
      <c r="B50" s="360" t="s">
        <v>319</v>
      </c>
      <c r="D50" s="360">
        <f t="shared" ref="D50:N50" si="120">D48*D49</f>
        <v>101400</v>
      </c>
      <c r="E50" s="360">
        <f t="shared" si="120"/>
        <v>101400</v>
      </c>
      <c r="F50" s="360">
        <f t="shared" si="120"/>
        <v>98800</v>
      </c>
      <c r="G50" s="360">
        <f t="shared" si="120"/>
        <v>0</v>
      </c>
      <c r="H50" s="360">
        <f t="shared" si="120"/>
        <v>0</v>
      </c>
      <c r="I50" s="360">
        <f t="shared" si="120"/>
        <v>0</v>
      </c>
      <c r="J50" s="360">
        <f t="shared" si="120"/>
        <v>119280</v>
      </c>
      <c r="K50" s="360">
        <f t="shared" si="120"/>
        <v>122400</v>
      </c>
      <c r="L50" s="360">
        <f t="shared" si="120"/>
        <v>57800.000000000007</v>
      </c>
      <c r="M50" s="360">
        <f t="shared" si="120"/>
        <v>60350</v>
      </c>
      <c r="N50" s="360">
        <f t="shared" si="120"/>
        <v>118999.99999999999</v>
      </c>
      <c r="O50" s="360">
        <f>O44*O15</f>
        <v>65880</v>
      </c>
      <c r="P50" s="360">
        <f>P44*P15</f>
        <v>60960</v>
      </c>
      <c r="Q50" s="360">
        <f>Q48*Q49</f>
        <v>126927.71999999999</v>
      </c>
      <c r="R50" s="360">
        <f>R44*R15</f>
        <v>65880</v>
      </c>
      <c r="S50" s="360">
        <f>S44*S15</f>
        <v>64312.799999999996</v>
      </c>
      <c r="T50" s="360">
        <f t="shared" ref="T50:Y50" si="121">T48*T49</f>
        <v>131833.44960000002</v>
      </c>
      <c r="U50" s="360">
        <f t="shared" si="121"/>
        <v>134655.85080000001</v>
      </c>
      <c r="V50" s="360">
        <f t="shared" si="121"/>
        <v>137348.96781599999</v>
      </c>
      <c r="W50" s="360">
        <f t="shared" si="121"/>
        <v>140095.94717232001</v>
      </c>
      <c r="X50" s="361">
        <f>X48*X49</f>
        <v>129728.84708156834</v>
      </c>
      <c r="Y50" s="361">
        <f t="shared" si="121"/>
        <v>138809.86637727814</v>
      </c>
      <c r="Z50" s="361">
        <f t="shared" ref="Z50:AC50" si="122">Z48*Z49</f>
        <v>145750.35969614208</v>
      </c>
      <c r="AA50" s="361">
        <f t="shared" si="122"/>
        <v>158867.89206879487</v>
      </c>
      <c r="AB50" s="361">
        <f t="shared" si="122"/>
        <v>152513.17638604305</v>
      </c>
      <c r="AC50" s="2071">
        <f t="shared" si="122"/>
        <v>152513.17638604305</v>
      </c>
      <c r="AD50" s="361">
        <f t="shared" ref="AD50" si="123">AD48*AD49</f>
        <v>152513.17638604305</v>
      </c>
      <c r="AE50" s="2060">
        <f t="shared" ref="AE50" si="124">AE48*AE49</f>
        <v>169289.62578850784</v>
      </c>
      <c r="AF50" s="362">
        <f>ROUND(AF48*AF49,-2)</f>
        <v>156000</v>
      </c>
      <c r="AG50" s="361">
        <f t="shared" ref="AG50:AK50" si="125">ROUND(AG48*AG49,-2)</f>
        <v>158700</v>
      </c>
      <c r="AH50" s="361">
        <f t="shared" si="125"/>
        <v>169900</v>
      </c>
      <c r="AI50" s="361">
        <f>ROUND(AI48*AI49,-2)</f>
        <v>178500</v>
      </c>
      <c r="AJ50" s="361">
        <f>ROUND(AJ48*AJ49,-2)</f>
        <v>187300</v>
      </c>
      <c r="AK50" s="361">
        <f t="shared" si="125"/>
        <v>195600</v>
      </c>
      <c r="AL50" s="361"/>
    </row>
    <row r="51" spans="2:42">
      <c r="B51" s="2141" t="s">
        <v>313</v>
      </c>
    </row>
    <row r="52" spans="2:42" s="360" customFormat="1">
      <c r="B52" s="360" t="s">
        <v>321</v>
      </c>
      <c r="D52" s="360">
        <v>1000</v>
      </c>
      <c r="E52" s="360">
        <f>D52</f>
        <v>1000</v>
      </c>
      <c r="F52" s="360">
        <f>E52</f>
        <v>1000</v>
      </c>
      <c r="G52" s="360">
        <f>F52</f>
        <v>1000</v>
      </c>
      <c r="H52" s="360">
        <f>G52</f>
        <v>1000</v>
      </c>
      <c r="I52" s="360">
        <f>H52</f>
        <v>1000</v>
      </c>
      <c r="J52" s="360">
        <v>860</v>
      </c>
      <c r="K52" s="360">
        <f>J52</f>
        <v>860</v>
      </c>
      <c r="L52" s="360">
        <f>N52*0.5</f>
        <v>415</v>
      </c>
      <c r="M52" s="360">
        <f>N52-L52</f>
        <v>415</v>
      </c>
      <c r="N52" s="360">
        <v>830</v>
      </c>
      <c r="O52" s="360">
        <f>Q52*0.5</f>
        <v>405</v>
      </c>
      <c r="P52" s="360">
        <f>Q52-O52</f>
        <v>405</v>
      </c>
      <c r="Q52" s="360">
        <v>810</v>
      </c>
      <c r="R52" s="360">
        <f>T52*0.5</f>
        <v>409.05</v>
      </c>
      <c r="S52" s="360">
        <f>T52-R52</f>
        <v>409.05</v>
      </c>
      <c r="T52" s="360">
        <f>Q52*1.01</f>
        <v>818.1</v>
      </c>
      <c r="U52" s="360">
        <f>T52*1.01</f>
        <v>826.28100000000006</v>
      </c>
      <c r="V52" s="360">
        <f>U52*1.01</f>
        <v>834.54381000000012</v>
      </c>
      <c r="W52" s="360">
        <f>V52</f>
        <v>834.54381000000012</v>
      </c>
      <c r="X52" s="361">
        <f t="shared" ref="X52:AB52" si="126">W52*1.01</f>
        <v>842.88924810000015</v>
      </c>
      <c r="Y52" s="361">
        <f t="shared" si="126"/>
        <v>851.31814058100019</v>
      </c>
      <c r="Z52" s="361">
        <f t="shared" si="126"/>
        <v>859.83132198681017</v>
      </c>
      <c r="AA52" s="361">
        <f t="shared" si="126"/>
        <v>868.42963520667831</v>
      </c>
      <c r="AB52" s="361">
        <f t="shared" si="126"/>
        <v>877.11393155874509</v>
      </c>
      <c r="AC52" s="2071">
        <f>AB52*1.01</f>
        <v>885.88507087433254</v>
      </c>
      <c r="AD52" s="2035">
        <f>AB52*1.01</f>
        <v>885.88507087433254</v>
      </c>
      <c r="AE52" s="2037">
        <f>AD52*1.01</f>
        <v>894.74392158307592</v>
      </c>
      <c r="AF52" s="2143">
        <f>+AA52*1.85/(AF24/AA24-0.1)</f>
        <v>1145.2858430614076</v>
      </c>
      <c r="AG52" s="2140">
        <f>ROUND(AF52*(1+AG20),-1)</f>
        <v>1230</v>
      </c>
      <c r="AH52" s="2140">
        <f t="shared" ref="AH52:AK52" si="127">ROUND(AG52*(1+AH20),-1)</f>
        <v>1290</v>
      </c>
      <c r="AI52" s="2140">
        <f t="shared" si="127"/>
        <v>1350</v>
      </c>
      <c r="AJ52" s="2140">
        <f t="shared" si="127"/>
        <v>1410</v>
      </c>
      <c r="AK52" s="2140">
        <f t="shared" si="127"/>
        <v>1470</v>
      </c>
      <c r="AL52" s="361"/>
    </row>
    <row r="53" spans="2:42" s="360" customFormat="1">
      <c r="B53" s="360" t="s">
        <v>320</v>
      </c>
      <c r="D53" s="360">
        <f t="shared" ref="D53:X53" si="128">D52*D44</f>
        <v>40000</v>
      </c>
      <c r="E53" s="360">
        <f t="shared" si="128"/>
        <v>40000</v>
      </c>
      <c r="F53" s="360">
        <f t="shared" si="128"/>
        <v>40000</v>
      </c>
      <c r="G53" s="360">
        <f t="shared" si="128"/>
        <v>40000</v>
      </c>
      <c r="H53" s="360">
        <f t="shared" si="128"/>
        <v>40000</v>
      </c>
      <c r="I53" s="360">
        <f t="shared" si="128"/>
        <v>40000</v>
      </c>
      <c r="J53" s="360">
        <f t="shared" si="128"/>
        <v>34400</v>
      </c>
      <c r="K53" s="360">
        <f t="shared" si="128"/>
        <v>34400</v>
      </c>
      <c r="L53" s="360">
        <f t="shared" si="128"/>
        <v>16600</v>
      </c>
      <c r="M53" s="360">
        <f t="shared" si="128"/>
        <v>16600</v>
      </c>
      <c r="N53" s="360">
        <f t="shared" si="128"/>
        <v>33200</v>
      </c>
      <c r="O53" s="360">
        <f t="shared" si="128"/>
        <v>16200</v>
      </c>
      <c r="P53" s="360">
        <f t="shared" si="128"/>
        <v>16200</v>
      </c>
      <c r="Q53" s="360">
        <f t="shared" si="128"/>
        <v>32400</v>
      </c>
      <c r="R53" s="360">
        <f t="shared" si="128"/>
        <v>16362</v>
      </c>
      <c r="S53" s="360">
        <f t="shared" si="128"/>
        <v>16362</v>
      </c>
      <c r="T53" s="360">
        <f t="shared" si="128"/>
        <v>32724</v>
      </c>
      <c r="U53" s="360">
        <f t="shared" si="128"/>
        <v>33051.240000000005</v>
      </c>
      <c r="V53" s="360">
        <f t="shared" si="128"/>
        <v>33381.752400000005</v>
      </c>
      <c r="W53" s="360">
        <f t="shared" si="128"/>
        <v>33381.752400000005</v>
      </c>
      <c r="X53" s="361">
        <f t="shared" si="128"/>
        <v>33715.569924000003</v>
      </c>
      <c r="Y53" s="361">
        <f t="shared" ref="Y53:Z53" si="129">Y52*Y44</f>
        <v>34052.72562324001</v>
      </c>
      <c r="Z53" s="361">
        <f t="shared" si="129"/>
        <v>34393.252879472406</v>
      </c>
      <c r="AA53" s="361">
        <f t="shared" ref="AA53:AC53" si="130">AA52*AA44</f>
        <v>34737.185408267134</v>
      </c>
      <c r="AB53" s="361">
        <f t="shared" si="130"/>
        <v>35084.557262349801</v>
      </c>
      <c r="AC53" s="2071">
        <f t="shared" si="130"/>
        <v>35435.402834973298</v>
      </c>
      <c r="AD53" s="361">
        <f t="shared" ref="AD53" si="131">AD52*AD44</f>
        <v>35435.402834973298</v>
      </c>
      <c r="AE53" s="2060">
        <f t="shared" ref="AE53" si="132">AE52*AE44</f>
        <v>35789.75686332304</v>
      </c>
      <c r="AF53" s="362">
        <f t="shared" ref="AF53" si="133">ROUND(AF52*AF44,-2)</f>
        <v>45800</v>
      </c>
      <c r="AG53" s="361">
        <f>ROUND(AG52*AG44,-2)</f>
        <v>49200</v>
      </c>
      <c r="AH53" s="361">
        <f t="shared" ref="AH53:AK53" si="134">ROUND(AH52*AH44,-2)</f>
        <v>51600</v>
      </c>
      <c r="AI53" s="361">
        <f t="shared" si="134"/>
        <v>54000</v>
      </c>
      <c r="AJ53" s="361">
        <f t="shared" si="134"/>
        <v>56400</v>
      </c>
      <c r="AK53" s="361">
        <f t="shared" si="134"/>
        <v>58800</v>
      </c>
      <c r="AL53" s="361"/>
    </row>
    <row r="54" spans="2:42" s="363" customFormat="1">
      <c r="B54" s="363" t="s">
        <v>314</v>
      </c>
      <c r="D54" s="363">
        <v>0.8</v>
      </c>
      <c r="E54" s="363">
        <f t="shared" ref="E54:M54" si="135">D54</f>
        <v>0.8</v>
      </c>
      <c r="F54" s="363">
        <f t="shared" si="135"/>
        <v>0.8</v>
      </c>
      <c r="G54" s="363">
        <f t="shared" si="135"/>
        <v>0.8</v>
      </c>
      <c r="H54" s="363">
        <f t="shared" si="135"/>
        <v>0.8</v>
      </c>
      <c r="I54" s="363">
        <f t="shared" si="135"/>
        <v>0.8</v>
      </c>
      <c r="J54" s="363">
        <f t="shared" si="135"/>
        <v>0.8</v>
      </c>
      <c r="K54" s="363">
        <f t="shared" si="135"/>
        <v>0.8</v>
      </c>
      <c r="L54" s="363">
        <f t="shared" si="135"/>
        <v>0.8</v>
      </c>
      <c r="M54" s="363">
        <f t="shared" si="135"/>
        <v>0.8</v>
      </c>
      <c r="N54" s="363">
        <f>K54</f>
        <v>0.8</v>
      </c>
      <c r="O54" s="363">
        <f>O55/O53</f>
        <v>0.89382716049382716</v>
      </c>
      <c r="P54" s="363">
        <f>P55/P53</f>
        <v>0.87654320987654322</v>
      </c>
      <c r="Q54" s="363">
        <f>Q55/Q53</f>
        <v>0.88518518518518519</v>
      </c>
      <c r="R54" s="363">
        <f>R55/R53</f>
        <v>0.9823248991565825</v>
      </c>
      <c r="S54" s="363">
        <f>S55/S53</f>
        <v>0.95465102065762142</v>
      </c>
      <c r="T54" s="363">
        <f>Q54</f>
        <v>0.88518518518518519</v>
      </c>
      <c r="U54" s="363">
        <f>T54</f>
        <v>0.88518518518518519</v>
      </c>
      <c r="V54" s="363">
        <f>U54</f>
        <v>0.88518518518518519</v>
      </c>
      <c r="W54" s="363">
        <v>0.9</v>
      </c>
      <c r="X54" s="253">
        <v>0.91</v>
      </c>
      <c r="Y54" s="253">
        <v>0.91</v>
      </c>
      <c r="Z54" s="253">
        <v>0.91</v>
      </c>
      <c r="AA54" s="253">
        <v>0.91</v>
      </c>
      <c r="AB54" s="253">
        <v>0.91</v>
      </c>
      <c r="AC54" s="2073">
        <v>0.91</v>
      </c>
      <c r="AD54" s="253">
        <v>0.91</v>
      </c>
      <c r="AE54" s="2063">
        <v>0.91</v>
      </c>
      <c r="AF54" s="364">
        <v>0.85</v>
      </c>
      <c r="AG54" s="2048">
        <f>+AF54</f>
        <v>0.85</v>
      </c>
      <c r="AH54" s="2048">
        <f t="shared" ref="AH54:AK54" si="136">+AG54</f>
        <v>0.85</v>
      </c>
      <c r="AI54" s="2048">
        <f t="shared" si="136"/>
        <v>0.85</v>
      </c>
      <c r="AJ54" s="2048">
        <f t="shared" si="136"/>
        <v>0.85</v>
      </c>
      <c r="AK54" s="2048">
        <f t="shared" si="136"/>
        <v>0.85</v>
      </c>
      <c r="AL54" s="253"/>
    </row>
    <row r="55" spans="2:42" s="360" customFormat="1">
      <c r="B55" s="360" t="s">
        <v>319</v>
      </c>
      <c r="D55" s="360">
        <f t="shared" ref="D55:N55" si="137">D53*D54</f>
        <v>32000</v>
      </c>
      <c r="E55" s="360">
        <f t="shared" si="137"/>
        <v>32000</v>
      </c>
      <c r="F55" s="360">
        <f t="shared" si="137"/>
        <v>32000</v>
      </c>
      <c r="G55" s="360">
        <f t="shared" si="137"/>
        <v>32000</v>
      </c>
      <c r="H55" s="360">
        <f t="shared" si="137"/>
        <v>32000</v>
      </c>
      <c r="I55" s="360">
        <f t="shared" si="137"/>
        <v>32000</v>
      </c>
      <c r="J55" s="360">
        <f t="shared" si="137"/>
        <v>27520</v>
      </c>
      <c r="K55" s="360">
        <f t="shared" si="137"/>
        <v>27520</v>
      </c>
      <c r="L55" s="360">
        <f t="shared" si="137"/>
        <v>13280</v>
      </c>
      <c r="M55" s="360">
        <f t="shared" si="137"/>
        <v>13280</v>
      </c>
      <c r="N55" s="360">
        <f t="shared" si="137"/>
        <v>26560</v>
      </c>
      <c r="O55" s="360">
        <f>O44*O23</f>
        <v>14480</v>
      </c>
      <c r="P55" s="360">
        <f>P44*P23</f>
        <v>14200</v>
      </c>
      <c r="Q55" s="360">
        <f>Q44*Q23</f>
        <v>28680</v>
      </c>
      <c r="R55" s="360">
        <f>R44*R23</f>
        <v>16072.800000000003</v>
      </c>
      <c r="S55" s="360">
        <f>S44*S23</f>
        <v>15620.000000000002</v>
      </c>
      <c r="T55" s="360">
        <f t="shared" ref="T55:Y55" si="138">T53*T54</f>
        <v>28966.799999999999</v>
      </c>
      <c r="U55" s="360">
        <f t="shared" si="138"/>
        <v>29256.468000000004</v>
      </c>
      <c r="V55" s="360">
        <f t="shared" si="138"/>
        <v>29549.032680000004</v>
      </c>
      <c r="W55" s="360">
        <f t="shared" si="138"/>
        <v>30043.577160000004</v>
      </c>
      <c r="X55" s="361">
        <f t="shared" si="138"/>
        <v>30681.168630840002</v>
      </c>
      <c r="Y55" s="361">
        <f t="shared" si="138"/>
        <v>30987.980317148409</v>
      </c>
      <c r="Z55" s="361">
        <f t="shared" ref="Z55:AC55" si="139">Z53*Z54</f>
        <v>31297.860120319889</v>
      </c>
      <c r="AA55" s="361">
        <f t="shared" si="139"/>
        <v>31610.838721523094</v>
      </c>
      <c r="AB55" s="361">
        <f t="shared" si="139"/>
        <v>31926.947108738321</v>
      </c>
      <c r="AC55" s="2071">
        <f t="shared" si="139"/>
        <v>32246.216579825701</v>
      </c>
      <c r="AD55" s="361">
        <f t="shared" ref="AD55" si="140">AD53*AD54</f>
        <v>32246.216579825701</v>
      </c>
      <c r="AE55" s="2060">
        <f t="shared" ref="AE55" si="141">AE53*AE54</f>
        <v>32568.678745623969</v>
      </c>
      <c r="AF55" s="362">
        <f>ROUND(AF53*AF54,-2)</f>
        <v>38900</v>
      </c>
      <c r="AG55" s="361">
        <f t="shared" ref="AG55:AK55" si="142">ROUND(AG53*AG54,-2)</f>
        <v>41800</v>
      </c>
      <c r="AH55" s="361">
        <f t="shared" si="142"/>
        <v>43900</v>
      </c>
      <c r="AI55" s="361">
        <f t="shared" si="142"/>
        <v>45900</v>
      </c>
      <c r="AJ55" s="361">
        <f t="shared" si="142"/>
        <v>47900</v>
      </c>
      <c r="AK55" s="361">
        <f t="shared" si="142"/>
        <v>50000</v>
      </c>
      <c r="AL55" s="361"/>
    </row>
    <row r="56" spans="2:42">
      <c r="B56" s="2141" t="s">
        <v>310</v>
      </c>
    </row>
    <row r="57" spans="2:42" s="360" customFormat="1">
      <c r="B57" s="360" t="s">
        <v>319</v>
      </c>
      <c r="D57" s="360">
        <f t="shared" ref="D57:W57" si="143">D55+D50</f>
        <v>133400</v>
      </c>
      <c r="E57" s="360">
        <f t="shared" si="143"/>
        <v>133400</v>
      </c>
      <c r="F57" s="360">
        <f t="shared" si="143"/>
        <v>130800</v>
      </c>
      <c r="G57" s="360">
        <f t="shared" si="143"/>
        <v>32000</v>
      </c>
      <c r="H57" s="360">
        <f t="shared" si="143"/>
        <v>32000</v>
      </c>
      <c r="I57" s="360">
        <f t="shared" si="143"/>
        <v>32000</v>
      </c>
      <c r="J57" s="360">
        <f t="shared" si="143"/>
        <v>146800</v>
      </c>
      <c r="K57" s="360">
        <f t="shared" si="143"/>
        <v>149920</v>
      </c>
      <c r="L57" s="360">
        <f t="shared" si="143"/>
        <v>71080</v>
      </c>
      <c r="M57" s="360">
        <f t="shared" si="143"/>
        <v>73630</v>
      </c>
      <c r="N57" s="360">
        <f t="shared" si="143"/>
        <v>145560</v>
      </c>
      <c r="O57" s="360">
        <f t="shared" si="143"/>
        <v>80360</v>
      </c>
      <c r="P57" s="360">
        <f t="shared" si="143"/>
        <v>75160</v>
      </c>
      <c r="Q57" s="360">
        <f t="shared" si="143"/>
        <v>155607.71999999997</v>
      </c>
      <c r="R57" s="360">
        <f t="shared" si="143"/>
        <v>81952.800000000003</v>
      </c>
      <c r="S57" s="360">
        <f t="shared" si="143"/>
        <v>79932.800000000003</v>
      </c>
      <c r="T57" s="360">
        <f t="shared" si="143"/>
        <v>160800.24960000001</v>
      </c>
      <c r="U57" s="360">
        <f t="shared" si="143"/>
        <v>163912.31880000001</v>
      </c>
      <c r="V57" s="360">
        <f>V55+V50</f>
        <v>166898.00049599999</v>
      </c>
      <c r="W57" s="360">
        <f t="shared" si="143"/>
        <v>170139.52433232003</v>
      </c>
      <c r="X57" s="361">
        <f>X55+X50</f>
        <v>160410.01571240835</v>
      </c>
      <c r="Y57" s="361">
        <f t="shared" ref="Y57:Z57" si="144">Y55+Y50</f>
        <v>169797.84669442655</v>
      </c>
      <c r="Z57" s="361">
        <f t="shared" si="144"/>
        <v>177048.21981646196</v>
      </c>
      <c r="AA57" s="361">
        <f t="shared" ref="AA57:AC57" si="145">AA55+AA50</f>
        <v>190478.73079031796</v>
      </c>
      <c r="AB57" s="361">
        <f t="shared" si="145"/>
        <v>184440.12349478138</v>
      </c>
      <c r="AC57" s="2071">
        <f t="shared" si="145"/>
        <v>184759.39296586876</v>
      </c>
      <c r="AD57" s="361">
        <f t="shared" ref="AD57" si="146">AD55+AD50</f>
        <v>184759.39296586876</v>
      </c>
      <c r="AE57" s="2060">
        <f t="shared" ref="AE57" si="147">AE55+AE50</f>
        <v>201858.30453413181</v>
      </c>
      <c r="AF57" s="362">
        <f>AF55+AF50</f>
        <v>194900</v>
      </c>
      <c r="AG57" s="361">
        <f t="shared" ref="AG57" si="148">AG55+AG50</f>
        <v>200500</v>
      </c>
      <c r="AH57" s="361">
        <f>AH55+AH50</f>
        <v>213800</v>
      </c>
      <c r="AI57" s="361">
        <f t="shared" ref="AI57:AJ57" si="149">AI55+AI50</f>
        <v>224400</v>
      </c>
      <c r="AJ57" s="361">
        <f t="shared" si="149"/>
        <v>235200</v>
      </c>
      <c r="AK57" s="361">
        <f t="shared" ref="AK57" si="150">AK55+AK50</f>
        <v>245600</v>
      </c>
      <c r="AL57" s="361"/>
    </row>
    <row r="58" spans="2:42" s="1376" customFormat="1">
      <c r="B58" s="2277" t="s">
        <v>318</v>
      </c>
      <c r="C58" s="2277"/>
      <c r="D58" s="2277">
        <v>3.6</v>
      </c>
      <c r="E58" s="2277">
        <v>3.3</v>
      </c>
      <c r="F58" s="2277">
        <v>3.5</v>
      </c>
      <c r="G58" s="2277"/>
      <c r="H58" s="2277"/>
      <c r="I58" s="2277"/>
      <c r="J58" s="2277">
        <v>8</v>
      </c>
      <c r="K58" s="2277">
        <v>5.3</v>
      </c>
      <c r="L58" s="2277">
        <v>5.7</v>
      </c>
      <c r="M58" s="2277">
        <v>5.7</v>
      </c>
      <c r="N58" s="2277">
        <v>5.7</v>
      </c>
      <c r="O58" s="2277">
        <v>7.8</v>
      </c>
      <c r="P58" s="2277">
        <v>7</v>
      </c>
      <c r="Q58" s="2277">
        <v>7.4</v>
      </c>
      <c r="R58" s="2277">
        <v>8</v>
      </c>
      <c r="S58" s="2277">
        <v>8</v>
      </c>
      <c r="T58" s="2277">
        <f>(R58+S58)*0.5</f>
        <v>8</v>
      </c>
      <c r="U58" s="2277">
        <v>7.4</v>
      </c>
      <c r="V58" s="2277">
        <v>6.8</v>
      </c>
      <c r="W58" s="2277">
        <v>5</v>
      </c>
      <c r="X58" s="2277">
        <v>4.3</v>
      </c>
      <c r="Y58" s="2277">
        <v>4.4000000000000004</v>
      </c>
      <c r="Z58" s="2277">
        <v>5.2</v>
      </c>
      <c r="AA58" s="2277">
        <v>5.8</v>
      </c>
      <c r="AB58" s="2277">
        <v>6</v>
      </c>
      <c r="AC58" s="2277">
        <v>8</v>
      </c>
      <c r="AD58" s="2277">
        <v>8</v>
      </c>
      <c r="AE58" s="2278">
        <v>10.199999999999999</v>
      </c>
      <c r="AF58" s="2279">
        <v>10.5</v>
      </c>
      <c r="AG58" s="2280">
        <f>+AF58*0.9</f>
        <v>9.4500000000000011</v>
      </c>
      <c r="AH58" s="2280">
        <f>+AG58*0.9</f>
        <v>8.5050000000000008</v>
      </c>
      <c r="AI58" s="2280">
        <f>AH58</f>
        <v>8.5050000000000008</v>
      </c>
      <c r="AJ58" s="2280">
        <f>AI58</f>
        <v>8.5050000000000008</v>
      </c>
      <c r="AK58" s="2280">
        <f>AJ58</f>
        <v>8.5050000000000008</v>
      </c>
      <c r="AM58" s="1483"/>
      <c r="AN58" s="1483">
        <f>AH58/AG58-1</f>
        <v>-9.9999999999999978E-2</v>
      </c>
      <c r="AO58" s="1483">
        <f>AI58/AH58-1</f>
        <v>0</v>
      </c>
      <c r="AP58" s="1483">
        <f>AJ58/AI58-1</f>
        <v>0</v>
      </c>
    </row>
    <row r="59" spans="2:42">
      <c r="B59" s="2277" t="s">
        <v>308</v>
      </c>
      <c r="C59" s="2172"/>
      <c r="D59" s="2281">
        <f t="shared" ref="D59:W59" si="151">D58/27.216*1000</f>
        <v>132.27513227513228</v>
      </c>
      <c r="E59" s="2281">
        <f t="shared" si="151"/>
        <v>121.25220458553791</v>
      </c>
      <c r="F59" s="2281">
        <f t="shared" si="151"/>
        <v>128.60082304526748</v>
      </c>
      <c r="G59" s="2281">
        <f t="shared" si="151"/>
        <v>0</v>
      </c>
      <c r="H59" s="2281">
        <f t="shared" si="151"/>
        <v>0</v>
      </c>
      <c r="I59" s="2281">
        <f t="shared" si="151"/>
        <v>0</v>
      </c>
      <c r="J59" s="2281">
        <f t="shared" si="151"/>
        <v>293.94473838918282</v>
      </c>
      <c r="K59" s="2281">
        <f t="shared" si="151"/>
        <v>194.73838918283363</v>
      </c>
      <c r="L59" s="2281">
        <f t="shared" si="151"/>
        <v>209.43562610229276</v>
      </c>
      <c r="M59" s="2281">
        <f t="shared" si="151"/>
        <v>209.43562610229276</v>
      </c>
      <c r="N59" s="2281">
        <f t="shared" si="151"/>
        <v>209.43562610229276</v>
      </c>
      <c r="O59" s="2281">
        <f t="shared" si="151"/>
        <v>286.59611992945321</v>
      </c>
      <c r="P59" s="2281">
        <f t="shared" si="151"/>
        <v>257.20164609053495</v>
      </c>
      <c r="Q59" s="2281">
        <f t="shared" si="151"/>
        <v>271.89888300999411</v>
      </c>
      <c r="R59" s="2281">
        <f t="shared" si="151"/>
        <v>293.94473838918282</v>
      </c>
      <c r="S59" s="2281">
        <f t="shared" si="151"/>
        <v>293.94473838918282</v>
      </c>
      <c r="T59" s="2281">
        <f t="shared" si="151"/>
        <v>293.94473838918282</v>
      </c>
      <c r="U59" s="2281">
        <f t="shared" si="151"/>
        <v>271.89888300999411</v>
      </c>
      <c r="V59" s="2281">
        <f t="shared" si="151"/>
        <v>249.85302763080537</v>
      </c>
      <c r="W59" s="2281">
        <f t="shared" si="151"/>
        <v>183.71546149323925</v>
      </c>
      <c r="X59" s="2175">
        <f>X58/27.216*1000</f>
        <v>157.99529688418576</v>
      </c>
      <c r="Y59" s="2175">
        <f t="shared" ref="Y59:Z59" si="152">Y58/27.216*1000</f>
        <v>161.66960611405057</v>
      </c>
      <c r="Z59" s="2175">
        <f t="shared" si="152"/>
        <v>191.06407995296885</v>
      </c>
      <c r="AA59" s="2175">
        <f t="shared" ref="AA59:AC59" si="153">AA58/27.216*1000</f>
        <v>213.10993533215756</v>
      </c>
      <c r="AB59" s="2175">
        <f t="shared" si="153"/>
        <v>220.45855379188711</v>
      </c>
      <c r="AC59" s="2175">
        <f t="shared" si="153"/>
        <v>293.94473838918282</v>
      </c>
      <c r="AD59" s="2175">
        <f t="shared" ref="AD59:AF59" si="154">AD58/27.216*1000</f>
        <v>293.94473838918282</v>
      </c>
      <c r="AE59" s="2177">
        <f t="shared" ref="AE59" si="155">AE58/27.216*1000</f>
        <v>374.77954144620804</v>
      </c>
      <c r="AF59" s="2282">
        <f t="shared" si="154"/>
        <v>385.80246913580248</v>
      </c>
      <c r="AG59" s="2175">
        <f>AG58/27.216*1000</f>
        <v>347.22222222222229</v>
      </c>
      <c r="AH59" s="2175">
        <f t="shared" ref="AH59" si="156">AH58/27.216*1000</f>
        <v>312.5</v>
      </c>
      <c r="AI59" s="2175">
        <f t="shared" ref="AI59:AJ59" si="157">AI58/27.216*1000</f>
        <v>312.5</v>
      </c>
      <c r="AJ59" s="2175">
        <f t="shared" si="157"/>
        <v>312.5</v>
      </c>
      <c r="AK59" s="2175">
        <f t="shared" ref="AK59" si="158">AK58/27.216*1000</f>
        <v>312.5</v>
      </c>
      <c r="AL59" s="361"/>
    </row>
    <row r="60" spans="2:42" s="372" customFormat="1">
      <c r="B60" s="372" t="s">
        <v>307</v>
      </c>
      <c r="D60" s="372">
        <v>1.4</v>
      </c>
      <c r="E60" s="372">
        <f t="shared" ref="E60:K60" si="159">D60</f>
        <v>1.4</v>
      </c>
      <c r="F60" s="372">
        <f t="shared" si="159"/>
        <v>1.4</v>
      </c>
      <c r="G60" s="372">
        <f t="shared" si="159"/>
        <v>1.4</v>
      </c>
      <c r="H60" s="372">
        <f t="shared" si="159"/>
        <v>1.4</v>
      </c>
      <c r="I60" s="372">
        <f t="shared" si="159"/>
        <v>1.4</v>
      </c>
      <c r="J60" s="372">
        <f t="shared" si="159"/>
        <v>1.4</v>
      </c>
      <c r="K60" s="372">
        <f t="shared" si="159"/>
        <v>1.4</v>
      </c>
      <c r="L60" s="372">
        <v>1.4</v>
      </c>
      <c r="M60" s="372">
        <v>1.4</v>
      </c>
      <c r="N60" s="372">
        <f>K60</f>
        <v>1.4</v>
      </c>
      <c r="O60" s="372">
        <v>1.4</v>
      </c>
      <c r="P60" s="372">
        <v>1.4</v>
      </c>
      <c r="Q60" s="372">
        <f>N60</f>
        <v>1.4</v>
      </c>
      <c r="R60" s="372">
        <v>1.4</v>
      </c>
      <c r="S60" s="372">
        <v>1.4</v>
      </c>
      <c r="T60" s="372">
        <f>Q60</f>
        <v>1.4</v>
      </c>
      <c r="U60" s="372">
        <f t="shared" ref="U60:AK60" si="160">T60</f>
        <v>1.4</v>
      </c>
      <c r="V60" s="372">
        <f t="shared" si="160"/>
        <v>1.4</v>
      </c>
      <c r="W60" s="372">
        <f t="shared" si="160"/>
        <v>1.4</v>
      </c>
      <c r="X60" s="373">
        <f>W60</f>
        <v>1.4</v>
      </c>
      <c r="Y60" s="373">
        <f t="shared" si="160"/>
        <v>1.4</v>
      </c>
      <c r="Z60" s="373">
        <f t="shared" si="160"/>
        <v>1.4</v>
      </c>
      <c r="AA60" s="373">
        <f t="shared" si="160"/>
        <v>1.4</v>
      </c>
      <c r="AB60" s="373">
        <f t="shared" si="160"/>
        <v>1.4</v>
      </c>
      <c r="AC60" s="2074">
        <f>AB60</f>
        <v>1.4</v>
      </c>
      <c r="AD60" s="373">
        <f>AB60</f>
        <v>1.4</v>
      </c>
      <c r="AE60" s="2064">
        <f>AD60</f>
        <v>1.4</v>
      </c>
      <c r="AF60" s="374">
        <f>AD60</f>
        <v>1.4</v>
      </c>
      <c r="AG60" s="2142">
        <f t="shared" si="160"/>
        <v>1.4</v>
      </c>
      <c r="AH60" s="2142">
        <f t="shared" si="160"/>
        <v>1.4</v>
      </c>
      <c r="AI60" s="2142">
        <f t="shared" si="160"/>
        <v>1.4</v>
      </c>
      <c r="AJ60" s="2142">
        <f t="shared" si="160"/>
        <v>1.4</v>
      </c>
      <c r="AK60" s="2142">
        <f t="shared" si="160"/>
        <v>1.4</v>
      </c>
      <c r="AL60" s="373"/>
    </row>
    <row r="62" spans="2:42">
      <c r="B62" s="2013" t="s">
        <v>317</v>
      </c>
      <c r="C62" s="2013"/>
      <c r="D62" s="2113">
        <f t="shared" ref="D62:W62" si="161">D74*D75*D73/1000000</f>
        <v>28.924454999999995</v>
      </c>
      <c r="E62" s="2113">
        <f t="shared" si="161"/>
        <v>30.395189999999996</v>
      </c>
      <c r="F62" s="2113">
        <f t="shared" si="161"/>
        <v>33.510959999999997</v>
      </c>
      <c r="G62" s="2113">
        <f t="shared" si="161"/>
        <v>0</v>
      </c>
      <c r="H62" s="2113">
        <f t="shared" si="161"/>
        <v>0</v>
      </c>
      <c r="I62" s="2113">
        <f t="shared" si="161"/>
        <v>0</v>
      </c>
      <c r="J62" s="2113">
        <f t="shared" si="161"/>
        <v>78.380189999999999</v>
      </c>
      <c r="K62" s="2113">
        <f t="shared" si="161"/>
        <v>50.924075999999999</v>
      </c>
      <c r="L62" s="2113">
        <f t="shared" si="161"/>
        <v>29.443112999999997</v>
      </c>
      <c r="M62" s="2113">
        <f t="shared" si="161"/>
        <v>34.408290000000001</v>
      </c>
      <c r="N62" s="2113">
        <f t="shared" si="161"/>
        <v>64.115540999999993</v>
      </c>
      <c r="O62" s="2113">
        <f t="shared" si="161"/>
        <v>50.542421999999995</v>
      </c>
      <c r="P62" s="2113">
        <f t="shared" si="161"/>
        <v>47.3508</v>
      </c>
      <c r="Q62" s="2113">
        <f t="shared" si="161"/>
        <v>97.951169546999992</v>
      </c>
      <c r="R62" s="2113">
        <f t="shared" si="161"/>
        <v>40.873959000000006</v>
      </c>
      <c r="S62" s="2113">
        <f t="shared" si="161"/>
        <v>35.670012</v>
      </c>
      <c r="T62" s="2113">
        <f t="shared" si="161"/>
        <v>77.266152935999997</v>
      </c>
      <c r="U62" s="2113">
        <f t="shared" si="161"/>
        <v>71.50376562000001</v>
      </c>
      <c r="V62" s="2113">
        <f t="shared" si="161"/>
        <v>77.942297181798011</v>
      </c>
      <c r="W62" s="2113">
        <f t="shared" si="161"/>
        <v>72.125583628694415</v>
      </c>
      <c r="X62" s="2114">
        <f>X74*X75*X73/1000000</f>
        <v>62.326316883698745</v>
      </c>
      <c r="Y62" s="2114">
        <f t="shared" ref="Y62:Z62" si="162">Y74*Y75*Y73/1000000</f>
        <v>62.677451527497617</v>
      </c>
      <c r="Z62" s="2114">
        <f t="shared" si="162"/>
        <v>66.678874524135495</v>
      </c>
      <c r="AA62" s="2114">
        <f t="shared" ref="AA62:AC62" si="163">AA74*AA75*AA73/1000000</f>
        <v>67.289790444904099</v>
      </c>
      <c r="AB62" s="2114">
        <f t="shared" si="163"/>
        <v>66.990189649105417</v>
      </c>
      <c r="AC62" s="2114">
        <f t="shared" si="163"/>
        <v>110.86019481738781</v>
      </c>
      <c r="AD62" s="2114">
        <f t="shared" ref="AD62:AF62" si="164">AD74*AD75*AD73/1000000</f>
        <v>110.86019481738781</v>
      </c>
      <c r="AE62" s="2115">
        <f t="shared" ref="AE62" si="165">AE74*AE75*AE73/1000000</f>
        <v>144.88989218152267</v>
      </c>
      <c r="AF62" s="2116">
        <f t="shared" si="164"/>
        <v>138.45606882532459</v>
      </c>
      <c r="AG62" s="2114">
        <f>AG74*AG75*AG73/1000000</f>
        <v>128.28200000000001</v>
      </c>
      <c r="AH62" s="2114">
        <f t="shared" ref="AH62" si="166">AH74*AH75*AH73/1000000</f>
        <v>122.9858</v>
      </c>
      <c r="AI62" s="2114">
        <f t="shared" ref="AI62:AJ62" si="167">AI74*AI75*AI73/1000000</f>
        <v>128.9778</v>
      </c>
      <c r="AJ62" s="2114">
        <f t="shared" si="167"/>
        <v>135.26939999999999</v>
      </c>
      <c r="AK62" s="2114">
        <f t="shared" ref="AK62" si="168">AK74*AK75*AK73/1000000</f>
        <v>141.26140000000001</v>
      </c>
      <c r="AL62" s="1376"/>
    </row>
    <row r="63" spans="2:42">
      <c r="B63" s="1" t="s">
        <v>316</v>
      </c>
      <c r="D63" s="1">
        <v>15</v>
      </c>
      <c r="E63" s="1">
        <v>15</v>
      </c>
      <c r="F63" s="1">
        <v>15</v>
      </c>
      <c r="J63" s="1">
        <v>15</v>
      </c>
      <c r="K63" s="1">
        <v>15</v>
      </c>
      <c r="L63" s="1">
        <v>15</v>
      </c>
      <c r="M63" s="1">
        <v>15</v>
      </c>
      <c r="N63" s="1">
        <v>15</v>
      </c>
      <c r="O63" s="1">
        <v>15</v>
      </c>
      <c r="P63" s="1">
        <v>15</v>
      </c>
      <c r="Q63" s="1">
        <v>15</v>
      </c>
      <c r="R63" s="1">
        <v>15</v>
      </c>
      <c r="S63" s="1">
        <v>15</v>
      </c>
      <c r="T63" s="1">
        <f>Q63</f>
        <v>15</v>
      </c>
      <c r="U63" s="1">
        <f t="shared" ref="U63:AK63" si="169">T63</f>
        <v>15</v>
      </c>
      <c r="V63" s="1">
        <f t="shared" si="169"/>
        <v>15</v>
      </c>
      <c r="W63" s="1">
        <f t="shared" si="169"/>
        <v>15</v>
      </c>
      <c r="X63" s="1">
        <f t="shared" si="169"/>
        <v>15</v>
      </c>
      <c r="Y63" s="1">
        <f t="shared" si="169"/>
        <v>15</v>
      </c>
      <c r="Z63" s="1">
        <f t="shared" si="169"/>
        <v>15</v>
      </c>
      <c r="AA63" s="1">
        <f t="shared" si="169"/>
        <v>15</v>
      </c>
      <c r="AB63" s="1">
        <f t="shared" si="169"/>
        <v>15</v>
      </c>
      <c r="AC63" s="1">
        <f>AB63</f>
        <v>15</v>
      </c>
      <c r="AD63" s="1">
        <f>AB63</f>
        <v>15</v>
      </c>
      <c r="AE63" s="356">
        <f>AD63</f>
        <v>15</v>
      </c>
      <c r="AF63" s="357">
        <f>AD63</f>
        <v>15</v>
      </c>
      <c r="AG63" s="1">
        <f t="shared" si="169"/>
        <v>15</v>
      </c>
      <c r="AH63" s="1">
        <f t="shared" si="169"/>
        <v>15</v>
      </c>
      <c r="AI63" s="1">
        <f t="shared" si="169"/>
        <v>15</v>
      </c>
      <c r="AJ63" s="1">
        <f t="shared" si="169"/>
        <v>15</v>
      </c>
      <c r="AK63" s="1">
        <f t="shared" si="169"/>
        <v>15</v>
      </c>
    </row>
    <row r="64" spans="2:42">
      <c r="B64" s="1" t="s">
        <v>315</v>
      </c>
    </row>
    <row r="65" spans="2:38">
      <c r="B65" s="1" t="s">
        <v>312</v>
      </c>
      <c r="D65" s="360">
        <f t="shared" ref="D65:K65" si="170">D63*D46</f>
        <v>58500</v>
      </c>
      <c r="E65" s="360">
        <f t="shared" si="170"/>
        <v>58500</v>
      </c>
      <c r="F65" s="360">
        <f t="shared" si="170"/>
        <v>57000</v>
      </c>
      <c r="G65" s="360">
        <f t="shared" si="170"/>
        <v>0</v>
      </c>
      <c r="H65" s="360">
        <f t="shared" si="170"/>
        <v>0</v>
      </c>
      <c r="I65" s="360">
        <f t="shared" si="170"/>
        <v>0</v>
      </c>
      <c r="J65" s="360">
        <f t="shared" si="170"/>
        <v>63000</v>
      </c>
      <c r="K65" s="360">
        <f t="shared" si="170"/>
        <v>63750</v>
      </c>
      <c r="L65" s="360">
        <f>N65*0.5</f>
        <v>31875</v>
      </c>
      <c r="M65" s="360">
        <f>N65-L65</f>
        <v>31875</v>
      </c>
      <c r="N65" s="360">
        <f>N63*N46</f>
        <v>63750</v>
      </c>
      <c r="O65" s="360">
        <f>Q65*0.5</f>
        <v>33472.5</v>
      </c>
      <c r="P65" s="360">
        <f>Q65-O65</f>
        <v>33472.5</v>
      </c>
      <c r="Q65" s="360">
        <f>Q63*Q46</f>
        <v>66945</v>
      </c>
      <c r="R65" s="360">
        <f>T65*0.5</f>
        <v>34141.950000000004</v>
      </c>
      <c r="S65" s="360">
        <f>T65-R65</f>
        <v>34141.950000000004</v>
      </c>
      <c r="T65" s="360">
        <f t="shared" ref="T65:Y65" si="171">T63*T46</f>
        <v>68283.900000000009</v>
      </c>
      <c r="U65" s="360">
        <f t="shared" si="171"/>
        <v>69649.578000000009</v>
      </c>
      <c r="V65" s="360">
        <f t="shared" si="171"/>
        <v>71042.569560000004</v>
      </c>
      <c r="W65" s="360">
        <f t="shared" si="171"/>
        <v>72463.420951200009</v>
      </c>
      <c r="X65" s="361">
        <f>X63*X46</f>
        <v>67101.127800811213</v>
      </c>
      <c r="Y65" s="361">
        <f t="shared" si="171"/>
        <v>71798.206746868018</v>
      </c>
      <c r="Z65" s="361">
        <f t="shared" ref="Z65:AC65" si="172">Z63*Z46</f>
        <v>75388.117084211422</v>
      </c>
      <c r="AA65" s="361">
        <f t="shared" si="172"/>
        <v>82173.047621790451</v>
      </c>
      <c r="AB65" s="361">
        <f t="shared" si="172"/>
        <v>78886.125716918832</v>
      </c>
      <c r="AC65" s="2071">
        <f t="shared" si="172"/>
        <v>78886.125716918832</v>
      </c>
      <c r="AD65" s="361">
        <f t="shared" ref="AD65:AF65" si="173">AD63*AD46</f>
        <v>78886.125716918832</v>
      </c>
      <c r="AE65" s="2060">
        <f t="shared" ref="AE65" si="174">AE63*AE46</f>
        <v>87563.599545779914</v>
      </c>
      <c r="AF65" s="362">
        <f t="shared" si="173"/>
        <v>90000</v>
      </c>
      <c r="AG65" s="361">
        <f t="shared" ref="AG65:AH65" si="175">AG63*AG46</f>
        <v>90150</v>
      </c>
      <c r="AH65" s="361">
        <f t="shared" si="175"/>
        <v>95100</v>
      </c>
      <c r="AI65" s="361">
        <f t="shared" ref="AI65:AJ65" si="176">AI63*AI46</f>
        <v>99900</v>
      </c>
      <c r="AJ65" s="361">
        <f t="shared" si="176"/>
        <v>104850</v>
      </c>
      <c r="AK65" s="361">
        <f t="shared" ref="AK65" si="177">AK63*AK46</f>
        <v>109500</v>
      </c>
      <c r="AL65" s="361"/>
    </row>
    <row r="66" spans="2:38" s="375" customFormat="1">
      <c r="B66" s="375" t="s">
        <v>314</v>
      </c>
      <c r="D66" s="375">
        <f t="shared" ref="D66:K66" si="178">D49</f>
        <v>0.65</v>
      </c>
      <c r="E66" s="375">
        <f t="shared" si="178"/>
        <v>0.65</v>
      </c>
      <c r="F66" s="375">
        <f t="shared" si="178"/>
        <v>0.65</v>
      </c>
      <c r="G66" s="375">
        <f t="shared" si="178"/>
        <v>0</v>
      </c>
      <c r="H66" s="375">
        <f t="shared" si="178"/>
        <v>0</v>
      </c>
      <c r="I66" s="375">
        <f t="shared" si="178"/>
        <v>0</v>
      </c>
      <c r="J66" s="375">
        <f t="shared" si="178"/>
        <v>0.71</v>
      </c>
      <c r="K66" s="375">
        <f t="shared" si="178"/>
        <v>0.72</v>
      </c>
      <c r="L66" s="375">
        <f>L67/L65</f>
        <v>0.68</v>
      </c>
      <c r="M66" s="375">
        <f>M67/M65</f>
        <v>0.71011764705882352</v>
      </c>
      <c r="N66" s="375">
        <f>N49</f>
        <v>0.7</v>
      </c>
      <c r="O66" s="375">
        <f>O67/O65</f>
        <v>0.73806856374635899</v>
      </c>
      <c r="P66" s="375">
        <f>P67/P65</f>
        <v>0.68294868922249607</v>
      </c>
      <c r="Q66" s="375">
        <f>Q49</f>
        <v>0.71099999999999997</v>
      </c>
      <c r="R66" s="375">
        <f>R67/R65</f>
        <v>0.72359663112388128</v>
      </c>
      <c r="S66" s="375">
        <f>S67/S65</f>
        <v>0.70638320306836588</v>
      </c>
      <c r="T66" s="375">
        <f t="shared" ref="T66:Y66" si="179">T49</f>
        <v>0.72399999999999998</v>
      </c>
      <c r="U66" s="375">
        <f t="shared" si="179"/>
        <v>0.72499999999999998</v>
      </c>
      <c r="V66" s="375">
        <f t="shared" si="179"/>
        <v>0.72499999999999998</v>
      </c>
      <c r="W66" s="375">
        <f t="shared" si="179"/>
        <v>0.72499999999999998</v>
      </c>
      <c r="X66" s="252">
        <f t="shared" si="179"/>
        <v>0.72499999999999998</v>
      </c>
      <c r="Y66" s="252">
        <f t="shared" si="179"/>
        <v>0.72499999999999998</v>
      </c>
      <c r="Z66" s="252">
        <f t="shared" ref="Z66:AC66" si="180">Z49</f>
        <v>0.72499999999999998</v>
      </c>
      <c r="AA66" s="252">
        <f t="shared" si="180"/>
        <v>0.72499999999999998</v>
      </c>
      <c r="AB66" s="252">
        <f t="shared" si="180"/>
        <v>0.72499999999999998</v>
      </c>
      <c r="AC66" s="2075">
        <f t="shared" si="180"/>
        <v>0.72499999999999998</v>
      </c>
      <c r="AD66" s="252">
        <f t="shared" ref="AD66:AF66" si="181">AD49</f>
        <v>0.72499999999999998</v>
      </c>
      <c r="AE66" s="2065">
        <f t="shared" ref="AE66" si="182">AE49</f>
        <v>0.72499999999999998</v>
      </c>
      <c r="AF66" s="376">
        <f t="shared" si="181"/>
        <v>0.65</v>
      </c>
      <c r="AG66" s="252">
        <f t="shared" ref="AG66:AH66" si="183">AG49</f>
        <v>0.66</v>
      </c>
      <c r="AH66" s="252">
        <f t="shared" si="183"/>
        <v>0.67</v>
      </c>
      <c r="AI66" s="252">
        <f t="shared" ref="AI66:AJ66" si="184">AI49</f>
        <v>0.67</v>
      </c>
      <c r="AJ66" s="252">
        <f t="shared" si="184"/>
        <v>0.67</v>
      </c>
      <c r="AK66" s="252">
        <f t="shared" ref="AK66" si="185">AK49</f>
        <v>0.67</v>
      </c>
      <c r="AL66" s="252"/>
    </row>
    <row r="67" spans="2:38">
      <c r="B67" s="1" t="s">
        <v>309</v>
      </c>
      <c r="D67" s="360">
        <f t="shared" ref="D67:K67" si="186">D65*D66</f>
        <v>38025</v>
      </c>
      <c r="E67" s="360">
        <f t="shared" si="186"/>
        <v>38025</v>
      </c>
      <c r="F67" s="360">
        <f t="shared" si="186"/>
        <v>37050</v>
      </c>
      <c r="G67" s="360">
        <f t="shared" si="186"/>
        <v>0</v>
      </c>
      <c r="H67" s="360">
        <f t="shared" si="186"/>
        <v>0</v>
      </c>
      <c r="I67" s="360">
        <f t="shared" si="186"/>
        <v>0</v>
      </c>
      <c r="J67" s="360">
        <f t="shared" si="186"/>
        <v>44730</v>
      </c>
      <c r="K67" s="360">
        <f t="shared" si="186"/>
        <v>45900</v>
      </c>
      <c r="L67" s="360">
        <f>L63*L15</f>
        <v>21675</v>
      </c>
      <c r="M67" s="360">
        <f>M63*M15</f>
        <v>22635</v>
      </c>
      <c r="N67" s="360">
        <f>N65*N66</f>
        <v>44625</v>
      </c>
      <c r="O67" s="360">
        <f>O63*O15</f>
        <v>24705</v>
      </c>
      <c r="P67" s="360">
        <f>P63*P15</f>
        <v>22860</v>
      </c>
      <c r="Q67" s="360">
        <f>Q65*Q66</f>
        <v>47597.894999999997</v>
      </c>
      <c r="R67" s="360">
        <f>R63*R15</f>
        <v>24705</v>
      </c>
      <c r="S67" s="360">
        <f>S63*S15</f>
        <v>24117.3</v>
      </c>
      <c r="T67" s="360">
        <f>T65*T66</f>
        <v>49437.543600000005</v>
      </c>
      <c r="U67" s="360">
        <f>U63*U15</f>
        <v>47845.853999999999</v>
      </c>
      <c r="V67" s="360">
        <f t="shared" ref="V67:AC67" si="187">V65*V66</f>
        <v>51505.862931000003</v>
      </c>
      <c r="W67" s="360">
        <f t="shared" si="187"/>
        <v>52535.980189620008</v>
      </c>
      <c r="X67" s="361">
        <f>X65*X66</f>
        <v>48648.317655588129</v>
      </c>
      <c r="Y67" s="361">
        <f t="shared" si="187"/>
        <v>52053.699891479315</v>
      </c>
      <c r="Z67" s="361">
        <f t="shared" si="187"/>
        <v>54656.384886053282</v>
      </c>
      <c r="AA67" s="361">
        <f t="shared" si="187"/>
        <v>59575.459525798076</v>
      </c>
      <c r="AB67" s="361">
        <f t="shared" si="187"/>
        <v>57192.441144766155</v>
      </c>
      <c r="AC67" s="2071">
        <f t="shared" si="187"/>
        <v>57192.441144766155</v>
      </c>
      <c r="AD67" s="361">
        <f t="shared" ref="AD67:AF67" si="188">AD65*AD66</f>
        <v>57192.441144766155</v>
      </c>
      <c r="AE67" s="2060">
        <f t="shared" ref="AE67" si="189">AE65*AE66</f>
        <v>63483.609670690435</v>
      </c>
      <c r="AF67" s="362">
        <f t="shared" si="188"/>
        <v>58500</v>
      </c>
      <c r="AG67" s="361">
        <f>ROUND(AG65*AG66,-2)</f>
        <v>59500</v>
      </c>
      <c r="AH67" s="361">
        <f t="shared" ref="AH67:AK67" si="190">ROUND(AH65*AH66,-2)</f>
        <v>63700</v>
      </c>
      <c r="AI67" s="361">
        <f t="shared" si="190"/>
        <v>66900</v>
      </c>
      <c r="AJ67" s="361">
        <f t="shared" si="190"/>
        <v>70200</v>
      </c>
      <c r="AK67" s="361">
        <f t="shared" si="190"/>
        <v>73400</v>
      </c>
      <c r="AL67" s="361"/>
    </row>
    <row r="68" spans="2:38">
      <c r="B68" s="1" t="s">
        <v>313</v>
      </c>
    </row>
    <row r="69" spans="2:38">
      <c r="B69" s="1" t="s">
        <v>312</v>
      </c>
      <c r="D69" s="360">
        <f t="shared" ref="D69:K69" si="191">D63*D52</f>
        <v>15000</v>
      </c>
      <c r="E69" s="360">
        <f t="shared" si="191"/>
        <v>15000</v>
      </c>
      <c r="F69" s="360">
        <f t="shared" si="191"/>
        <v>15000</v>
      </c>
      <c r="G69" s="360">
        <f t="shared" si="191"/>
        <v>0</v>
      </c>
      <c r="H69" s="360">
        <f t="shared" si="191"/>
        <v>0</v>
      </c>
      <c r="I69" s="360">
        <f t="shared" si="191"/>
        <v>0</v>
      </c>
      <c r="J69" s="360">
        <f t="shared" si="191"/>
        <v>12900</v>
      </c>
      <c r="K69" s="360">
        <f t="shared" si="191"/>
        <v>12900</v>
      </c>
      <c r="L69" s="360">
        <f>N69*0.5</f>
        <v>6225</v>
      </c>
      <c r="M69" s="360">
        <f>N69-L69</f>
        <v>6225</v>
      </c>
      <c r="N69" s="360">
        <f>N63*N52</f>
        <v>12450</v>
      </c>
      <c r="O69" s="360">
        <f>Q69*0.5</f>
        <v>6075</v>
      </c>
      <c r="P69" s="360">
        <f>Q69-O69</f>
        <v>6075</v>
      </c>
      <c r="Q69" s="360">
        <f>Q63*Q52</f>
        <v>12150</v>
      </c>
      <c r="R69" s="360">
        <f>T69*0.5</f>
        <v>6135.75</v>
      </c>
      <c r="S69" s="360">
        <f>T69-R69</f>
        <v>6135.75</v>
      </c>
      <c r="T69" s="360">
        <f t="shared" ref="T69:Y69" si="192">T63*T52</f>
        <v>12271.5</v>
      </c>
      <c r="U69" s="360">
        <f t="shared" si="192"/>
        <v>12394.215</v>
      </c>
      <c r="V69" s="360">
        <f t="shared" si="192"/>
        <v>12518.157150000003</v>
      </c>
      <c r="W69" s="360">
        <f t="shared" si="192"/>
        <v>12518.157150000003</v>
      </c>
      <c r="X69" s="361">
        <f t="shared" si="192"/>
        <v>12643.338721500002</v>
      </c>
      <c r="Y69" s="361">
        <f t="shared" si="192"/>
        <v>12769.772108715002</v>
      </c>
      <c r="Z69" s="361">
        <f t="shared" ref="Z69:AC69" si="193">Z63*Z52</f>
        <v>12897.469829802152</v>
      </c>
      <c r="AA69" s="361">
        <f t="shared" si="193"/>
        <v>13026.444528100175</v>
      </c>
      <c r="AB69" s="361">
        <f t="shared" si="193"/>
        <v>13156.708973381177</v>
      </c>
      <c r="AC69" s="2071">
        <f t="shared" si="193"/>
        <v>13288.276063114989</v>
      </c>
      <c r="AD69" s="361">
        <f t="shared" ref="AD69:AF69" si="194">AD63*AD52</f>
        <v>13288.276063114989</v>
      </c>
      <c r="AE69" s="2060">
        <f t="shared" ref="AE69" si="195">AE63*AE52</f>
        <v>13421.158823746138</v>
      </c>
      <c r="AF69" s="362">
        <f t="shared" si="194"/>
        <v>17179.287645921115</v>
      </c>
      <c r="AG69" s="361">
        <f>ROUND(AG63*AG52,-2)</f>
        <v>18500</v>
      </c>
      <c r="AH69" s="361">
        <f t="shared" ref="AH69:AK69" si="196">ROUND(AH63*AH52,-2)</f>
        <v>19400</v>
      </c>
      <c r="AI69" s="361">
        <f t="shared" si="196"/>
        <v>20300</v>
      </c>
      <c r="AJ69" s="361">
        <f t="shared" si="196"/>
        <v>21200</v>
      </c>
      <c r="AK69" s="361">
        <f t="shared" si="196"/>
        <v>22100</v>
      </c>
      <c r="AL69" s="361"/>
    </row>
    <row r="70" spans="2:38">
      <c r="B70" s="1" t="s">
        <v>311</v>
      </c>
      <c r="D70" s="24">
        <f t="shared" ref="D70:K70" si="197">D54</f>
        <v>0.8</v>
      </c>
      <c r="E70" s="24">
        <f t="shared" si="197"/>
        <v>0.8</v>
      </c>
      <c r="F70" s="24">
        <f t="shared" si="197"/>
        <v>0.8</v>
      </c>
      <c r="G70" s="24">
        <f t="shared" si="197"/>
        <v>0.8</v>
      </c>
      <c r="H70" s="24">
        <f t="shared" si="197"/>
        <v>0.8</v>
      </c>
      <c r="I70" s="24">
        <f t="shared" si="197"/>
        <v>0.8</v>
      </c>
      <c r="J70" s="24">
        <f t="shared" si="197"/>
        <v>0.8</v>
      </c>
      <c r="K70" s="24">
        <f t="shared" si="197"/>
        <v>0.8</v>
      </c>
      <c r="L70" s="375">
        <f>L71/L69</f>
        <v>0.8</v>
      </c>
      <c r="M70" s="375">
        <f>M71/M69</f>
        <v>0.8</v>
      </c>
      <c r="N70" s="24">
        <f>N54</f>
        <v>0.8</v>
      </c>
      <c r="O70" s="375">
        <f>O71/O69</f>
        <v>0.89382716049382716</v>
      </c>
      <c r="P70" s="375">
        <f>P71/P69</f>
        <v>0.87654320987654322</v>
      </c>
      <c r="Q70" s="24">
        <f>Q54</f>
        <v>0.88518518518518519</v>
      </c>
      <c r="R70" s="375">
        <f t="shared" ref="R70:X70" si="198">R71/R69</f>
        <v>0.9823248991565825</v>
      </c>
      <c r="S70" s="375">
        <f t="shared" si="198"/>
        <v>0.95465102065762142</v>
      </c>
      <c r="T70" s="375">
        <f t="shared" si="198"/>
        <v>0.96848795990710201</v>
      </c>
      <c r="U70" s="375">
        <f t="shared" si="198"/>
        <v>0.98766593931120317</v>
      </c>
      <c r="V70" s="375">
        <f t="shared" si="198"/>
        <v>0.99744480999745255</v>
      </c>
      <c r="W70" s="375">
        <f t="shared" si="198"/>
        <v>0.94757256949757984</v>
      </c>
      <c r="X70" s="252">
        <f t="shared" si="198"/>
        <v>0.97571828938364669</v>
      </c>
      <c r="Y70" s="252">
        <f t="shared" ref="Y70:Z70" si="199">Y71/Y69</f>
        <v>1.0047000207514778</v>
      </c>
      <c r="Z70" s="252">
        <f t="shared" si="199"/>
        <v>1.1141227952887676</v>
      </c>
      <c r="AA70" s="252">
        <f t="shared" ref="AA70:AC70" si="200">AA71/AA69</f>
        <v>1.103091876523532</v>
      </c>
      <c r="AB70" s="252">
        <f t="shared" si="200"/>
        <v>1.0812484730280165</v>
      </c>
      <c r="AC70" s="2075">
        <f t="shared" si="200"/>
        <v>1.1133647643060764</v>
      </c>
      <c r="AD70" s="252">
        <f t="shared" ref="AD70:AF70" si="201">AD71/AD69</f>
        <v>1.1133647643060764</v>
      </c>
      <c r="AE70" s="2065">
        <f t="shared" ref="AE70" si="202">AE71/AE69</f>
        <v>1.2015520723699242</v>
      </c>
      <c r="AF70" s="376">
        <f t="shared" si="201"/>
        <v>0.95592526906190178</v>
      </c>
      <c r="AG70" s="252">
        <f t="shared" ref="AG70:AH70" si="203">AG71/AG69</f>
        <v>0.94594594594594594</v>
      </c>
      <c r="AH70" s="252">
        <f t="shared" si="203"/>
        <v>0.94845360824742264</v>
      </c>
      <c r="AI70" s="252">
        <f t="shared" ref="AI70:AJ70" si="204">AI71/AI69</f>
        <v>0.94581280788177335</v>
      </c>
      <c r="AJ70" s="252">
        <f t="shared" si="204"/>
        <v>0.94811320754716977</v>
      </c>
      <c r="AK70" s="252">
        <f t="shared" ref="AK70" si="205">AK71/AK69</f>
        <v>0.94570135746606332</v>
      </c>
      <c r="AL70" s="252"/>
    </row>
    <row r="71" spans="2:38">
      <c r="B71" s="1" t="s">
        <v>309</v>
      </c>
      <c r="D71" s="360">
        <f t="shared" ref="D71:K71" si="206">D69*D70</f>
        <v>12000</v>
      </c>
      <c r="E71" s="360">
        <f t="shared" si="206"/>
        <v>12000</v>
      </c>
      <c r="F71" s="360">
        <f t="shared" si="206"/>
        <v>12000</v>
      </c>
      <c r="G71" s="360">
        <f t="shared" si="206"/>
        <v>0</v>
      </c>
      <c r="H71" s="360">
        <f t="shared" si="206"/>
        <v>0</v>
      </c>
      <c r="I71" s="360">
        <f t="shared" si="206"/>
        <v>0</v>
      </c>
      <c r="J71" s="360">
        <f t="shared" si="206"/>
        <v>10320</v>
      </c>
      <c r="K71" s="360">
        <f t="shared" si="206"/>
        <v>10320</v>
      </c>
      <c r="L71" s="360">
        <f>L63*L23</f>
        <v>4980</v>
      </c>
      <c r="M71" s="360">
        <f>M63*M23</f>
        <v>4980</v>
      </c>
      <c r="N71" s="360">
        <f>N69*N70</f>
        <v>9960</v>
      </c>
      <c r="O71" s="360">
        <f>O63*O23</f>
        <v>5430</v>
      </c>
      <c r="P71" s="360">
        <f>P63*P23</f>
        <v>5325</v>
      </c>
      <c r="Q71" s="360">
        <f>Q69*Q70</f>
        <v>10755</v>
      </c>
      <c r="R71" s="360">
        <f t="shared" ref="R71:AF71" si="207">R63*R23</f>
        <v>6027.3000000000011</v>
      </c>
      <c r="S71" s="360">
        <f t="shared" si="207"/>
        <v>5857.5000000000009</v>
      </c>
      <c r="T71" s="360">
        <f t="shared" si="207"/>
        <v>11884.800000000003</v>
      </c>
      <c r="U71" s="360">
        <f t="shared" si="207"/>
        <v>12241.344000000005</v>
      </c>
      <c r="V71" s="360">
        <f t="shared" si="207"/>
        <v>12486.170880000005</v>
      </c>
      <c r="W71" s="360">
        <f t="shared" si="207"/>
        <v>11861.862336000004</v>
      </c>
      <c r="X71" s="361">
        <f t="shared" si="207"/>
        <v>12336.336829440004</v>
      </c>
      <c r="Y71" s="361">
        <f t="shared" si="207"/>
        <v>12829.790302617605</v>
      </c>
      <c r="Z71" s="361">
        <f t="shared" si="207"/>
        <v>14369.365138931718</v>
      </c>
      <c r="AA71" s="361">
        <f t="shared" si="207"/>
        <v>14369.365138931718</v>
      </c>
      <c r="AB71" s="361">
        <f t="shared" si="207"/>
        <v>14225.6714875424</v>
      </c>
      <c r="AC71" s="2071">
        <f t="shared" si="207"/>
        <v>14794.698347044097</v>
      </c>
      <c r="AD71" s="361">
        <f t="shared" si="207"/>
        <v>14794.698347044097</v>
      </c>
      <c r="AE71" s="2060">
        <f t="shared" si="207"/>
        <v>16126.221198278068</v>
      </c>
      <c r="AF71" s="362">
        <f t="shared" si="207"/>
        <v>16422.115165218947</v>
      </c>
      <c r="AG71" s="361">
        <f>ROUND(AG63*AG23,-2)</f>
        <v>17500</v>
      </c>
      <c r="AH71" s="361">
        <f t="shared" ref="AH71:AK71" si="208">ROUND(AH63*AH23,-2)</f>
        <v>18400</v>
      </c>
      <c r="AI71" s="361">
        <f t="shared" si="208"/>
        <v>19200</v>
      </c>
      <c r="AJ71" s="361">
        <f t="shared" si="208"/>
        <v>20100</v>
      </c>
      <c r="AK71" s="361">
        <f t="shared" si="208"/>
        <v>20900</v>
      </c>
      <c r="AL71" s="361"/>
    </row>
    <row r="72" spans="2:38">
      <c r="B72" s="1" t="s">
        <v>310</v>
      </c>
    </row>
    <row r="73" spans="2:38">
      <c r="B73" s="1" t="s">
        <v>309</v>
      </c>
      <c r="D73" s="378">
        <f t="shared" ref="D73:W73" si="209">D67+D71</f>
        <v>50025</v>
      </c>
      <c r="E73" s="378">
        <f t="shared" si="209"/>
        <v>50025</v>
      </c>
      <c r="F73" s="378">
        <f t="shared" si="209"/>
        <v>49050</v>
      </c>
      <c r="G73" s="378">
        <f t="shared" si="209"/>
        <v>0</v>
      </c>
      <c r="H73" s="378">
        <f t="shared" si="209"/>
        <v>0</v>
      </c>
      <c r="I73" s="378">
        <f t="shared" si="209"/>
        <v>0</v>
      </c>
      <c r="J73" s="378">
        <f t="shared" si="209"/>
        <v>55050</v>
      </c>
      <c r="K73" s="378">
        <f t="shared" si="209"/>
        <v>56220</v>
      </c>
      <c r="L73" s="378">
        <f t="shared" si="209"/>
        <v>26655</v>
      </c>
      <c r="M73" s="378">
        <f t="shared" si="209"/>
        <v>27615</v>
      </c>
      <c r="N73" s="378">
        <f t="shared" si="209"/>
        <v>54585</v>
      </c>
      <c r="O73" s="378">
        <f t="shared" si="209"/>
        <v>30135</v>
      </c>
      <c r="P73" s="378">
        <f t="shared" si="209"/>
        <v>28185</v>
      </c>
      <c r="Q73" s="378">
        <f t="shared" si="209"/>
        <v>58352.894999999997</v>
      </c>
      <c r="R73" s="378">
        <f t="shared" si="209"/>
        <v>30732.300000000003</v>
      </c>
      <c r="S73" s="378">
        <f t="shared" si="209"/>
        <v>29974.799999999999</v>
      </c>
      <c r="T73" s="378">
        <f t="shared" si="209"/>
        <v>61322.343600000007</v>
      </c>
      <c r="U73" s="378">
        <f t="shared" si="209"/>
        <v>60087.198000000004</v>
      </c>
      <c r="V73" s="378">
        <f t="shared" si="209"/>
        <v>63992.033811000008</v>
      </c>
      <c r="W73" s="378">
        <f t="shared" si="209"/>
        <v>64397.842525620013</v>
      </c>
      <c r="X73" s="378">
        <f>X67+X71</f>
        <v>60984.654485028135</v>
      </c>
      <c r="Y73" s="378">
        <f t="shared" ref="Y73:Z73" si="210">Y67+Y71</f>
        <v>64883.490194096921</v>
      </c>
      <c r="Z73" s="378">
        <f t="shared" si="210"/>
        <v>69025.750024984998</v>
      </c>
      <c r="AA73" s="378">
        <f t="shared" ref="AA73:AC73" si="211">AA67+AA71</f>
        <v>73944.824664729793</v>
      </c>
      <c r="AB73" s="378">
        <f t="shared" si="211"/>
        <v>71418.112632308563</v>
      </c>
      <c r="AC73" s="2076">
        <f t="shared" si="211"/>
        <v>71987.13949181026</v>
      </c>
      <c r="AD73" s="378">
        <f t="shared" ref="AD73:AF73" si="212">AD67+AD71</f>
        <v>71987.13949181026</v>
      </c>
      <c r="AE73" s="2066">
        <f t="shared" ref="AE73" si="213">AE67+AE71</f>
        <v>79609.830868968507</v>
      </c>
      <c r="AF73" s="379">
        <f t="shared" si="212"/>
        <v>74922.115165218944</v>
      </c>
      <c r="AG73" s="378">
        <f t="shared" ref="AG73:AH73" si="214">AG67+AG71</f>
        <v>77000</v>
      </c>
      <c r="AH73" s="378">
        <f t="shared" si="214"/>
        <v>82100</v>
      </c>
      <c r="AI73" s="378">
        <f t="shared" ref="AI73:AJ73" si="215">AI67+AI71</f>
        <v>86100</v>
      </c>
      <c r="AJ73" s="378">
        <f t="shared" si="215"/>
        <v>90300</v>
      </c>
      <c r="AK73" s="378">
        <f t="shared" ref="AK73" si="216">AK67+AK71</f>
        <v>94300</v>
      </c>
      <c r="AL73" s="378"/>
    </row>
    <row r="74" spans="2:38">
      <c r="B74" s="2283" t="s">
        <v>308</v>
      </c>
      <c r="C74" s="2283"/>
      <c r="D74" s="2283">
        <v>413</v>
      </c>
      <c r="E74" s="2283">
        <v>434</v>
      </c>
      <c r="F74" s="2283">
        <v>488</v>
      </c>
      <c r="G74" s="2283"/>
      <c r="H74" s="2283"/>
      <c r="I74" s="2283"/>
      <c r="J74" s="2283">
        <v>1017</v>
      </c>
      <c r="K74" s="2283">
        <v>647</v>
      </c>
      <c r="L74" s="2283">
        <v>789</v>
      </c>
      <c r="M74" s="2283">
        <v>890</v>
      </c>
      <c r="N74" s="2283">
        <v>839</v>
      </c>
      <c r="O74" s="2283">
        <v>1198</v>
      </c>
      <c r="P74" s="2283">
        <v>1200</v>
      </c>
      <c r="Q74" s="2283">
        <f>(O74+P74)*0.5</f>
        <v>1199</v>
      </c>
      <c r="R74" s="2283">
        <v>950</v>
      </c>
      <c r="S74" s="2283">
        <v>850</v>
      </c>
      <c r="T74" s="2283">
        <f>(R74+S74)*0.5</f>
        <v>900</v>
      </c>
      <c r="U74" s="2283">
        <v>850</v>
      </c>
      <c r="V74" s="2283">
        <v>870</v>
      </c>
      <c r="W74" s="2283">
        <v>800</v>
      </c>
      <c r="X74" s="2283">
        <v>730</v>
      </c>
      <c r="Y74" s="2283">
        <v>690</v>
      </c>
      <c r="Z74" s="2283">
        <f>Y74</f>
        <v>690</v>
      </c>
      <c r="AA74" s="2283">
        <v>650</v>
      </c>
      <c r="AB74" s="2283">
        <v>670</v>
      </c>
      <c r="AC74" s="2283">
        <v>1100</v>
      </c>
      <c r="AD74" s="2283">
        <v>1100</v>
      </c>
      <c r="AE74" s="2284">
        <v>1300</v>
      </c>
      <c r="AF74" s="2285">
        <v>1320</v>
      </c>
      <c r="AG74" s="2286">
        <f>+ROUND(AF74*0.9,-1)</f>
        <v>1190</v>
      </c>
      <c r="AH74" s="2286">
        <f>+ROUND(AG74*0.9,-1)</f>
        <v>1070</v>
      </c>
      <c r="AI74" s="2286">
        <f t="shared" ref="V74:AK76" si="217">AH74</f>
        <v>1070</v>
      </c>
      <c r="AJ74" s="2286">
        <f t="shared" si="217"/>
        <v>1070</v>
      </c>
      <c r="AK74" s="2286">
        <f t="shared" si="217"/>
        <v>1070</v>
      </c>
    </row>
    <row r="75" spans="2:38" s="2122" customFormat="1">
      <c r="B75" s="2122" t="s">
        <v>307</v>
      </c>
      <c r="D75" s="2122">
        <v>1.4</v>
      </c>
      <c r="E75" s="2122">
        <v>1.4</v>
      </c>
      <c r="F75" s="2122">
        <f t="shared" ref="F75:U75" si="218">E75</f>
        <v>1.4</v>
      </c>
      <c r="G75" s="2122">
        <f t="shared" si="218"/>
        <v>1.4</v>
      </c>
      <c r="H75" s="2122">
        <f t="shared" si="218"/>
        <v>1.4</v>
      </c>
      <c r="I75" s="2122">
        <f t="shared" si="218"/>
        <v>1.4</v>
      </c>
      <c r="J75" s="2122">
        <f t="shared" si="218"/>
        <v>1.4</v>
      </c>
      <c r="K75" s="2122">
        <f t="shared" si="218"/>
        <v>1.4</v>
      </c>
      <c r="L75" s="2122">
        <f t="shared" si="218"/>
        <v>1.4</v>
      </c>
      <c r="M75" s="2122">
        <f t="shared" si="218"/>
        <v>1.4</v>
      </c>
      <c r="N75" s="2122">
        <f t="shared" si="218"/>
        <v>1.4</v>
      </c>
      <c r="O75" s="2122">
        <f t="shared" si="218"/>
        <v>1.4</v>
      </c>
      <c r="P75" s="2122">
        <f t="shared" si="218"/>
        <v>1.4</v>
      </c>
      <c r="Q75" s="2122">
        <f t="shared" si="218"/>
        <v>1.4</v>
      </c>
      <c r="R75" s="2122">
        <f t="shared" si="218"/>
        <v>1.4</v>
      </c>
      <c r="S75" s="2122">
        <f t="shared" si="218"/>
        <v>1.4</v>
      </c>
      <c r="T75" s="2122">
        <f t="shared" si="218"/>
        <v>1.4</v>
      </c>
      <c r="U75" s="2122">
        <f t="shared" si="218"/>
        <v>1.4</v>
      </c>
      <c r="V75" s="2122">
        <f t="shared" si="217"/>
        <v>1.4</v>
      </c>
      <c r="W75" s="2122">
        <f t="shared" si="217"/>
        <v>1.4</v>
      </c>
      <c r="X75" s="1309">
        <f t="shared" si="217"/>
        <v>1.4</v>
      </c>
      <c r="Y75" s="1309">
        <f t="shared" si="217"/>
        <v>1.4</v>
      </c>
      <c r="Z75" s="1309">
        <f t="shared" si="217"/>
        <v>1.4</v>
      </c>
      <c r="AA75" s="1309">
        <f t="shared" si="217"/>
        <v>1.4</v>
      </c>
      <c r="AB75" s="1309">
        <f t="shared" si="217"/>
        <v>1.4</v>
      </c>
      <c r="AC75" s="2123">
        <f>AB75</f>
        <v>1.4</v>
      </c>
      <c r="AD75" s="1309">
        <f>AB75</f>
        <v>1.4</v>
      </c>
      <c r="AE75" s="2124">
        <f>AD75</f>
        <v>1.4</v>
      </c>
      <c r="AF75" s="2125">
        <f>AD75</f>
        <v>1.4</v>
      </c>
      <c r="AG75" s="1309">
        <f t="shared" si="217"/>
        <v>1.4</v>
      </c>
      <c r="AH75" s="1309">
        <f t="shared" si="217"/>
        <v>1.4</v>
      </c>
      <c r="AI75" s="1309">
        <f t="shared" si="217"/>
        <v>1.4</v>
      </c>
      <c r="AJ75" s="1309">
        <f t="shared" si="217"/>
        <v>1.4</v>
      </c>
      <c r="AK75" s="1309">
        <f t="shared" si="217"/>
        <v>1.4</v>
      </c>
      <c r="AL75" s="1309"/>
    </row>
    <row r="76" spans="2:38" s="1864" customFormat="1">
      <c r="B76" s="2130" t="s">
        <v>306</v>
      </c>
      <c r="C76" s="2130"/>
      <c r="D76" s="2130"/>
      <c r="E76" s="2130"/>
      <c r="F76" s="2130"/>
      <c r="G76" s="2130"/>
      <c r="H76" s="2130"/>
      <c r="I76" s="2130"/>
      <c r="J76" s="2130"/>
      <c r="K76" s="2130"/>
      <c r="L76" s="2130"/>
      <c r="M76" s="2130"/>
      <c r="N76" s="2130"/>
      <c r="O76" s="2130"/>
      <c r="P76" s="2130"/>
      <c r="Q76" s="2130"/>
      <c r="R76" s="2130"/>
      <c r="S76" s="2130">
        <v>5</v>
      </c>
      <c r="T76" s="2130">
        <f>S76</f>
        <v>5</v>
      </c>
      <c r="U76" s="2130">
        <v>5</v>
      </c>
      <c r="V76" s="2130">
        <f t="shared" si="217"/>
        <v>5</v>
      </c>
      <c r="W76" s="2130">
        <f t="shared" si="217"/>
        <v>5</v>
      </c>
      <c r="X76" s="2131">
        <f t="shared" si="217"/>
        <v>5</v>
      </c>
      <c r="Y76" s="2131">
        <f t="shared" si="217"/>
        <v>5</v>
      </c>
      <c r="Z76" s="2131">
        <f t="shared" si="217"/>
        <v>5</v>
      </c>
      <c r="AA76" s="2131">
        <f t="shared" si="217"/>
        <v>5</v>
      </c>
      <c r="AB76" s="2131">
        <f t="shared" si="217"/>
        <v>5</v>
      </c>
      <c r="AC76" s="2131">
        <v>8</v>
      </c>
      <c r="AD76" s="2131">
        <v>8</v>
      </c>
      <c r="AE76" s="2132">
        <v>16</v>
      </c>
      <c r="AF76" s="2133">
        <v>18</v>
      </c>
      <c r="AG76" s="2131">
        <v>18</v>
      </c>
      <c r="AH76" s="2131">
        <f>AG76-3</f>
        <v>15</v>
      </c>
      <c r="AI76" s="2131">
        <f>AH76-1</f>
        <v>14</v>
      </c>
      <c r="AJ76" s="2131">
        <f t="shared" si="217"/>
        <v>14</v>
      </c>
      <c r="AK76" s="2131">
        <f t="shared" si="217"/>
        <v>14</v>
      </c>
      <c r="AL76" s="1858"/>
    </row>
    <row r="77" spans="2:38">
      <c r="AC77" s="1"/>
      <c r="AE77" s="356"/>
    </row>
    <row r="78" spans="2:38" s="2107" customFormat="1">
      <c r="B78" s="2108" t="s">
        <v>305</v>
      </c>
      <c r="C78" s="2108"/>
      <c r="D78" s="2108">
        <v>62712</v>
      </c>
      <c r="E78" s="2108">
        <v>63764</v>
      </c>
      <c r="F78" s="2108">
        <v>69047</v>
      </c>
      <c r="G78" s="2108"/>
      <c r="H78" s="2108"/>
      <c r="I78" s="2108"/>
      <c r="J78" s="2108">
        <v>81450</v>
      </c>
      <c r="K78" s="2108">
        <v>83784</v>
      </c>
      <c r="L78" s="2108">
        <v>10069</v>
      </c>
      <c r="M78" s="2108">
        <v>46793</v>
      </c>
      <c r="N78" s="2108">
        <v>56862</v>
      </c>
      <c r="O78" s="2108">
        <f>O32-O84</f>
        <v>45672</v>
      </c>
      <c r="P78" s="2108">
        <f>P32-P84</f>
        <v>48652.000000000029</v>
      </c>
      <c r="Q78" s="2108">
        <f>Q32-Q84</f>
        <v>94308</v>
      </c>
      <c r="R78" s="2108">
        <f>R32-R84</f>
        <v>35828.141899506139</v>
      </c>
      <c r="S78" s="2108">
        <v>50000</v>
      </c>
      <c r="T78" s="2108">
        <f>S78+R78</f>
        <v>85828.141899506139</v>
      </c>
      <c r="U78" s="2108">
        <f t="shared" ref="U78:AE78" si="219">U80*U5</f>
        <v>93091</v>
      </c>
      <c r="V78" s="2108">
        <f t="shared" si="219"/>
        <v>115276</v>
      </c>
      <c r="W78" s="2108">
        <f t="shared" si="219"/>
        <v>116790.00000000001</v>
      </c>
      <c r="X78" s="1457">
        <f t="shared" si="219"/>
        <v>120435</v>
      </c>
      <c r="Y78" s="1457">
        <f t="shared" si="219"/>
        <v>136529.87324961746</v>
      </c>
      <c r="Z78" s="1457">
        <f t="shared" si="219"/>
        <v>175283.9327164662</v>
      </c>
      <c r="AA78" s="1457">
        <f t="shared" si="219"/>
        <v>195937.3493031351</v>
      </c>
      <c r="AB78" s="1457">
        <f t="shared" si="219"/>
        <v>220572.88788161983</v>
      </c>
      <c r="AC78" s="1457">
        <f t="shared" si="219"/>
        <v>294198.9193558406</v>
      </c>
      <c r="AD78" s="1457">
        <f t="shared" si="219"/>
        <v>293895</v>
      </c>
      <c r="AE78" s="1494">
        <f t="shared" si="219"/>
        <v>422223.9640428776</v>
      </c>
      <c r="AF78" s="2109">
        <f>ROUND(AF80*AF5,-2)</f>
        <v>416800</v>
      </c>
      <c r="AG78" s="1457">
        <f>ROUND(AG80*AG5,-2)</f>
        <v>421800</v>
      </c>
      <c r="AH78" s="1457">
        <f>ROUND(AH80*AH5,-2)</f>
        <v>443500</v>
      </c>
      <c r="AI78" s="1457">
        <f t="shared" ref="AI78:AK78" si="220">ROUND(AI80*AI5,-2)</f>
        <v>467000</v>
      </c>
      <c r="AJ78" s="1457">
        <f t="shared" si="220"/>
        <v>490200</v>
      </c>
      <c r="AK78" s="1457">
        <f t="shared" si="220"/>
        <v>512000</v>
      </c>
      <c r="AL78" s="367"/>
    </row>
    <row r="79" spans="2:38" s="2043" customFormat="1" ht="12">
      <c r="B79" s="2110" t="s">
        <v>300</v>
      </c>
      <c r="C79" s="2110"/>
      <c r="D79" s="2110"/>
      <c r="E79" s="2110">
        <f>(E78-D78)/D78</f>
        <v>1.6775098864651103E-2</v>
      </c>
      <c r="F79" s="2110">
        <f>(F78-E78)/E78</f>
        <v>8.2852393199924726E-2</v>
      </c>
      <c r="G79" s="2110"/>
      <c r="H79" s="2110"/>
      <c r="I79" s="2110"/>
      <c r="J79" s="2110"/>
      <c r="K79" s="2110">
        <f>(K78-J78)/J78</f>
        <v>2.8655616942909759E-2</v>
      </c>
      <c r="L79" s="2110"/>
      <c r="M79" s="2110"/>
      <c r="N79" s="2110">
        <f t="shared" ref="N79:T79" si="221">(N78-K78)/K78</f>
        <v>-0.32132626754511601</v>
      </c>
      <c r="O79" s="2110">
        <f t="shared" si="221"/>
        <v>3.5359022743072797</v>
      </c>
      <c r="P79" s="2110">
        <f t="shared" si="221"/>
        <v>3.9728164469045139E-2</v>
      </c>
      <c r="Q79" s="2110">
        <f t="shared" si="221"/>
        <v>0.65854173261580673</v>
      </c>
      <c r="R79" s="2110">
        <f t="shared" si="221"/>
        <v>-0.21553376468063279</v>
      </c>
      <c r="S79" s="2110">
        <f t="shared" si="221"/>
        <v>2.7706980185808808E-2</v>
      </c>
      <c r="T79" s="2110">
        <f t="shared" si="221"/>
        <v>-8.9916635921595836E-2</v>
      </c>
      <c r="U79" s="2110">
        <f t="shared" ref="U79:AK79" si="222">(U78-T78)/T78</f>
        <v>8.4620940635039554E-2</v>
      </c>
      <c r="V79" s="2110">
        <f t="shared" si="222"/>
        <v>0.23831519695781547</v>
      </c>
      <c r="W79" s="2110">
        <f t="shared" si="222"/>
        <v>1.3133696519657297E-2</v>
      </c>
      <c r="X79" s="2024">
        <f t="shared" si="222"/>
        <v>3.1209863858206909E-2</v>
      </c>
      <c r="Y79" s="2024">
        <f t="shared" si="222"/>
        <v>0.13363950055729201</v>
      </c>
      <c r="Z79" s="2024">
        <f t="shared" si="222"/>
        <v>0.28385040243899379</v>
      </c>
      <c r="AA79" s="2024">
        <f t="shared" si="222"/>
        <v>0.1178283500751733</v>
      </c>
      <c r="AB79" s="2024">
        <f t="shared" si="222"/>
        <v>0.12573171305063965</v>
      </c>
      <c r="AC79" s="2024">
        <f>(AC78-AB78)/AB78</f>
        <v>0.33379456641894911</v>
      </c>
      <c r="AD79" s="2024">
        <f>(AD78-AB78)/AB78</f>
        <v>0.33241670280769831</v>
      </c>
      <c r="AE79" s="2025">
        <f>(AE78-AD78)/AD78</f>
        <v>0.43664902105472225</v>
      </c>
      <c r="AF79" s="2111">
        <f>(AF78-AD78)/AD78</f>
        <v>0.41819357253440853</v>
      </c>
      <c r="AG79" s="2024">
        <f t="shared" si="222"/>
        <v>1.199616122840691E-2</v>
      </c>
      <c r="AH79" s="2024">
        <f t="shared" si="222"/>
        <v>5.144618302513039E-2</v>
      </c>
      <c r="AI79" s="2024">
        <f t="shared" si="222"/>
        <v>5.2987598647125142E-2</v>
      </c>
      <c r="AJ79" s="2024">
        <f t="shared" si="222"/>
        <v>4.967880085653105E-2</v>
      </c>
      <c r="AK79" s="2024">
        <f t="shared" si="222"/>
        <v>4.4471644226846185E-2</v>
      </c>
      <c r="AL79" s="2044"/>
    </row>
    <row r="80" spans="2:38" s="2043" customFormat="1" ht="12">
      <c r="B80" s="2110" t="s">
        <v>303</v>
      </c>
      <c r="C80" s="2110"/>
      <c r="D80" s="2110">
        <f>D78/D5</f>
        <v>0.15510985464016205</v>
      </c>
      <c r="E80" s="2110">
        <f>E78/E5</f>
        <v>0.15192973928624187</v>
      </c>
      <c r="F80" s="2110">
        <f>F78/F5</f>
        <v>0.16233480745855638</v>
      </c>
      <c r="G80" s="2110"/>
      <c r="H80" s="2110"/>
      <c r="I80" s="2110"/>
      <c r="J80" s="2110">
        <f t="shared" ref="J80:T80" si="223">J78/J5</f>
        <v>0.13625847119500939</v>
      </c>
      <c r="K80" s="2110">
        <f t="shared" si="223"/>
        <v>0.13163463940460873</v>
      </c>
      <c r="L80" s="2110">
        <f t="shared" si="223"/>
        <v>3.532982456140351E-2</v>
      </c>
      <c r="M80" s="2110">
        <f t="shared" si="223"/>
        <v>0.14668652037617555</v>
      </c>
      <c r="N80" s="2110">
        <f t="shared" si="223"/>
        <v>9.4142384105960264E-2</v>
      </c>
      <c r="O80" s="2110">
        <f t="shared" si="223"/>
        <v>0.13756626506024097</v>
      </c>
      <c r="P80" s="2110">
        <f t="shared" si="223"/>
        <v>0.13184823848238492</v>
      </c>
      <c r="Q80" s="2110">
        <f t="shared" si="223"/>
        <v>0.13453352353780315</v>
      </c>
      <c r="R80" s="2110">
        <f t="shared" si="223"/>
        <v>9.7624364848790571E-2</v>
      </c>
      <c r="S80" s="2110">
        <f t="shared" si="223"/>
        <v>0.12895036011012834</v>
      </c>
      <c r="T80" s="2110">
        <f t="shared" si="223"/>
        <v>0.11414146340253305</v>
      </c>
      <c r="U80" s="2110">
        <v>0.127</v>
      </c>
      <c r="V80" s="2110">
        <v>0.161</v>
      </c>
      <c r="W80" s="2110">
        <v>0.17</v>
      </c>
      <c r="X80" s="2024">
        <v>0.185</v>
      </c>
      <c r="Y80" s="2024">
        <v>0.19800000000000001</v>
      </c>
      <c r="Z80" s="2024">
        <v>0.23200000000000001</v>
      </c>
      <c r="AA80" s="2024">
        <v>0.24</v>
      </c>
      <c r="AB80" s="2024">
        <v>0.26</v>
      </c>
      <c r="AC80" s="2024">
        <v>0.315</v>
      </c>
      <c r="AD80" s="2024">
        <v>0.315</v>
      </c>
      <c r="AE80" s="2025">
        <v>0.33500000000000002</v>
      </c>
      <c r="AF80" s="2162">
        <v>0.312</v>
      </c>
      <c r="AG80" s="2154">
        <v>0.28734999999999999</v>
      </c>
      <c r="AH80" s="2154">
        <f>AG80+0.001</f>
        <v>0.28835</v>
      </c>
      <c r="AI80" s="2154">
        <f>+AH80</f>
        <v>0.28835</v>
      </c>
      <c r="AJ80" s="2154">
        <f>AI80-0.001</f>
        <v>0.28734999999999999</v>
      </c>
      <c r="AK80" s="2154">
        <f t="shared" ref="AK80" si="224">AJ80-0.001</f>
        <v>0.28634999999999999</v>
      </c>
      <c r="AL80" s="2044"/>
    </row>
    <row r="81" spans="2:38" s="2129" customFormat="1" ht="6" customHeight="1">
      <c r="X81" s="342"/>
      <c r="Y81" s="342"/>
      <c r="Z81" s="342"/>
      <c r="AA81" s="342"/>
      <c r="AB81" s="342"/>
      <c r="AC81" s="342"/>
      <c r="AD81" s="342"/>
      <c r="AE81" s="365"/>
      <c r="AF81" s="366"/>
      <c r="AG81" s="342"/>
      <c r="AH81" s="342"/>
      <c r="AI81" s="342"/>
      <c r="AJ81" s="342"/>
      <c r="AK81" s="342"/>
      <c r="AL81" s="342"/>
    </row>
    <row r="82" spans="2:38">
      <c r="B82" s="2013"/>
      <c r="C82" s="2013"/>
      <c r="D82" s="2113"/>
      <c r="E82" s="2113"/>
      <c r="F82" s="2113"/>
      <c r="G82" s="2113"/>
      <c r="H82" s="2113"/>
      <c r="I82" s="2113"/>
      <c r="J82" s="2113"/>
      <c r="K82" s="2113"/>
      <c r="L82" s="2113"/>
      <c r="M82" s="2113"/>
      <c r="N82" s="2113"/>
      <c r="O82" s="2113"/>
      <c r="P82" s="2113"/>
      <c r="Q82" s="2113"/>
      <c r="R82" s="2113"/>
      <c r="S82" s="2113"/>
      <c r="T82" s="2113"/>
      <c r="U82" s="2113"/>
      <c r="V82" s="2113"/>
      <c r="W82" s="2113"/>
      <c r="X82" s="2114"/>
      <c r="Y82" s="2114"/>
      <c r="Z82" s="2114"/>
      <c r="AA82" s="2114"/>
      <c r="AB82" s="2114"/>
      <c r="AC82" s="2114"/>
      <c r="AD82" s="2114"/>
      <c r="AE82" s="2115"/>
      <c r="AF82" s="2116"/>
      <c r="AG82" s="2114">
        <f>-AG78/1000+AF78/1000</f>
        <v>-5</v>
      </c>
      <c r="AH82" s="2114"/>
      <c r="AI82" s="2114"/>
      <c r="AJ82" s="2114"/>
      <c r="AK82" s="2114"/>
      <c r="AL82" s="1376"/>
    </row>
    <row r="83" spans="2:38" s="2129" customFormat="1" ht="6" customHeight="1">
      <c r="X83" s="342"/>
      <c r="Y83" s="342"/>
      <c r="Z83" s="342"/>
      <c r="AA83" s="342"/>
      <c r="AB83" s="342"/>
      <c r="AC83" s="342"/>
      <c r="AD83" s="342"/>
      <c r="AE83" s="365"/>
      <c r="AF83" s="366"/>
      <c r="AG83" s="342"/>
      <c r="AH83" s="342"/>
      <c r="AI83" s="342"/>
      <c r="AJ83" s="342"/>
      <c r="AK83" s="342"/>
      <c r="AL83" s="342"/>
    </row>
    <row r="84" spans="2:38" s="2107" customFormat="1">
      <c r="B84" s="2099" t="s">
        <v>304</v>
      </c>
      <c r="C84" s="2099"/>
      <c r="D84" s="2099">
        <f>D32-D78</f>
        <v>49283</v>
      </c>
      <c r="E84" s="2099">
        <f>E32-E78</f>
        <v>42804</v>
      </c>
      <c r="F84" s="2099">
        <f>F32-F78</f>
        <v>49343</v>
      </c>
      <c r="G84" s="2099"/>
      <c r="H84" s="2099"/>
      <c r="I84" s="2099"/>
      <c r="J84" s="2099">
        <f>J32-J78</f>
        <v>62937</v>
      </c>
      <c r="K84" s="2099">
        <f>K32-K78</f>
        <v>130210</v>
      </c>
      <c r="L84" s="2099">
        <f>L32-L78</f>
        <v>50587</v>
      </c>
      <c r="M84" s="2099">
        <f>M32-M78</f>
        <v>39413</v>
      </c>
      <c r="N84" s="2099">
        <f>N32-N78</f>
        <v>90000</v>
      </c>
      <c r="O84" s="2099">
        <v>36000</v>
      </c>
      <c r="P84" s="2099">
        <f>Q84-O84</f>
        <v>65000</v>
      </c>
      <c r="Q84" s="2099">
        <v>101000</v>
      </c>
      <c r="R84" s="2099">
        <v>74000</v>
      </c>
      <c r="S84" s="2099">
        <f t="shared" ref="S84:AC84" si="225">S32-S78</f>
        <v>65375.087629629677</v>
      </c>
      <c r="T84" s="2099">
        <f t="shared" si="225"/>
        <v>139682.42353975901</v>
      </c>
      <c r="U84" s="2099">
        <f t="shared" si="225"/>
        <v>128375.62773573081</v>
      </c>
      <c r="V84" s="2099">
        <f t="shared" si="225"/>
        <v>100635.42934328751</v>
      </c>
      <c r="W84" s="2099">
        <f t="shared" si="225"/>
        <v>106918.78034791358</v>
      </c>
      <c r="X84" s="2054">
        <f t="shared" si="225"/>
        <v>105563.91321939559</v>
      </c>
      <c r="Y84" s="2054">
        <f t="shared" si="225"/>
        <v>93374.163643029024</v>
      </c>
      <c r="Z84" s="2054">
        <f t="shared" si="225"/>
        <v>85842.488723109622</v>
      </c>
      <c r="AA84" s="2054">
        <f t="shared" si="225"/>
        <v>112441.62042051533</v>
      </c>
      <c r="AB84" s="2054">
        <f t="shared" si="225"/>
        <v>144844.86952014561</v>
      </c>
      <c r="AC84" s="2054">
        <f t="shared" si="225"/>
        <v>82318.711658839544</v>
      </c>
      <c r="AD84" s="2054">
        <f>+Quarterly!IR77*1000</f>
        <v>82000</v>
      </c>
      <c r="AE84" s="2055">
        <f>AE32-AE78</f>
        <v>169189.19970646809</v>
      </c>
      <c r="AF84" s="2056">
        <f>+Quarterly!JD77*1000</f>
        <v>196000</v>
      </c>
      <c r="AG84" s="2054">
        <f>ROUND(AG32-AG78,-2)</f>
        <v>276400</v>
      </c>
      <c r="AH84" s="2054">
        <f>ROUND(AH32-AH78,-2)</f>
        <v>291700</v>
      </c>
      <c r="AI84" s="2054">
        <f t="shared" ref="AI84:AK84" si="226">ROUND(AI32-AI78,-2)</f>
        <v>301000</v>
      </c>
      <c r="AJ84" s="2054">
        <f t="shared" si="226"/>
        <v>312700</v>
      </c>
      <c r="AK84" s="2054">
        <f t="shared" si="226"/>
        <v>325700</v>
      </c>
      <c r="AL84" s="367"/>
    </row>
    <row r="85" spans="2:38" s="2043" customFormat="1" ht="12">
      <c r="B85" s="2101" t="s">
        <v>300</v>
      </c>
      <c r="C85" s="2101"/>
      <c r="D85" s="2101"/>
      <c r="E85" s="2101">
        <f>(E84-D84)/D84</f>
        <v>-0.13146521112756934</v>
      </c>
      <c r="F85" s="2101">
        <f>(F84-E84)/E84</f>
        <v>0.15276609662648349</v>
      </c>
      <c r="G85" s="2101"/>
      <c r="H85" s="2101"/>
      <c r="I85" s="2101"/>
      <c r="J85" s="2101"/>
      <c r="K85" s="2101">
        <f>(K84-J84)/J84</f>
        <v>1.0688942911165134</v>
      </c>
      <c r="L85" s="2101"/>
      <c r="M85" s="2101"/>
      <c r="N85" s="2101">
        <f t="shared" ref="N85:T85" si="227">(N84-K84)/K84</f>
        <v>-0.30880884724675522</v>
      </c>
      <c r="O85" s="2101">
        <f t="shared" si="227"/>
        <v>-0.28835471563840515</v>
      </c>
      <c r="P85" s="2101">
        <f t="shared" si="227"/>
        <v>0.64920203993606174</v>
      </c>
      <c r="Q85" s="2101">
        <f t="shared" si="227"/>
        <v>0.12222222222222222</v>
      </c>
      <c r="R85" s="2101">
        <f t="shared" si="227"/>
        <v>1.0555555555555556</v>
      </c>
      <c r="S85" s="2101">
        <f t="shared" si="227"/>
        <v>5.7705789173796524E-3</v>
      </c>
      <c r="T85" s="2101">
        <f t="shared" si="227"/>
        <v>0.38299429247286149</v>
      </c>
      <c r="U85" s="2101">
        <f t="shared" ref="U85:AK85" si="228">(U84-T84)/T84</f>
        <v>-8.094644635665163E-2</v>
      </c>
      <c r="V85" s="2101">
        <f t="shared" si="228"/>
        <v>-0.216086175247752</v>
      </c>
      <c r="W85" s="2101">
        <f t="shared" si="228"/>
        <v>6.2436768498222432E-2</v>
      </c>
      <c r="X85" s="2102">
        <f t="shared" si="228"/>
        <v>-1.2671928393770038E-2</v>
      </c>
      <c r="Y85" s="2102">
        <f t="shared" si="228"/>
        <v>-0.11547269521007965</v>
      </c>
      <c r="Z85" s="2102">
        <f t="shared" si="228"/>
        <v>-8.0661230323980412E-2</v>
      </c>
      <c r="AA85" s="2102">
        <f t="shared" si="228"/>
        <v>0.30985974536692307</v>
      </c>
      <c r="AB85" s="2102">
        <f t="shared" si="228"/>
        <v>0.28817842519919967</v>
      </c>
      <c r="AC85" s="2102">
        <f>(AC84-AB84)/AB84</f>
        <v>-0.43167671777708133</v>
      </c>
      <c r="AD85" s="2102">
        <f>(AD84-AB84)/AB84</f>
        <v>-0.43387708331225977</v>
      </c>
      <c r="AE85" s="2103">
        <f>(AE84-AD84)/AD84</f>
        <v>1.0632829232496108</v>
      </c>
      <c r="AF85" s="2104">
        <f>(AF84-AD84)/AD84</f>
        <v>1.3902439024390243</v>
      </c>
      <c r="AG85" s="2102">
        <f t="shared" si="228"/>
        <v>0.41020408163265304</v>
      </c>
      <c r="AH85" s="2102">
        <f t="shared" si="228"/>
        <v>5.535455861070912E-2</v>
      </c>
      <c r="AI85" s="2102">
        <f t="shared" si="228"/>
        <v>3.1882070620500517E-2</v>
      </c>
      <c r="AJ85" s="2102">
        <f t="shared" si="228"/>
        <v>3.8870431893687711E-2</v>
      </c>
      <c r="AK85" s="2102">
        <f t="shared" si="228"/>
        <v>4.1573393028461782E-2</v>
      </c>
      <c r="AL85" s="2044"/>
    </row>
    <row r="86" spans="2:38" s="2043" customFormat="1" ht="12">
      <c r="B86" s="2101" t="s">
        <v>303</v>
      </c>
      <c r="C86" s="2101"/>
      <c r="D86" s="2101">
        <f t="shared" ref="D86:X86" si="229">D84/D$5</f>
        <v>0.12189499563450547</v>
      </c>
      <c r="E86" s="2101">
        <f t="shared" si="229"/>
        <v>0.10198859168822999</v>
      </c>
      <c r="F86" s="2101">
        <f t="shared" si="229"/>
        <v>0.11600918800856733</v>
      </c>
      <c r="G86" s="2101"/>
      <c r="H86" s="2101"/>
      <c r="I86" s="2101"/>
      <c r="J86" s="2101">
        <f t="shared" si="229"/>
        <v>0.1052878993443868</v>
      </c>
      <c r="K86" s="2101">
        <f t="shared" si="229"/>
        <v>0.20457541292936721</v>
      </c>
      <c r="L86" s="2101">
        <f t="shared" si="229"/>
        <v>0.1774982456140351</v>
      </c>
      <c r="M86" s="2101">
        <f t="shared" si="229"/>
        <v>0.12355172413793103</v>
      </c>
      <c r="N86" s="2101">
        <f t="shared" si="229"/>
        <v>0.1490066225165563</v>
      </c>
      <c r="O86" s="2101">
        <f t="shared" si="229"/>
        <v>0.10843373493975904</v>
      </c>
      <c r="P86" s="2101">
        <f t="shared" si="229"/>
        <v>0.17615176151761516</v>
      </c>
      <c r="Q86" s="2101">
        <f t="shared" si="229"/>
        <v>0.14407988587731813</v>
      </c>
      <c r="R86" s="2101">
        <f t="shared" si="229"/>
        <v>0.20163487738419619</v>
      </c>
      <c r="S86" s="2101">
        <f t="shared" si="229"/>
        <v>0.16860282184143888</v>
      </c>
      <c r="T86" s="2101">
        <f t="shared" si="229"/>
        <v>0.18576140507746752</v>
      </c>
      <c r="U86" s="2101">
        <f t="shared" si="229"/>
        <v>0.17513728204056045</v>
      </c>
      <c r="V86" s="2101">
        <f t="shared" si="229"/>
        <v>0.14055227561911665</v>
      </c>
      <c r="W86" s="2101">
        <f t="shared" si="229"/>
        <v>0.15563141244237785</v>
      </c>
      <c r="X86" s="2102">
        <f t="shared" si="229"/>
        <v>0.16215654872410998</v>
      </c>
      <c r="Y86" s="2102">
        <f>Y84/Y$5</f>
        <v>0.13541420614606445</v>
      </c>
      <c r="Z86" s="2102">
        <f t="shared" ref="Z86" si="230">Z84/Z$5</f>
        <v>0.11361827108235902</v>
      </c>
      <c r="AA86" s="2102">
        <f t="shared" ref="AA86:AC86" si="231">AA84/AA$5</f>
        <v>0.13772764098780166</v>
      </c>
      <c r="AB86" s="2102">
        <f t="shared" si="231"/>
        <v>0.17073569846648415</v>
      </c>
      <c r="AC86" s="2102">
        <f t="shared" si="231"/>
        <v>8.8138985110176524E-2</v>
      </c>
      <c r="AD86" s="2102">
        <f t="shared" ref="AD86:AF86" si="232">AD84/AD$5</f>
        <v>8.7888531618435156E-2</v>
      </c>
      <c r="AE86" s="2103">
        <f t="shared" ref="AE86" si="233">AE84/AE$5</f>
        <v>0.13423771914545102</v>
      </c>
      <c r="AF86" s="2104">
        <f t="shared" si="232"/>
        <v>0.1467065868263473</v>
      </c>
      <c r="AG86" s="2102">
        <f t="shared" ref="AG86:AH86" si="234">AG84/AG$5</f>
        <v>0.18829620546358744</v>
      </c>
      <c r="AH86" s="2102">
        <f t="shared" si="234"/>
        <v>0.18967423109434944</v>
      </c>
      <c r="AI86" s="2102">
        <f t="shared" ref="AI86:AJ86" si="235">AI84/AI$5</f>
        <v>0.18583688337346421</v>
      </c>
      <c r="AJ86" s="2102">
        <f t="shared" si="235"/>
        <v>0.18330500029310043</v>
      </c>
      <c r="AK86" s="2102">
        <f t="shared" ref="AK86" si="236">AK84/AK$5</f>
        <v>0.18214864940439573</v>
      </c>
      <c r="AL86" s="2044"/>
    </row>
    <row r="87" spans="2:38" s="360" customFormat="1">
      <c r="B87" s="360" t="s">
        <v>302</v>
      </c>
      <c r="D87" s="360">
        <v>14780</v>
      </c>
      <c r="E87" s="360">
        <v>12840</v>
      </c>
      <c r="F87" s="360">
        <v>14610</v>
      </c>
      <c r="J87" s="360">
        <v>31470</v>
      </c>
      <c r="K87" s="360">
        <v>97660</v>
      </c>
      <c r="L87" s="360">
        <v>37940</v>
      </c>
      <c r="M87" s="360">
        <v>29560</v>
      </c>
      <c r="N87" s="360">
        <v>67500</v>
      </c>
      <c r="Q87" s="360">
        <v>70700</v>
      </c>
      <c r="R87" s="360">
        <f t="shared" ref="R87:X87" si="237">R84*0.7</f>
        <v>51800</v>
      </c>
      <c r="S87" s="360">
        <f t="shared" si="237"/>
        <v>45762.561340740773</v>
      </c>
      <c r="T87" s="360">
        <f t="shared" si="237"/>
        <v>97777.696477831298</v>
      </c>
      <c r="U87" s="360">
        <f t="shared" si="237"/>
        <v>89862.93941501157</v>
      </c>
      <c r="V87" s="360">
        <f t="shared" si="237"/>
        <v>70444.80054030125</v>
      </c>
      <c r="W87" s="360">
        <f t="shared" si="237"/>
        <v>74843.146243539493</v>
      </c>
      <c r="X87" s="361">
        <f t="shared" si="237"/>
        <v>73894.739253576903</v>
      </c>
      <c r="Y87" s="361">
        <f t="shared" ref="Y87:AD87" si="238">Y84*0.67</f>
        <v>62560.689640829449</v>
      </c>
      <c r="Z87" s="361">
        <f t="shared" si="238"/>
        <v>57514.467444483453</v>
      </c>
      <c r="AA87" s="361">
        <f t="shared" si="238"/>
        <v>75335.885681745276</v>
      </c>
      <c r="AB87" s="361">
        <f t="shared" si="238"/>
        <v>97046.062578497571</v>
      </c>
      <c r="AC87" s="2071">
        <f t="shared" ref="AC87" si="239">AC84*0.67</f>
        <v>55153.536811422498</v>
      </c>
      <c r="AD87" s="361">
        <f t="shared" si="238"/>
        <v>54940</v>
      </c>
      <c r="AE87" s="2060">
        <f t="shared" ref="AE87" si="240">AE84*0.67</f>
        <v>113356.76380333363</v>
      </c>
      <c r="AF87" s="362">
        <f>ROUND(AF84*0.67,-2)</f>
        <v>131300</v>
      </c>
      <c r="AG87" s="361">
        <f>ROUND(AG84*0.67,-2)</f>
        <v>185200</v>
      </c>
      <c r="AH87" s="361">
        <f t="shared" ref="AH87:AK87" si="241">ROUND(AH84*0.67,-2)</f>
        <v>195400</v>
      </c>
      <c r="AI87" s="361">
        <f t="shared" si="241"/>
        <v>201700</v>
      </c>
      <c r="AJ87" s="361">
        <f t="shared" si="241"/>
        <v>209500</v>
      </c>
      <c r="AK87" s="361">
        <f t="shared" si="241"/>
        <v>218200</v>
      </c>
      <c r="AL87" s="361"/>
    </row>
    <row r="88" spans="2:38" s="2043" customFormat="1" ht="12">
      <c r="B88" s="2043" t="s">
        <v>1477</v>
      </c>
      <c r="E88" s="2043">
        <f>(E87-D87)/D87</f>
        <v>-0.13125845737483086</v>
      </c>
      <c r="F88" s="2043">
        <f>(F87-E87)/E87</f>
        <v>0.13785046728971961</v>
      </c>
      <c r="K88" s="2043">
        <f>(K87-J87)/J87</f>
        <v>2.1032729583730538</v>
      </c>
      <c r="N88" s="2043">
        <f>(N87-K87)/K87</f>
        <v>-0.30882654106082325</v>
      </c>
      <c r="O88" s="2043">
        <f>(O87-L87)/L87</f>
        <v>-1</v>
      </c>
      <c r="P88" s="2043">
        <f>(P87-M87)/M87</f>
        <v>-1</v>
      </c>
      <c r="Q88" s="2043">
        <f>(Q87-N87)/N87</f>
        <v>4.7407407407407405E-2</v>
      </c>
      <c r="T88" s="2043">
        <f>(T87-Q87)/Q87</f>
        <v>0.38299429247286138</v>
      </c>
      <c r="U88" s="2043">
        <f t="shared" ref="U88:AK88" si="242">(U87-T87)/T87</f>
        <v>-8.0946446356651547E-2</v>
      </c>
      <c r="V88" s="2043">
        <f t="shared" si="242"/>
        <v>-0.21608617524775209</v>
      </c>
      <c r="W88" s="2043">
        <f t="shared" si="242"/>
        <v>6.2436768498222425E-2</v>
      </c>
      <c r="X88" s="2044">
        <f t="shared" si="242"/>
        <v>-1.2671928393770021E-2</v>
      </c>
      <c r="Y88" s="2044">
        <f t="shared" si="242"/>
        <v>-0.15338100827250467</v>
      </c>
      <c r="Z88" s="2044">
        <f t="shared" si="242"/>
        <v>-8.0661230323980357E-2</v>
      </c>
      <c r="AA88" s="2044">
        <f t="shared" si="242"/>
        <v>0.30985974536692296</v>
      </c>
      <c r="AB88" s="2044">
        <f t="shared" si="242"/>
        <v>0.28817842519919973</v>
      </c>
      <c r="AC88" s="1962">
        <f>(AC87-AB87)/AB87</f>
        <v>-0.43167671777708139</v>
      </c>
      <c r="AD88" s="2044">
        <f>(AD87-AB87)/AB87</f>
        <v>-0.43387708331225983</v>
      </c>
      <c r="AE88" s="2061">
        <f>(AE87-AD87)/AD87</f>
        <v>1.063282923249611</v>
      </c>
      <c r="AF88" s="2045">
        <f>(AF87-AD87)/AD87</f>
        <v>1.3898798689479432</v>
      </c>
      <c r="AG88" s="2044">
        <f t="shared" si="242"/>
        <v>0.4105102817974105</v>
      </c>
      <c r="AH88" s="2044">
        <f t="shared" si="242"/>
        <v>5.5075593952483799E-2</v>
      </c>
      <c r="AI88" s="2044">
        <f t="shared" si="242"/>
        <v>3.2241555783009211E-2</v>
      </c>
      <c r="AJ88" s="2044">
        <f t="shared" si="242"/>
        <v>3.867129400099157E-2</v>
      </c>
      <c r="AK88" s="2044">
        <f t="shared" si="242"/>
        <v>4.1527446300715989E-2</v>
      </c>
      <c r="AL88" s="2044"/>
    </row>
    <row r="89" spans="2:38" s="2043" customFormat="1" ht="12">
      <c r="B89" s="2043" t="s">
        <v>299</v>
      </c>
      <c r="D89" s="2043">
        <f>D87/D$10</f>
        <v>5.2224303028161549E-2</v>
      </c>
      <c r="E89" s="2043">
        <f>E87/E$10</f>
        <v>4.3704687021341775E-2</v>
      </c>
      <c r="F89" s="2043">
        <f>F87/F$10</f>
        <v>4.9069658090951838E-2</v>
      </c>
      <c r="J89" s="2043">
        <f t="shared" ref="J89:AK89" si="243">J87/J$10</f>
        <v>7.1143886079354707E-2</v>
      </c>
      <c r="K89" s="2043">
        <f t="shared" si="243"/>
        <v>0.21310581098479062</v>
      </c>
      <c r="L89" s="2043">
        <f t="shared" si="243"/>
        <v>0.18489278752436647</v>
      </c>
      <c r="M89" s="2043">
        <f t="shared" si="243"/>
        <v>0.12870080111459423</v>
      </c>
      <c r="N89" s="2043">
        <f t="shared" si="243"/>
        <v>0.15521523178807947</v>
      </c>
      <c r="O89" s="2043">
        <f t="shared" si="243"/>
        <v>0</v>
      </c>
      <c r="P89" s="2043">
        <f t="shared" si="243"/>
        <v>0</v>
      </c>
      <c r="Q89" s="2043">
        <f t="shared" si="243"/>
        <v>0.14337978811428201</v>
      </c>
      <c r="R89" s="2043">
        <f t="shared" si="243"/>
        <v>0.20163487738419622</v>
      </c>
      <c r="S89" s="2043">
        <f t="shared" si="243"/>
        <v>0.16911759011321756</v>
      </c>
      <c r="T89" s="2043">
        <f t="shared" si="243"/>
        <v>0.18575659806891781</v>
      </c>
      <c r="U89" s="2043">
        <f t="shared" si="243"/>
        <v>0.17775953932521665</v>
      </c>
      <c r="V89" s="2043">
        <f t="shared" si="243"/>
        <v>0.14584558099181352</v>
      </c>
      <c r="W89" s="2043">
        <f t="shared" si="243"/>
        <v>0.16300411084440158</v>
      </c>
      <c r="X89" s="2044">
        <f t="shared" si="243"/>
        <v>0.17644640934085928</v>
      </c>
      <c r="Y89" s="2044">
        <f t="shared" si="243"/>
        <v>0.14102037304832926</v>
      </c>
      <c r="Z89" s="2044">
        <f t="shared" si="243"/>
        <v>0.12224940712635959</v>
      </c>
      <c r="AA89" s="2044">
        <f t="shared" si="243"/>
        <v>0.14690786907320244</v>
      </c>
      <c r="AB89" s="2044">
        <f t="shared" si="243"/>
        <v>0.18423242545958737</v>
      </c>
      <c r="AC89" s="1962">
        <f t="shared" si="243"/>
        <v>9.5185069753710799E-2</v>
      </c>
      <c r="AD89" s="2044">
        <f t="shared" si="243"/>
        <v>9.6683736657616939E-2</v>
      </c>
      <c r="AE89" s="2061">
        <f t="shared" si="243"/>
        <v>0.1437736236408097</v>
      </c>
      <c r="AF89" s="2045">
        <f t="shared" si="243"/>
        <v>0.16110429447852762</v>
      </c>
      <c r="AG89" s="2044">
        <f t="shared" si="243"/>
        <v>0.21292251092205106</v>
      </c>
      <c r="AH89" s="2044">
        <f t="shared" si="243"/>
        <v>0.2140197152245345</v>
      </c>
      <c r="AI89" s="2044">
        <f t="shared" si="243"/>
        <v>0.20934094447327453</v>
      </c>
      <c r="AJ89" s="2044">
        <f t="shared" si="243"/>
        <v>0.20605881774368054</v>
      </c>
      <c r="AK89" s="2044">
        <f t="shared" si="243"/>
        <v>0.20436452186943899</v>
      </c>
      <c r="AL89" s="2044"/>
    </row>
    <row r="90" spans="2:38" s="360" customFormat="1">
      <c r="B90" s="360" t="s">
        <v>301</v>
      </c>
      <c r="D90" s="360">
        <v>34503</v>
      </c>
      <c r="E90" s="360">
        <f t="shared" ref="E90:N90" si="244">E84-E87</f>
        <v>29964</v>
      </c>
      <c r="F90" s="360">
        <f t="shared" si="244"/>
        <v>34733</v>
      </c>
      <c r="J90" s="360">
        <f t="shared" si="244"/>
        <v>31467</v>
      </c>
      <c r="K90" s="360">
        <f t="shared" si="244"/>
        <v>32550</v>
      </c>
      <c r="L90" s="360">
        <f t="shared" si="244"/>
        <v>12647</v>
      </c>
      <c r="M90" s="360">
        <f t="shared" si="244"/>
        <v>9853</v>
      </c>
      <c r="N90" s="360">
        <f t="shared" si="244"/>
        <v>22500</v>
      </c>
      <c r="Q90" s="360">
        <f>Q84-Q87</f>
        <v>30300</v>
      </c>
      <c r="T90" s="360">
        <f t="shared" ref="T90:Y90" si="245">T84-T87</f>
        <v>41904.727061927711</v>
      </c>
      <c r="U90" s="360">
        <f t="shared" si="245"/>
        <v>38512.688320719244</v>
      </c>
      <c r="V90" s="360">
        <f t="shared" si="245"/>
        <v>30190.628802986263</v>
      </c>
      <c r="W90" s="360">
        <f t="shared" si="245"/>
        <v>32075.634104374083</v>
      </c>
      <c r="X90" s="361">
        <f t="shared" si="245"/>
        <v>31669.173965818685</v>
      </c>
      <c r="Y90" s="361">
        <f t="shared" si="245"/>
        <v>30813.474002199575</v>
      </c>
      <c r="Z90" s="361">
        <f t="shared" ref="Z90:AC90" si="246">Z84-Z87</f>
        <v>28328.021278626169</v>
      </c>
      <c r="AA90" s="361">
        <f t="shared" si="246"/>
        <v>37105.734738770057</v>
      </c>
      <c r="AB90" s="361">
        <f t="shared" si="246"/>
        <v>47798.806941648043</v>
      </c>
      <c r="AC90" s="2071">
        <f t="shared" si="246"/>
        <v>27165.174847417045</v>
      </c>
      <c r="AD90" s="361">
        <f t="shared" ref="AD90:AF90" si="247">AD84-AD87</f>
        <v>27060</v>
      </c>
      <c r="AE90" s="2060">
        <f t="shared" ref="AE90" si="248">AE84-AE87</f>
        <v>55832.435903134465</v>
      </c>
      <c r="AF90" s="362">
        <f t="shared" si="247"/>
        <v>64700</v>
      </c>
      <c r="AG90" s="361">
        <f t="shared" ref="AG90:AH90" si="249">AG84-AG87</f>
        <v>91200</v>
      </c>
      <c r="AH90" s="361">
        <f t="shared" si="249"/>
        <v>96300</v>
      </c>
      <c r="AI90" s="361">
        <f t="shared" ref="AI90:AJ90" si="250">AI84-AI87</f>
        <v>99300</v>
      </c>
      <c r="AJ90" s="361">
        <f t="shared" si="250"/>
        <v>103200</v>
      </c>
      <c r="AK90" s="361">
        <f t="shared" ref="AK90" si="251">AK84-AK87</f>
        <v>107500</v>
      </c>
      <c r="AL90" s="361"/>
    </row>
    <row r="91" spans="2:38" s="2043" customFormat="1" ht="12">
      <c r="B91" s="2043" t="s">
        <v>1477</v>
      </c>
      <c r="E91" s="2043">
        <f>(E90-D90)/D90</f>
        <v>-0.1315537779323537</v>
      </c>
      <c r="F91" s="2043">
        <f>(F90-E90)/E90</f>
        <v>0.1591576558536911</v>
      </c>
      <c r="K91" s="2043">
        <f>(K90-J90)/J90</f>
        <v>3.441700829440366E-2</v>
      </c>
      <c r="N91" s="2043">
        <f t="shared" ref="N91:T91" si="252">(N90-K90)/K90</f>
        <v>-0.30875576036866359</v>
      </c>
      <c r="O91" s="2043">
        <f t="shared" si="252"/>
        <v>-1</v>
      </c>
      <c r="P91" s="2043">
        <f t="shared" si="252"/>
        <v>-1</v>
      </c>
      <c r="Q91" s="2043">
        <f t="shared" si="252"/>
        <v>0.34666666666666668</v>
      </c>
      <c r="R91" s="2043" t="e">
        <f t="shared" si="252"/>
        <v>#DIV/0!</v>
      </c>
      <c r="S91" s="2043" t="e">
        <f t="shared" si="252"/>
        <v>#DIV/0!</v>
      </c>
      <c r="T91" s="2043">
        <f t="shared" si="252"/>
        <v>0.38299429247286176</v>
      </c>
      <c r="U91" s="2043">
        <f t="shared" ref="U91:AK91" si="253">(U90-T90)/T90</f>
        <v>-8.0946446356651824E-2</v>
      </c>
      <c r="V91" s="2043">
        <f t="shared" si="253"/>
        <v>-0.21608617524775178</v>
      </c>
      <c r="W91" s="2043">
        <f t="shared" si="253"/>
        <v>6.2436768498222467E-2</v>
      </c>
      <c r="X91" s="2044">
        <f t="shared" si="253"/>
        <v>-1.267192839377008E-2</v>
      </c>
      <c r="Y91" s="2044">
        <f t="shared" si="253"/>
        <v>-2.7019964731087975E-2</v>
      </c>
      <c r="Z91" s="2044">
        <f t="shared" si="253"/>
        <v>-8.0661230323980523E-2</v>
      </c>
      <c r="AA91" s="2044">
        <f t="shared" si="253"/>
        <v>0.30985974536692323</v>
      </c>
      <c r="AB91" s="2044">
        <f t="shared" si="253"/>
        <v>0.28817842519919951</v>
      </c>
      <c r="AC91" s="1962">
        <f>(AC90-AB90)/AB90</f>
        <v>-0.43167671777708133</v>
      </c>
      <c r="AD91" s="2044">
        <f>(AD90-AB90)/AB90</f>
        <v>-0.43387708331225966</v>
      </c>
      <c r="AE91" s="2061">
        <f>(AE90-AD90)/AD90</f>
        <v>1.0632829232496106</v>
      </c>
      <c r="AF91" s="2045">
        <f>(AF90-AD90)/AD90</f>
        <v>1.3909830007390982</v>
      </c>
      <c r="AG91" s="2044">
        <f t="shared" si="253"/>
        <v>0.4095826893353941</v>
      </c>
      <c r="AH91" s="2044">
        <f t="shared" si="253"/>
        <v>5.5921052631578948E-2</v>
      </c>
      <c r="AI91" s="2044">
        <f t="shared" si="253"/>
        <v>3.1152647975077882E-2</v>
      </c>
      <c r="AJ91" s="2044">
        <f t="shared" si="253"/>
        <v>3.9274924471299093E-2</v>
      </c>
      <c r="AK91" s="2044">
        <f t="shared" si="253"/>
        <v>4.1666666666666664E-2</v>
      </c>
      <c r="AL91" s="2044"/>
    </row>
    <row r="92" spans="2:38" s="2043" customFormat="1" ht="12">
      <c r="B92" s="2043" t="s">
        <v>299</v>
      </c>
      <c r="D92" s="2043">
        <f>D90/D$10</f>
        <v>0.12191441998515953</v>
      </c>
      <c r="E92" s="2043">
        <f>E90/E$10</f>
        <v>0.10199121821709384</v>
      </c>
      <c r="F92" s="2043">
        <f>F90/F$10</f>
        <v>0.11665547121649762</v>
      </c>
      <c r="J92" s="2043">
        <f t="shared" ref="J92:AK92" si="254">J90/J$10</f>
        <v>7.1137104012044955E-2</v>
      </c>
      <c r="K92" s="2043">
        <f t="shared" si="254"/>
        <v>7.1027996595893247E-2</v>
      </c>
      <c r="L92" s="2043">
        <f t="shared" si="254"/>
        <v>6.1632553606237817E-2</v>
      </c>
      <c r="M92" s="2043">
        <f t="shared" si="254"/>
        <v>4.2898815743643327E-2</v>
      </c>
      <c r="N92" s="2043">
        <f t="shared" si="254"/>
        <v>5.1738410596026491E-2</v>
      </c>
      <c r="O92" s="2043">
        <f t="shared" si="254"/>
        <v>0</v>
      </c>
      <c r="P92" s="2043">
        <f t="shared" si="254"/>
        <v>0</v>
      </c>
      <c r="Q92" s="2043">
        <f t="shared" si="254"/>
        <v>6.1448480620406573E-2</v>
      </c>
      <c r="R92" s="2043">
        <f t="shared" si="254"/>
        <v>0</v>
      </c>
      <c r="S92" s="2043">
        <f t="shared" si="254"/>
        <v>0</v>
      </c>
      <c r="T92" s="2043">
        <f t="shared" si="254"/>
        <v>7.9609970600964794E-2</v>
      </c>
      <c r="U92" s="2043">
        <f t="shared" si="254"/>
        <v>7.6182659710807135E-2</v>
      </c>
      <c r="V92" s="2043">
        <f t="shared" si="254"/>
        <v>6.2505248996491528E-2</v>
      </c>
      <c r="W92" s="2043">
        <f t="shared" si="254"/>
        <v>6.9858904647600709E-2</v>
      </c>
      <c r="X92" s="2044">
        <f t="shared" si="254"/>
        <v>7.5619889717511157E-2</v>
      </c>
      <c r="Y92" s="2044">
        <f t="shared" si="254"/>
        <v>6.9457795680520379E-2</v>
      </c>
      <c r="Z92" s="2044">
        <f t="shared" si="254"/>
        <v>6.0212394554774104E-2</v>
      </c>
      <c r="AA92" s="2044">
        <f t="shared" si="254"/>
        <v>7.2357607155457915E-2</v>
      </c>
      <c r="AB92" s="2044">
        <f t="shared" si="254"/>
        <v>9.0741343883080319E-2</v>
      </c>
      <c r="AC92" s="1962">
        <f t="shared" si="254"/>
        <v>4.6882198535409786E-2</v>
      </c>
      <c r="AD92" s="2044">
        <f t="shared" si="254"/>
        <v>4.7620347905990429E-2</v>
      </c>
      <c r="AE92" s="2061">
        <f t="shared" si="254"/>
        <v>7.081387433054806E-2</v>
      </c>
      <c r="AF92" s="2045">
        <f t="shared" si="254"/>
        <v>7.9386503067484668E-2</v>
      </c>
      <c r="AG92" s="2044">
        <f t="shared" si="254"/>
        <v>0.1048516900436882</v>
      </c>
      <c r="AH92" s="2044">
        <f t="shared" si="254"/>
        <v>0.10547645125958378</v>
      </c>
      <c r="AI92" s="2044">
        <f t="shared" si="254"/>
        <v>0.10306175402179554</v>
      </c>
      <c r="AJ92" s="2044">
        <f t="shared" si="254"/>
        <v>0.10150486869282975</v>
      </c>
      <c r="AK92" s="2044">
        <f t="shared" si="254"/>
        <v>0.10068371265336705</v>
      </c>
      <c r="AL92" s="2044"/>
    </row>
    <row r="93" spans="2:38" ht="7.5" customHeight="1"/>
    <row r="94" spans="2:38">
      <c r="B94" s="2147" t="s">
        <v>298</v>
      </c>
      <c r="C94" s="2147"/>
      <c r="D94" s="2147"/>
      <c r="E94" s="2147"/>
      <c r="F94" s="2147"/>
      <c r="G94" s="2147"/>
      <c r="H94" s="2147"/>
      <c r="I94" s="2147"/>
      <c r="J94" s="2147"/>
      <c r="K94" s="2147"/>
      <c r="L94" s="2147"/>
      <c r="M94" s="2147"/>
      <c r="N94" s="2147"/>
      <c r="O94" s="2147"/>
      <c r="P94" s="2147"/>
      <c r="Q94" s="2147"/>
      <c r="R94" s="2147"/>
      <c r="S94" s="2147"/>
      <c r="T94" s="2147"/>
      <c r="U94" s="2147"/>
      <c r="V94" s="2147"/>
      <c r="W94" s="2147"/>
      <c r="X94" s="2147"/>
      <c r="Y94" s="2147"/>
      <c r="Z94" s="2147"/>
      <c r="AA94" s="2147"/>
      <c r="AB94" s="2147"/>
      <c r="AC94" s="2147"/>
      <c r="AD94" s="2147"/>
      <c r="AE94" s="2148"/>
      <c r="AF94" s="2155">
        <f>+AF97/AF99*1000</f>
        <v>195544.40617043586</v>
      </c>
      <c r="AG94" s="2149"/>
      <c r="AH94" s="2149"/>
      <c r="AI94" s="2149"/>
      <c r="AJ94" s="2149"/>
      <c r="AK94" s="2149"/>
    </row>
    <row r="95" spans="2:38">
      <c r="B95" s="1" t="s">
        <v>297</v>
      </c>
      <c r="D95" s="361">
        <f>D99*D5/1000</f>
        <v>48597.701399999998</v>
      </c>
      <c r="E95" s="361">
        <f>E99*E5/1000</f>
        <v>46166.34</v>
      </c>
      <c r="F95" s="361">
        <f>F99*F5/1000</f>
        <v>45647.166839999998</v>
      </c>
      <c r="G95" s="361"/>
      <c r="H95" s="361"/>
      <c r="I95" s="361"/>
      <c r="J95" s="361">
        <f t="shared" ref="J95:AC95" si="255">J99*J5/1000</f>
        <v>58580.578000000001</v>
      </c>
      <c r="K95" s="361">
        <f t="shared" si="255"/>
        <v>59225.301449999999</v>
      </c>
      <c r="L95" s="361">
        <f t="shared" si="255"/>
        <v>23940</v>
      </c>
      <c r="M95" s="361">
        <f t="shared" si="255"/>
        <v>26253.700000000004</v>
      </c>
      <c r="N95" s="361">
        <f t="shared" si="255"/>
        <v>50222.6</v>
      </c>
      <c r="O95" s="361">
        <f t="shared" si="255"/>
        <v>25398</v>
      </c>
      <c r="P95" s="361">
        <f t="shared" si="255"/>
        <v>28413</v>
      </c>
      <c r="Q95" s="361">
        <f t="shared" si="255"/>
        <v>57573.13</v>
      </c>
      <c r="R95" s="361">
        <f t="shared" si="255"/>
        <v>28626</v>
      </c>
      <c r="S95" s="361">
        <f t="shared" si="255"/>
        <v>34897.149539999999</v>
      </c>
      <c r="T95" s="361">
        <f t="shared" si="255"/>
        <v>71434.807627252972</v>
      </c>
      <c r="U95" s="361">
        <f t="shared" si="255"/>
        <v>74766</v>
      </c>
      <c r="V95" s="361">
        <f t="shared" si="255"/>
        <v>85920</v>
      </c>
      <c r="W95" s="361">
        <f t="shared" si="255"/>
        <v>77369.94</v>
      </c>
      <c r="X95" s="361">
        <f t="shared" si="255"/>
        <v>73035.69</v>
      </c>
      <c r="Y95" s="361">
        <f t="shared" si="255"/>
        <v>73264.136529150768</v>
      </c>
      <c r="Z95" s="361">
        <f t="shared" si="255"/>
        <v>83864.295394516143</v>
      </c>
      <c r="AA95" s="361">
        <f t="shared" si="255"/>
        <v>88988.212808507189</v>
      </c>
      <c r="AB95" s="361">
        <f t="shared" si="255"/>
        <v>93921.632374515888</v>
      </c>
      <c r="AC95" s="2071">
        <f t="shared" si="255"/>
        <v>114326.634026503</v>
      </c>
      <c r="AD95" s="361">
        <f>+Quarterly!IR10</f>
        <v>114200</v>
      </c>
      <c r="AE95" s="2060">
        <f>AE99*AE5/1000</f>
        <v>168309.81539786825</v>
      </c>
      <c r="AF95" s="362">
        <f>+Quarterly!JD10</f>
        <v>178374</v>
      </c>
      <c r="AG95" s="361">
        <f>ROUND(AG99*AG5/1000,-2)</f>
        <v>212800</v>
      </c>
      <c r="AH95" s="361">
        <f t="shared" ref="AH95:AK95" si="256">ROUND(AH99*AH5/1000,-2)</f>
        <v>223000</v>
      </c>
      <c r="AI95" s="361">
        <f t="shared" si="256"/>
        <v>234900</v>
      </c>
      <c r="AJ95" s="361">
        <f t="shared" si="256"/>
        <v>247400</v>
      </c>
      <c r="AK95" s="361">
        <f t="shared" si="256"/>
        <v>259300</v>
      </c>
      <c r="AL95" s="361"/>
    </row>
    <row r="96" spans="2:38" s="2151" customFormat="1" ht="12">
      <c r="B96" s="2150" t="s">
        <v>1477</v>
      </c>
      <c r="Z96" s="2151">
        <f>+Z95/Y95-1</f>
        <v>0.14468414380544448</v>
      </c>
      <c r="AA96" s="2151">
        <f>+AA95/Z95-1</f>
        <v>6.1097722098385265E-2</v>
      </c>
      <c r="AB96" s="2151">
        <f>+AB95/AA95-1</f>
        <v>5.5439022880759303E-2</v>
      </c>
      <c r="AC96" s="2011">
        <f>+AC95/AB95-1</f>
        <v>0.2172556112591979</v>
      </c>
      <c r="AD96" s="2151">
        <f>+AD95/AB95-1</f>
        <v>0.21590731669380903</v>
      </c>
      <c r="AE96" s="2152">
        <f>+AE95/AD95-1</f>
        <v>0.47381624691653457</v>
      </c>
      <c r="AF96" s="2153">
        <f>+AF95/AD95-1</f>
        <v>0.5619439579684764</v>
      </c>
      <c r="AG96" s="2151">
        <f>+AG95/AF95-1</f>
        <v>0.19299897967192536</v>
      </c>
      <c r="AH96" s="2151">
        <f>+AH95/AG95-1</f>
        <v>4.7932330827067604E-2</v>
      </c>
      <c r="AI96" s="2151">
        <f>+AI95/AH95-1</f>
        <v>5.3363228699551568E-2</v>
      </c>
      <c r="AJ96" s="2151">
        <f>+AJ95/AI95-1</f>
        <v>5.3214133673903818E-2</v>
      </c>
      <c r="AK96" s="2151">
        <f>+AK95/AJ95-1</f>
        <v>4.8100242522231218E-2</v>
      </c>
    </row>
    <row r="97" spans="2:38">
      <c r="B97" s="1" t="s">
        <v>296</v>
      </c>
      <c r="D97" s="361">
        <f t="shared" ref="D97:W97" si="257">D99*D84/1000</f>
        <v>5923.8166000000001</v>
      </c>
      <c r="E97" s="361">
        <f t="shared" si="257"/>
        <v>4708.4399999999996</v>
      </c>
      <c r="F97" s="361">
        <f t="shared" si="257"/>
        <v>5295.4907599999997</v>
      </c>
      <c r="G97" s="361"/>
      <c r="H97" s="361"/>
      <c r="I97" s="361"/>
      <c r="J97" s="361">
        <f t="shared" si="257"/>
        <v>6167.826</v>
      </c>
      <c r="K97" s="361">
        <f t="shared" si="257"/>
        <v>12116.040499999999</v>
      </c>
      <c r="L97" s="361">
        <f t="shared" si="257"/>
        <v>4249.308</v>
      </c>
      <c r="M97" s="361">
        <f t="shared" si="257"/>
        <v>3243.6899000000003</v>
      </c>
      <c r="N97" s="361">
        <f t="shared" si="257"/>
        <v>7483.5000000000009</v>
      </c>
      <c r="O97" s="361">
        <f t="shared" si="257"/>
        <v>2754</v>
      </c>
      <c r="P97" s="361">
        <f t="shared" si="257"/>
        <v>5005</v>
      </c>
      <c r="Q97" s="361">
        <f t="shared" si="257"/>
        <v>8295.1299999999992</v>
      </c>
      <c r="R97" s="361">
        <f t="shared" si="257"/>
        <v>5772</v>
      </c>
      <c r="S97" s="361">
        <f t="shared" si="257"/>
        <v>5883.7578866666718</v>
      </c>
      <c r="T97" s="361">
        <f t="shared" si="257"/>
        <v>13269.830236277105</v>
      </c>
      <c r="U97" s="361">
        <f t="shared" si="257"/>
        <v>13094.314029044543</v>
      </c>
      <c r="V97" s="361">
        <f t="shared" si="257"/>
        <v>12076.251521194501</v>
      </c>
      <c r="W97" s="361">
        <f t="shared" si="257"/>
        <v>12041.193042782028</v>
      </c>
      <c r="X97" s="361">
        <f>X99*X84/1000</f>
        <v>11843.215424083992</v>
      </c>
      <c r="Y97" s="361">
        <f t="shared" ref="Y97" si="258">Y99*Y84/1000</f>
        <v>9921.0048870718329</v>
      </c>
      <c r="Z97" s="361">
        <f>Z99*Z84/1000</f>
        <v>9528.5162482651685</v>
      </c>
      <c r="AA97" s="361">
        <f t="shared" ref="AA97:AC97" si="259">AA99*AA84/1000</f>
        <v>12256.13662583617</v>
      </c>
      <c r="AB97" s="361">
        <f t="shared" si="259"/>
        <v>16035.77550457532</v>
      </c>
      <c r="AC97" s="2071">
        <f t="shared" si="259"/>
        <v>10076.633494158548</v>
      </c>
      <c r="AD97" s="361">
        <f>+Quarterly!IR74</f>
        <v>10057</v>
      </c>
      <c r="AE97" s="2060">
        <f t="shared" ref="AE97" si="260">AE99*AE84/1000</f>
        <v>22593.525728801746</v>
      </c>
      <c r="AF97" s="362">
        <f>+Quarterly!JD74</f>
        <v>26113</v>
      </c>
      <c r="AG97" s="361">
        <f>ROUND(AG99*AG84/1000,-2)</f>
        <v>40100</v>
      </c>
      <c r="AH97" s="361">
        <f t="shared" ref="AH97:AK97" si="261">ROUND(AH99*AH84/1000,-2)</f>
        <v>42300</v>
      </c>
      <c r="AI97" s="361">
        <f t="shared" si="261"/>
        <v>43600</v>
      </c>
      <c r="AJ97" s="361">
        <f t="shared" si="261"/>
        <v>45300</v>
      </c>
      <c r="AK97" s="361">
        <f t="shared" si="261"/>
        <v>47200</v>
      </c>
      <c r="AL97" s="361"/>
    </row>
    <row r="98" spans="2:38" s="2151" customFormat="1" ht="12">
      <c r="B98" s="2150" t="s">
        <v>1477</v>
      </c>
      <c r="Z98" s="2151">
        <f>+Z97/Y97-1</f>
        <v>-3.9561379444346456E-2</v>
      </c>
      <c r="AA98" s="2151">
        <f>+AA97/Z97-1</f>
        <v>0.28625866887382512</v>
      </c>
      <c r="AB98" s="2151">
        <f>+AB97/AA97-1</f>
        <v>0.30838746287893026</v>
      </c>
      <c r="AC98" s="2011">
        <f>+AC97/AB97-1</f>
        <v>-0.37161545500038418</v>
      </c>
      <c r="AD98" s="2151">
        <f>+AD97/AB97-1</f>
        <v>-0.37283981076371753</v>
      </c>
      <c r="AE98" s="2152">
        <f>+AE97/AD97-1</f>
        <v>1.246547253535025</v>
      </c>
      <c r="AF98" s="2153">
        <f>+AF97/AD97-1</f>
        <v>1.5964999502833845</v>
      </c>
      <c r="AG98" s="2151">
        <f>+AG97/AF97-1</f>
        <v>0.53563359246352382</v>
      </c>
      <c r="AH98" s="2151">
        <f>+AH97/AG97-1</f>
        <v>5.4862842892767993E-2</v>
      </c>
      <c r="AI98" s="2151">
        <f>+AI97/AH97-1</f>
        <v>3.0732860520094496E-2</v>
      </c>
      <c r="AJ98" s="2151">
        <f>+AJ97/AI97-1</f>
        <v>3.8990825688073327E-2</v>
      </c>
      <c r="AK98" s="2151">
        <f>+AK97/AJ97-1</f>
        <v>4.1942604856512133E-2</v>
      </c>
    </row>
    <row r="99" spans="2:38">
      <c r="B99" s="2033" t="s">
        <v>295</v>
      </c>
      <c r="C99" s="2033"/>
      <c r="D99" s="2035">
        <v>120.2</v>
      </c>
      <c r="E99" s="2035">
        <v>110</v>
      </c>
      <c r="F99" s="2035">
        <v>107.32</v>
      </c>
      <c r="G99" s="2035"/>
      <c r="H99" s="2035"/>
      <c r="I99" s="2035"/>
      <c r="J99" s="2035">
        <v>98</v>
      </c>
      <c r="K99" s="2035">
        <v>93.05</v>
      </c>
      <c r="L99" s="2035">
        <v>84</v>
      </c>
      <c r="M99" s="2035">
        <v>82.300000000000011</v>
      </c>
      <c r="N99" s="2035">
        <v>83.15</v>
      </c>
      <c r="O99" s="2035">
        <v>76.5</v>
      </c>
      <c r="P99" s="2035">
        <v>77</v>
      </c>
      <c r="Q99" s="2035">
        <v>82.13</v>
      </c>
      <c r="R99" s="2035">
        <v>78</v>
      </c>
      <c r="S99" s="2035">
        <v>90</v>
      </c>
      <c r="T99" s="2035">
        <v>95</v>
      </c>
      <c r="U99" s="2035">
        <v>102</v>
      </c>
      <c r="V99" s="2035">
        <v>120</v>
      </c>
      <c r="W99" s="2035">
        <v>112.62</v>
      </c>
      <c r="X99" s="2035">
        <v>112.19</v>
      </c>
      <c r="Y99" s="2035">
        <v>106.25</v>
      </c>
      <c r="Z99" s="2035">
        <v>111</v>
      </c>
      <c r="AA99" s="2035">
        <v>109</v>
      </c>
      <c r="AB99" s="2035">
        <v>110.71</v>
      </c>
      <c r="AC99" s="2035">
        <v>122.41</v>
      </c>
      <c r="AD99" s="2035">
        <v>122.41</v>
      </c>
      <c r="AE99" s="2037">
        <v>133.54</v>
      </c>
      <c r="AF99" s="2145">
        <f>+Quarterly!JD17</f>
        <v>133.54</v>
      </c>
      <c r="AG99" s="2146">
        <f>+Quarterly!JX17</f>
        <v>145</v>
      </c>
      <c r="AH99" s="2146">
        <v>145</v>
      </c>
      <c r="AI99" s="2146">
        <f>AH99</f>
        <v>145</v>
      </c>
      <c r="AJ99" s="2146">
        <f>AI99</f>
        <v>145</v>
      </c>
      <c r="AK99" s="2146">
        <f>AJ99</f>
        <v>145</v>
      </c>
      <c r="AL99" s="367"/>
    </row>
    <row r="100" spans="2:38" s="2157" customFormat="1">
      <c r="X100" s="2144"/>
      <c r="Y100" s="2156"/>
      <c r="Z100" s="2156"/>
      <c r="AA100" s="2156"/>
      <c r="AB100" s="2156"/>
      <c r="AC100" s="2158"/>
      <c r="AD100" s="2156"/>
      <c r="AE100" s="2159"/>
      <c r="AF100" s="2160"/>
      <c r="AG100" s="2156">
        <f>+Quarterly!JX10</f>
        <v>212800</v>
      </c>
      <c r="AH100" s="2156"/>
      <c r="AI100" s="2156"/>
      <c r="AJ100" s="2156"/>
      <c r="AK100" s="2156"/>
      <c r="AL100" s="2156"/>
    </row>
    <row r="101" spans="2:38" s="2157" customFormat="1">
      <c r="B101" s="2157" t="s">
        <v>1269</v>
      </c>
      <c r="Y101" s="2156"/>
      <c r="Z101" s="2156"/>
      <c r="AA101" s="2156"/>
      <c r="AB101" s="2156"/>
      <c r="AC101" s="2156"/>
      <c r="AD101" s="2156"/>
      <c r="AE101" s="2161"/>
      <c r="AF101" s="2160">
        <f>+AF32-AF78</f>
        <v>196000</v>
      </c>
      <c r="AG101" s="2156">
        <f>+Quarterly!JX74</f>
        <v>40100</v>
      </c>
      <c r="AH101" s="2156"/>
      <c r="AI101" s="2156"/>
      <c r="AJ101" s="2156"/>
      <c r="AK101" s="2156"/>
      <c r="AL101" s="2156"/>
    </row>
    <row r="104" spans="2:38">
      <c r="Q104" s="1" t="s">
        <v>1083</v>
      </c>
      <c r="AA104" s="1">
        <v>8634</v>
      </c>
    </row>
    <row r="105" spans="2:38">
      <c r="Q105" s="1">
        <v>47</v>
      </c>
      <c r="R105" s="1" t="s">
        <v>1084</v>
      </c>
    </row>
    <row r="107" spans="2:38">
      <c r="P107" s="1" t="s">
        <v>1086</v>
      </c>
      <c r="Q107" s="1" t="s">
        <v>1085</v>
      </c>
      <c r="R107" s="1" t="s">
        <v>1087</v>
      </c>
    </row>
    <row r="108" spans="2:38">
      <c r="Q108" s="1">
        <v>200</v>
      </c>
      <c r="R108" s="1">
        <v>189</v>
      </c>
      <c r="S108" s="1">
        <v>182</v>
      </c>
    </row>
    <row r="110" spans="2:38">
      <c r="Q110" s="1">
        <f>Q108*12*$Q$105/1000</f>
        <v>112.8</v>
      </c>
      <c r="R110" s="1">
        <f>R108*12*$Q$105/1000</f>
        <v>106.596</v>
      </c>
      <c r="S110" s="1">
        <f>S108*12*$Q$105/1000</f>
        <v>102.648</v>
      </c>
    </row>
    <row r="111" spans="2:38">
      <c r="Q111" s="1" t="s">
        <v>1088</v>
      </c>
      <c r="R111" s="1">
        <f>R110-Q110</f>
        <v>-6.2039999999999935</v>
      </c>
      <c r="S111" s="1">
        <f>S110-R110</f>
        <v>-3.9480000000000075</v>
      </c>
    </row>
  </sheetData>
  <phoneticPr fontId="96"/>
  <pageMargins left="0.70866141732283472" right="0.70866141732283472" top="0.74803149606299213" bottom="0.74803149606299213" header="0.31496062992125984" footer="0.31496062992125984"/>
  <pageSetup paperSize="8" orientation="landscape" r:id="rId1"/>
  <colBreaks count="1" manualBreakCount="1">
    <brk id="16" max="110" man="1"/>
  </colBreaks>
  <customProperties>
    <customPr name="Qube.Worksheet.Visibility" r:id="rId2"/>
    <customPr name="QXL_SHEET_ID" r:id="rId3"/>
  </customProperties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Y242"/>
  <sheetViews>
    <sheetView showGridLines="0" zoomScaleNormal="100" workbookViewId="0">
      <pane xSplit="3" ySplit="11" topLeftCell="Q12" activePane="bottomRight" state="frozen"/>
      <selection pane="topRight"/>
      <selection pane="bottomLeft"/>
      <selection pane="bottomRight"/>
    </sheetView>
  </sheetViews>
  <sheetFormatPr defaultColWidth="9" defaultRowHeight="11.5" outlineLevelRow="1" outlineLevelCol="1"/>
  <cols>
    <col min="1" max="1" width="1.25" style="354" customWidth="1"/>
    <col min="2" max="2" width="29.25" style="1" customWidth="1" outlineLevel="1"/>
    <col min="3" max="3" width="26.08203125" style="1" customWidth="1"/>
    <col min="4" max="13" width="11" style="23" hidden="1" customWidth="1" outlineLevel="1"/>
    <col min="14" max="14" width="11" style="23" hidden="1" customWidth="1" outlineLevel="1" collapsed="1"/>
    <col min="15" max="16" width="11" style="23" hidden="1" customWidth="1" outlineLevel="1"/>
    <col min="17" max="17" width="8.5" style="23" hidden="1" customWidth="1" outlineLevel="1" collapsed="1"/>
    <col min="18" max="27" width="8.5" style="23" hidden="1" customWidth="1" outlineLevel="1"/>
    <col min="28" max="28" width="8.5" style="23" customWidth="1" collapsed="1"/>
    <col min="29" max="30" width="8.5" style="23" customWidth="1"/>
    <col min="31" max="31" width="8.5" style="355" customWidth="1"/>
    <col min="32" max="36" width="8.5" style="23" customWidth="1"/>
    <col min="37" max="39" width="10" style="1" customWidth="1"/>
    <col min="40" max="40" width="3.25" style="1" customWidth="1"/>
    <col min="41" max="41" width="9.08203125" style="1" customWidth="1"/>
    <col min="42" max="42" width="10" style="1" hidden="1" customWidth="1" outlineLevel="1"/>
    <col min="43" max="43" width="9" style="1" collapsed="1"/>
    <col min="44" max="45" width="9" style="1"/>
    <col min="46" max="46" width="7.08203125" style="1" customWidth="1"/>
    <col min="47" max="16384" width="9" style="23"/>
  </cols>
  <sheetData>
    <row r="1" spans="1:42" s="1" customFormat="1">
      <c r="A1" s="100"/>
      <c r="B1" s="100"/>
      <c r="C1" s="100"/>
      <c r="D1" s="186"/>
      <c r="E1" s="186"/>
      <c r="F1" s="186"/>
      <c r="G1" s="186"/>
      <c r="H1" s="186"/>
      <c r="I1" s="186"/>
      <c r="J1" s="186"/>
      <c r="K1" s="186"/>
      <c r="L1" s="186"/>
      <c r="M1" s="186"/>
      <c r="V1" s="187"/>
      <c r="W1" s="187"/>
      <c r="X1" s="187"/>
      <c r="Y1" s="187"/>
      <c r="Z1" s="187"/>
      <c r="AA1" s="187"/>
      <c r="AB1" s="188" t="s">
        <v>1390</v>
      </c>
      <c r="AC1" s="188"/>
      <c r="AD1" s="188"/>
      <c r="AE1" s="190" t="s">
        <v>1390</v>
      </c>
      <c r="AF1" s="189"/>
      <c r="AG1" s="190"/>
      <c r="AH1" s="187"/>
      <c r="AI1" s="187"/>
      <c r="AJ1" s="187"/>
    </row>
    <row r="2" spans="1:42" s="1" customFormat="1" ht="15.5">
      <c r="A2" s="2" t="s">
        <v>9</v>
      </c>
      <c r="B2" s="2"/>
      <c r="C2" s="2" t="s">
        <v>8</v>
      </c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91"/>
      <c r="AF2" s="105"/>
      <c r="AG2" s="105"/>
      <c r="AH2" s="105"/>
      <c r="AI2" s="105"/>
      <c r="AJ2" s="105"/>
    </row>
    <row r="3" spans="1:42" s="1" customFormat="1" ht="15.5">
      <c r="A3" s="2" t="s">
        <v>7</v>
      </c>
      <c r="B3" s="2"/>
      <c r="C3" s="2" t="s">
        <v>6</v>
      </c>
      <c r="D3" s="192">
        <f>'Raw Data'!D6</f>
        <v>35155</v>
      </c>
      <c r="E3" s="192">
        <f>'Raw Data'!E6</f>
        <v>35520</v>
      </c>
      <c r="F3" s="192">
        <f>'Raw Data'!F6</f>
        <v>35885</v>
      </c>
      <c r="G3" s="192">
        <f>'Raw Data'!G6</f>
        <v>36250</v>
      </c>
      <c r="H3" s="192">
        <f>'Raw Data'!H6</f>
        <v>36616</v>
      </c>
      <c r="I3" s="192">
        <f>'Raw Data'!I6</f>
        <v>36981</v>
      </c>
      <c r="J3" s="192">
        <f>'Raw Data'!J6</f>
        <v>37346</v>
      </c>
      <c r="K3" s="192">
        <f>'Raw Data'!K6</f>
        <v>37711</v>
      </c>
      <c r="L3" s="192">
        <f>'Raw Data'!L6</f>
        <v>38077</v>
      </c>
      <c r="M3" s="192">
        <f>'Raw Data'!M6</f>
        <v>38442</v>
      </c>
      <c r="N3" s="192">
        <f>'Raw Data'!N6</f>
        <v>38807</v>
      </c>
      <c r="O3" s="192">
        <f>'Raw Data'!O6</f>
        <v>39172</v>
      </c>
      <c r="P3" s="192">
        <f>'Raw Data'!P6</f>
        <v>39538</v>
      </c>
      <c r="Q3" s="192">
        <f>'Raw Data'!Q6</f>
        <v>39903</v>
      </c>
      <c r="R3" s="192">
        <f>'Raw Data'!R6</f>
        <v>40268</v>
      </c>
      <c r="S3" s="192">
        <f>'Raw Data'!S6</f>
        <v>40633</v>
      </c>
      <c r="T3" s="192">
        <f>'Raw Data'!T6</f>
        <v>40999</v>
      </c>
      <c r="U3" s="192">
        <f>'Raw Data'!U6</f>
        <v>41364</v>
      </c>
      <c r="V3" s="192">
        <f>'Raw Data'!V6</f>
        <v>41699</v>
      </c>
      <c r="W3" s="192">
        <f>'Raw Data'!W6</f>
        <v>42064</v>
      </c>
      <c r="X3" s="192">
        <f>'Raw Data'!X6</f>
        <v>42430</v>
      </c>
      <c r="Y3" s="192">
        <f>'Raw Data'!Y6</f>
        <v>42795</v>
      </c>
      <c r="Z3" s="192" t="s">
        <v>1255</v>
      </c>
      <c r="AA3" s="192" t="s">
        <v>1225</v>
      </c>
      <c r="AB3" s="192" t="s">
        <v>1289</v>
      </c>
      <c r="AC3" s="193" t="s">
        <v>1323</v>
      </c>
      <c r="AD3" s="193" t="s">
        <v>1233</v>
      </c>
      <c r="AE3" s="194" t="s">
        <v>1337</v>
      </c>
      <c r="AF3" s="193" t="s">
        <v>1282</v>
      </c>
      <c r="AG3" s="193" t="s">
        <v>1308</v>
      </c>
      <c r="AH3" s="193" t="s">
        <v>1331</v>
      </c>
      <c r="AI3" s="193" t="s">
        <v>1371</v>
      </c>
      <c r="AJ3" s="193" t="s">
        <v>1403</v>
      </c>
      <c r="AL3" s="108" t="s">
        <v>1374</v>
      </c>
      <c r="AM3" s="108" t="s">
        <v>1374</v>
      </c>
      <c r="AO3" s="108" t="s">
        <v>1337</v>
      </c>
      <c r="AP3" s="108" t="s">
        <v>1233</v>
      </c>
    </row>
    <row r="4" spans="1:42" s="199" customFormat="1">
      <c r="A4" s="195"/>
      <c r="B4" s="196"/>
      <c r="C4" s="196"/>
      <c r="D4" s="197">
        <f>'Raw Data'!D5</f>
        <v>1995</v>
      </c>
      <c r="E4" s="197">
        <f>'Raw Data'!E5</f>
        <v>1996</v>
      </c>
      <c r="F4" s="197">
        <f>'Raw Data'!F5</f>
        <v>1997</v>
      </c>
      <c r="G4" s="197">
        <f>'Raw Data'!G5</f>
        <v>1998</v>
      </c>
      <c r="H4" s="197">
        <f>'Raw Data'!H5</f>
        <v>1999</v>
      </c>
      <c r="I4" s="197">
        <f>'Raw Data'!I5</f>
        <v>2000</v>
      </c>
      <c r="J4" s="197">
        <f>'Raw Data'!J5</f>
        <v>2001</v>
      </c>
      <c r="K4" s="197">
        <f>'Raw Data'!K5</f>
        <v>2002</v>
      </c>
      <c r="L4" s="197">
        <f>'Raw Data'!L5</f>
        <v>2003</v>
      </c>
      <c r="M4" s="197">
        <f>'Raw Data'!M5</f>
        <v>2004</v>
      </c>
      <c r="N4" s="197">
        <f>'Raw Data'!N5</f>
        <v>2005</v>
      </c>
      <c r="O4" s="197">
        <f>'Raw Data'!O5</f>
        <v>2006</v>
      </c>
      <c r="P4" s="197">
        <f>'Raw Data'!P5</f>
        <v>2007</v>
      </c>
      <c r="Q4" s="197">
        <f>'Raw Data'!Q5</f>
        <v>2008</v>
      </c>
      <c r="R4" s="197">
        <f>'Raw Data'!R5</f>
        <v>2009</v>
      </c>
      <c r="S4" s="197">
        <f>'Raw Data'!S5</f>
        <v>2010</v>
      </c>
      <c r="T4" s="197">
        <f>'Raw Data'!T5</f>
        <v>2011</v>
      </c>
      <c r="U4" s="197">
        <f>'Raw Data'!U5</f>
        <v>2012</v>
      </c>
      <c r="V4" s="196">
        <v>2013</v>
      </c>
      <c r="W4" s="196">
        <v>2014</v>
      </c>
      <c r="X4" s="196">
        <f>+W4+1</f>
        <v>2015</v>
      </c>
      <c r="Y4" s="196">
        <f>+X4+1</f>
        <v>2016</v>
      </c>
      <c r="Z4" s="196">
        <v>2017</v>
      </c>
      <c r="AA4" s="196">
        <v>2018</v>
      </c>
      <c r="AB4" s="196">
        <v>2019</v>
      </c>
      <c r="AC4" s="196">
        <v>2020</v>
      </c>
      <c r="AD4" s="196">
        <v>2021</v>
      </c>
      <c r="AE4" s="198">
        <v>2022</v>
      </c>
      <c r="AF4" s="196" t="s">
        <v>1281</v>
      </c>
      <c r="AG4" s="196" t="s">
        <v>1306</v>
      </c>
      <c r="AH4" s="196" t="s">
        <v>1332</v>
      </c>
      <c r="AI4" s="196" t="s">
        <v>1369</v>
      </c>
      <c r="AJ4" s="196" t="s">
        <v>1400</v>
      </c>
      <c r="AL4" s="108" t="s">
        <v>1553</v>
      </c>
      <c r="AM4" s="108" t="s">
        <v>1432</v>
      </c>
      <c r="AO4" s="200" t="s">
        <v>1387</v>
      </c>
      <c r="AP4" s="200" t="s">
        <v>1353</v>
      </c>
    </row>
    <row r="5" spans="1:42" s="205" customFormat="1">
      <c r="A5" s="201"/>
      <c r="B5" s="202" t="s">
        <v>219</v>
      </c>
      <c r="C5" s="202" t="s">
        <v>291</v>
      </c>
      <c r="D5" s="203">
        <f t="shared" ref="D5:U5" si="0">D80</f>
        <v>0</v>
      </c>
      <c r="E5" s="203">
        <f t="shared" si="0"/>
        <v>39.664128703550091</v>
      </c>
      <c r="F5" s="203">
        <f t="shared" si="0"/>
        <v>18.64159937022238</v>
      </c>
      <c r="G5" s="203">
        <f t="shared" si="0"/>
        <v>31.240687091654731</v>
      </c>
      <c r="H5" s="203">
        <f t="shared" si="0"/>
        <v>43.11828088487335</v>
      </c>
      <c r="I5" s="203">
        <f t="shared" si="0"/>
        <v>7.5937235944495622</v>
      </c>
      <c r="J5" s="203">
        <f t="shared" si="0"/>
        <v>58.394136355593993</v>
      </c>
      <c r="K5" s="203">
        <f t="shared" si="0"/>
        <v>66.754229996500641</v>
      </c>
      <c r="L5" s="203">
        <f t="shared" si="0"/>
        <v>83.062104751842071</v>
      </c>
      <c r="M5" s="203">
        <f t="shared" si="0"/>
        <v>109.51075413999288</v>
      </c>
      <c r="N5" s="203">
        <f t="shared" si="0"/>
        <v>126.45278346625599</v>
      </c>
      <c r="O5" s="203">
        <f t="shared" si="0"/>
        <v>60.525073040709501</v>
      </c>
      <c r="P5" s="203">
        <f t="shared" si="0"/>
        <v>111.59691578362576</v>
      </c>
      <c r="Q5" s="203">
        <f t="shared" si="0"/>
        <v>135.67186273190077</v>
      </c>
      <c r="R5" s="203">
        <f t="shared" si="0"/>
        <v>181.10306287986222</v>
      </c>
      <c r="S5" s="203">
        <f t="shared" si="0"/>
        <v>121.50312846333462</v>
      </c>
      <c r="T5" s="203">
        <f t="shared" si="0"/>
        <v>157.77033894724227</v>
      </c>
      <c r="U5" s="203">
        <f t="shared" si="0"/>
        <v>169.1454402353659</v>
      </c>
      <c r="V5" s="203">
        <f t="shared" ref="V5:W5" si="1">V80</f>
        <v>222.46038919143066</v>
      </c>
      <c r="W5" s="203">
        <f t="shared" si="1"/>
        <v>165.48108281280048</v>
      </c>
      <c r="X5" s="203">
        <f t="shared" ref="X5:Y5" si="2">X80</f>
        <v>179.80039717842135</v>
      </c>
      <c r="Y5" s="203">
        <f t="shared" si="2"/>
        <v>204.02444459003243</v>
      </c>
      <c r="Z5" s="203">
        <f t="shared" ref="Z5" si="3">Z80</f>
        <v>180.46734845222346</v>
      </c>
      <c r="AA5" s="203">
        <f t="shared" ref="AA5:AB5" si="4">AA80</f>
        <v>180.53632035724533</v>
      </c>
      <c r="AB5" s="203">
        <f t="shared" si="4"/>
        <v>228.91738809245359</v>
      </c>
      <c r="AC5" s="203">
        <f t="shared" ref="AC5:AD5" si="5">AC80</f>
        <v>284.64262281521366</v>
      </c>
      <c r="AD5" s="203">
        <f t="shared" si="5"/>
        <v>219.47006117089049</v>
      </c>
      <c r="AE5" s="204">
        <f t="shared" ref="AE5" si="6">AE80</f>
        <v>324.35913929854195</v>
      </c>
      <c r="AF5" s="203">
        <f t="shared" ref="AF5:AG5" si="7">AF80</f>
        <v>477.83467883614981</v>
      </c>
      <c r="AG5" s="203">
        <f t="shared" si="7"/>
        <v>512.10560867070967</v>
      </c>
      <c r="AH5" s="203">
        <f t="shared" ref="AH5:AI5" si="8">AH80</f>
        <v>528.75148887606736</v>
      </c>
      <c r="AI5" s="203">
        <f t="shared" si="8"/>
        <v>542.45986080989132</v>
      </c>
      <c r="AJ5" s="203">
        <f t="shared" ref="AJ5" si="9">AJ80</f>
        <v>560.08491043909362</v>
      </c>
      <c r="AN5" s="140"/>
    </row>
    <row r="6" spans="1:42" s="140" customFormat="1">
      <c r="A6" s="201"/>
      <c r="B6" s="206" t="s">
        <v>219</v>
      </c>
      <c r="C6" s="206" t="s">
        <v>291</v>
      </c>
      <c r="D6" s="207">
        <f t="shared" ref="D6:U6" si="10">D81</f>
        <v>0</v>
      </c>
      <c r="E6" s="207">
        <f t="shared" si="10"/>
        <v>39.664128703550084</v>
      </c>
      <c r="F6" s="207">
        <f t="shared" si="10"/>
        <v>18.64159937022238</v>
      </c>
      <c r="G6" s="207">
        <f t="shared" si="10"/>
        <v>31.240687091654731</v>
      </c>
      <c r="H6" s="207">
        <f t="shared" si="10"/>
        <v>43.11828088487335</v>
      </c>
      <c r="I6" s="207">
        <f t="shared" si="10"/>
        <v>7.5937235944495622</v>
      </c>
      <c r="J6" s="207">
        <f t="shared" si="10"/>
        <v>58.386896140696514</v>
      </c>
      <c r="K6" s="207">
        <f t="shared" si="10"/>
        <v>66.70211366335981</v>
      </c>
      <c r="L6" s="207">
        <f t="shared" si="10"/>
        <v>81.898579526361601</v>
      </c>
      <c r="M6" s="207">
        <f t="shared" si="10"/>
        <v>109.51075413999288</v>
      </c>
      <c r="N6" s="207">
        <f t="shared" si="10"/>
        <v>126.45278346625599</v>
      </c>
      <c r="O6" s="207">
        <f t="shared" si="10"/>
        <v>55.699331258100344</v>
      </c>
      <c r="P6" s="207">
        <f t="shared" si="10"/>
        <v>102.65054863660917</v>
      </c>
      <c r="Q6" s="203">
        <f t="shared" si="10"/>
        <v>124.71924416584677</v>
      </c>
      <c r="R6" s="203">
        <f t="shared" si="10"/>
        <v>166.89958294404229</v>
      </c>
      <c r="S6" s="203">
        <f t="shared" si="10"/>
        <v>111.96683898466901</v>
      </c>
      <c r="T6" s="203">
        <f t="shared" si="10"/>
        <v>145.37200786096494</v>
      </c>
      <c r="U6" s="203">
        <f t="shared" si="10"/>
        <v>155.84268849416677</v>
      </c>
      <c r="V6" s="203">
        <f t="shared" ref="V6:W6" si="11">V81</f>
        <v>204.93133163500877</v>
      </c>
      <c r="W6" s="203">
        <f t="shared" si="11"/>
        <v>152.42461100925419</v>
      </c>
      <c r="X6" s="203">
        <f t="shared" ref="X6:Y6" si="12">X81</f>
        <v>165.60991254736021</v>
      </c>
      <c r="Y6" s="203">
        <f t="shared" si="12"/>
        <v>187.92211227736996</v>
      </c>
      <c r="Z6" s="203">
        <f t="shared" ref="Z6" si="13">Z81</f>
        <v>166.22318238634188</v>
      </c>
      <c r="AA6" s="203">
        <f t="shared" ref="AA6:AB6" si="14">AA81</f>
        <v>166.2861061491931</v>
      </c>
      <c r="AB6" s="203">
        <f t="shared" si="14"/>
        <v>210.8472167463934</v>
      </c>
      <c r="AC6" s="203">
        <f t="shared" ref="AC6:AD6" si="15">AC81</f>
        <v>262.17242110630303</v>
      </c>
      <c r="AD6" s="203">
        <f t="shared" si="15"/>
        <v>202.14456133728322</v>
      </c>
      <c r="AE6" s="204">
        <f t="shared" ref="AE6" si="16">AE81</f>
        <v>298.75259832510233</v>
      </c>
      <c r="AF6" s="203">
        <f t="shared" ref="AF6:AG6" si="17">AF81</f>
        <v>440.11129621037838</v>
      </c>
      <c r="AG6" s="203">
        <f t="shared" si="17"/>
        <v>471.67665556972929</v>
      </c>
      <c r="AH6" s="203">
        <f t="shared" ref="AH6:AI6" si="18">AH81</f>
        <v>487.00840154427118</v>
      </c>
      <c r="AI6" s="203">
        <f t="shared" si="18"/>
        <v>499.63454528801151</v>
      </c>
      <c r="AJ6" s="203">
        <f t="shared" ref="AJ6" si="19">AJ81</f>
        <v>515.86815867282053</v>
      </c>
    </row>
    <row r="7" spans="1:42" s="1" customFormat="1">
      <c r="A7" s="208"/>
      <c r="B7" s="209" t="s">
        <v>220</v>
      </c>
      <c r="C7" s="209" t="s">
        <v>290</v>
      </c>
      <c r="D7" s="210" t="e">
        <f>D5/#REF!-1</f>
        <v>#REF!</v>
      </c>
      <c r="E7" s="210" t="e">
        <f t="shared" ref="E7:Q7" si="20">E5/D5-1</f>
        <v>#DIV/0!</v>
      </c>
      <c r="F7" s="210">
        <f t="shared" si="20"/>
        <v>-0.53001364256480232</v>
      </c>
      <c r="G7" s="210">
        <f t="shared" si="20"/>
        <v>0.67585873246250627</v>
      </c>
      <c r="H7" s="210">
        <f t="shared" si="20"/>
        <v>0.38019630484988465</v>
      </c>
      <c r="I7" s="210">
        <f t="shared" si="20"/>
        <v>-0.82388621627274627</v>
      </c>
      <c r="J7" s="210">
        <f t="shared" si="20"/>
        <v>6.6897895517655783</v>
      </c>
      <c r="K7" s="210">
        <f t="shared" si="20"/>
        <v>0.14316666300187131</v>
      </c>
      <c r="L7" s="210">
        <f t="shared" si="20"/>
        <v>0.24429724912108663</v>
      </c>
      <c r="M7" s="210">
        <f t="shared" si="20"/>
        <v>0.31842016846514176</v>
      </c>
      <c r="N7" s="210">
        <f t="shared" si="20"/>
        <v>0.15470653507330701</v>
      </c>
      <c r="O7" s="210">
        <f t="shared" si="20"/>
        <v>-0.52136227150064551</v>
      </c>
      <c r="P7" s="210">
        <f t="shared" si="20"/>
        <v>0.84381298819028361</v>
      </c>
      <c r="Q7" s="210">
        <f t="shared" si="20"/>
        <v>0.21573129310270289</v>
      </c>
      <c r="R7" s="210">
        <f>R5/P5-1</f>
        <v>0.62283215094403954</v>
      </c>
      <c r="S7" s="210">
        <f t="shared" ref="S7:AJ7" si="21">S5/R5-1</f>
        <v>-0.32909401679232908</v>
      </c>
      <c r="T7" s="210">
        <f t="shared" si="21"/>
        <v>0.29848787387274411</v>
      </c>
      <c r="U7" s="210">
        <f t="shared" si="21"/>
        <v>7.2099111683644246E-2</v>
      </c>
      <c r="V7" s="210">
        <f t="shared" si="21"/>
        <v>0.31520181024021099</v>
      </c>
      <c r="W7" s="210">
        <f t="shared" si="21"/>
        <v>-0.25613236848919918</v>
      </c>
      <c r="X7" s="210">
        <f t="shared" si="21"/>
        <v>8.6531427775460745E-2</v>
      </c>
      <c r="Y7" s="210">
        <f t="shared" si="21"/>
        <v>0.13472744104993728</v>
      </c>
      <c r="Z7" s="210">
        <f t="shared" si="21"/>
        <v>-0.11546212604643868</v>
      </c>
      <c r="AA7" s="210">
        <f t="shared" si="21"/>
        <v>3.8218495264330521E-4</v>
      </c>
      <c r="AB7" s="210">
        <f t="shared" si="21"/>
        <v>0.26798523222070658</v>
      </c>
      <c r="AC7" s="210">
        <f t="shared" si="21"/>
        <v>0.24342945368682134</v>
      </c>
      <c r="AD7" s="210">
        <f t="shared" si="21"/>
        <v>-0.22896276390283388</v>
      </c>
      <c r="AE7" s="211">
        <f t="shared" si="21"/>
        <v>0.47791975619845251</v>
      </c>
      <c r="AF7" s="210">
        <f t="shared" si="21"/>
        <v>0.47316545440807856</v>
      </c>
      <c r="AG7" s="210">
        <f t="shared" si="21"/>
        <v>7.172131147540961E-2</v>
      </c>
      <c r="AH7" s="210">
        <f t="shared" si="21"/>
        <v>3.2504780114722687E-2</v>
      </c>
      <c r="AI7" s="210">
        <f t="shared" si="21"/>
        <v>2.5925925925925908E-2</v>
      </c>
      <c r="AJ7" s="210">
        <f t="shared" si="21"/>
        <v>3.2490974729241895E-2</v>
      </c>
    </row>
    <row r="8" spans="1:42" s="218" customFormat="1" outlineLevel="1">
      <c r="A8" s="212"/>
      <c r="B8" s="213" t="s">
        <v>289</v>
      </c>
      <c r="C8" s="213" t="s">
        <v>288</v>
      </c>
      <c r="D8" s="214"/>
      <c r="E8" s="214"/>
      <c r="F8" s="214"/>
      <c r="G8" s="214"/>
      <c r="H8" s="214"/>
      <c r="I8" s="214"/>
      <c r="J8" s="214"/>
      <c r="K8" s="214"/>
      <c r="L8" s="214"/>
      <c r="M8" s="214"/>
      <c r="N8" s="214"/>
      <c r="O8" s="214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233">
        <v>28262.5</v>
      </c>
      <c r="AB8" s="2233">
        <v>28262.5</v>
      </c>
      <c r="AC8" s="216">
        <v>28262.5</v>
      </c>
      <c r="AD8" s="216">
        <v>28262.5</v>
      </c>
      <c r="AE8" s="217">
        <v>30885.71</v>
      </c>
      <c r="AF8" s="216">
        <v>30885.71</v>
      </c>
      <c r="AG8" s="216">
        <v>30885.71</v>
      </c>
      <c r="AH8" s="216">
        <v>30885.71</v>
      </c>
      <c r="AI8" s="216">
        <v>30885.71</v>
      </c>
      <c r="AJ8" s="216">
        <v>30885.71</v>
      </c>
    </row>
    <row r="9" spans="1:42" s="1" customFormat="1" outlineLevel="1">
      <c r="A9" s="208"/>
      <c r="B9" s="219" t="s">
        <v>287</v>
      </c>
      <c r="C9" s="219" t="s">
        <v>286</v>
      </c>
      <c r="P9" s="210"/>
      <c r="Q9" s="210"/>
      <c r="R9" s="210"/>
      <c r="S9" s="210"/>
      <c r="T9" s="220"/>
      <c r="U9" s="210"/>
      <c r="V9" s="210"/>
      <c r="W9" s="210"/>
      <c r="X9" s="210"/>
      <c r="Y9" s="210"/>
      <c r="Z9" s="210"/>
      <c r="AA9" s="210"/>
      <c r="AB9" s="210"/>
      <c r="AC9" s="221"/>
      <c r="AD9" s="221"/>
      <c r="AE9" s="222">
        <f t="shared" ref="AE9:AF9" si="22">AE36/AE8-1</f>
        <v>0.30578186481709513</v>
      </c>
      <c r="AF9" s="221">
        <f t="shared" si="22"/>
        <v>0.92645725158981285</v>
      </c>
      <c r="AG9" s="221">
        <f t="shared" ref="AG9:AH9" si="23">AG36/AG8-1</f>
        <v>1.0721556991890426</v>
      </c>
      <c r="AH9" s="221">
        <f t="shared" si="23"/>
        <v>1.1401483080686829</v>
      </c>
      <c r="AI9" s="221">
        <f t="shared" ref="AI9:AJ9" si="24">AI36/AI8-1</f>
        <v>1.2016654303883576</v>
      </c>
      <c r="AJ9" s="221">
        <f t="shared" si="24"/>
        <v>1.2728957825479812</v>
      </c>
    </row>
    <row r="10" spans="1:42" s="1" customFormat="1">
      <c r="A10" s="208"/>
      <c r="P10" s="210"/>
      <c r="Q10" s="210"/>
      <c r="R10" s="210"/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1"/>
      <c r="AF10" s="210"/>
      <c r="AG10" s="210"/>
      <c r="AH10" s="210"/>
      <c r="AI10" s="210"/>
      <c r="AJ10" s="210"/>
    </row>
    <row r="11" spans="1:42" s="224" customFormat="1">
      <c r="A11" s="223"/>
      <c r="P11" s="225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1"/>
      <c r="AF11" s="225"/>
      <c r="AG11" s="225"/>
      <c r="AH11" s="225"/>
      <c r="AI11" s="225"/>
      <c r="AJ11" s="225"/>
    </row>
    <row r="12" spans="1:42" s="1" customFormat="1">
      <c r="A12" s="208"/>
      <c r="B12" s="25" t="s">
        <v>285</v>
      </c>
      <c r="C12" s="25" t="s">
        <v>284</v>
      </c>
      <c r="D12" s="108">
        <f t="shared" ref="D12:U12" si="25">D4</f>
        <v>1995</v>
      </c>
      <c r="E12" s="108">
        <f t="shared" si="25"/>
        <v>1996</v>
      </c>
      <c r="F12" s="108">
        <f t="shared" si="25"/>
        <v>1997</v>
      </c>
      <c r="G12" s="108">
        <f t="shared" si="25"/>
        <v>1998</v>
      </c>
      <c r="H12" s="108">
        <f t="shared" si="25"/>
        <v>1999</v>
      </c>
      <c r="I12" s="108">
        <f t="shared" si="25"/>
        <v>2000</v>
      </c>
      <c r="J12" s="108">
        <f t="shared" si="25"/>
        <v>2001</v>
      </c>
      <c r="K12" s="108">
        <f t="shared" si="25"/>
        <v>2002</v>
      </c>
      <c r="L12" s="108">
        <f t="shared" si="25"/>
        <v>2003</v>
      </c>
      <c r="M12" s="108">
        <f t="shared" si="25"/>
        <v>2004</v>
      </c>
      <c r="N12" s="108">
        <f t="shared" si="25"/>
        <v>2005</v>
      </c>
      <c r="O12" s="108">
        <f t="shared" si="25"/>
        <v>2006</v>
      </c>
      <c r="P12" s="108">
        <f t="shared" si="25"/>
        <v>2007</v>
      </c>
      <c r="Q12" s="108">
        <f t="shared" si="25"/>
        <v>2008</v>
      </c>
      <c r="R12" s="108">
        <f t="shared" si="25"/>
        <v>2009</v>
      </c>
      <c r="S12" s="108">
        <f t="shared" si="25"/>
        <v>2010</v>
      </c>
      <c r="T12" s="108">
        <f t="shared" si="25"/>
        <v>2011</v>
      </c>
      <c r="U12" s="108">
        <f t="shared" si="25"/>
        <v>2012</v>
      </c>
      <c r="V12" s="108">
        <f t="shared" ref="V12:W12" si="26">V4</f>
        <v>2013</v>
      </c>
      <c r="W12" s="108">
        <f t="shared" si="26"/>
        <v>2014</v>
      </c>
      <c r="X12" s="108">
        <f t="shared" ref="X12:Y12" si="27">X4</f>
        <v>2015</v>
      </c>
      <c r="Y12" s="108">
        <f t="shared" si="27"/>
        <v>2016</v>
      </c>
      <c r="Z12" s="108">
        <f t="shared" ref="Z12" si="28">Z4</f>
        <v>2017</v>
      </c>
      <c r="AA12" s="108">
        <f t="shared" ref="AA12:AB12" si="29">AA4</f>
        <v>2018</v>
      </c>
      <c r="AB12" s="108">
        <f t="shared" si="29"/>
        <v>2019</v>
      </c>
      <c r="AC12" s="108">
        <f t="shared" ref="AC12:AD12" si="30">AC4</f>
        <v>2020</v>
      </c>
      <c r="AD12" s="108">
        <f t="shared" si="30"/>
        <v>2021</v>
      </c>
      <c r="AE12" s="226">
        <f t="shared" ref="AE12" si="31">AE4</f>
        <v>2022</v>
      </c>
      <c r="AF12" s="108" t="str">
        <f t="shared" ref="AF12:AG12" si="32">AF4</f>
        <v>2023E</v>
      </c>
      <c r="AG12" s="108" t="str">
        <f t="shared" si="32"/>
        <v>2024E</v>
      </c>
      <c r="AH12" s="108" t="str">
        <f t="shared" ref="AH12:AI12" si="33">AH4</f>
        <v>2025E</v>
      </c>
      <c r="AI12" s="108" t="str">
        <f t="shared" si="33"/>
        <v>2026E</v>
      </c>
      <c r="AJ12" s="108" t="str">
        <f t="shared" ref="AJ12" si="34">AJ4</f>
        <v>2027E</v>
      </c>
      <c r="AK12" s="1504" t="s">
        <v>1234</v>
      </c>
      <c r="AL12" s="108" t="s">
        <v>1432</v>
      </c>
      <c r="AM12" s="108" t="s">
        <v>1432</v>
      </c>
      <c r="AO12" s="108" t="str">
        <f>AO4</f>
        <v>2022Co'E</v>
      </c>
      <c r="AP12" s="108" t="s">
        <v>1353</v>
      </c>
    </row>
    <row r="13" spans="1:42" s="23" customFormat="1">
      <c r="A13" s="208"/>
      <c r="B13" s="213"/>
      <c r="C13" s="213"/>
      <c r="D13" s="227"/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8"/>
      <c r="AF13" s="227"/>
      <c r="AG13" s="227"/>
      <c r="AH13" s="227"/>
      <c r="AI13" s="227"/>
      <c r="AJ13" s="227"/>
    </row>
    <row r="14" spans="1:42">
      <c r="A14" s="229"/>
      <c r="B14" s="2215" t="s">
        <v>283</v>
      </c>
      <c r="C14" s="2216" t="s">
        <v>282</v>
      </c>
      <c r="D14" s="2217">
        <f>+'Raw Data'!D9</f>
        <v>0</v>
      </c>
      <c r="E14" s="2217">
        <f>+'Raw Data'!E9</f>
        <v>305574</v>
      </c>
      <c r="F14" s="2217">
        <f>+'Raw Data'!F9</f>
        <v>314257</v>
      </c>
      <c r="G14" s="2217">
        <f>+'Raw Data'!G9</f>
        <v>302821</v>
      </c>
      <c r="H14" s="2217">
        <f>+'Raw Data'!H9</f>
        <v>309822</v>
      </c>
      <c r="I14" s="2217">
        <f>+'Raw Data'!I9</f>
        <v>319035</v>
      </c>
      <c r="J14" s="2217">
        <f>+'Raw Data'!J9</f>
        <v>326334</v>
      </c>
      <c r="K14" s="2217">
        <f>+'Raw Data'!K9</f>
        <v>319373</v>
      </c>
      <c r="L14" s="2217">
        <f>+'Raw Data'!L9</f>
        <v>310292</v>
      </c>
      <c r="M14" s="2217">
        <f>+'Raw Data'!M9</f>
        <v>307561</v>
      </c>
      <c r="N14" s="2217">
        <f>+'Raw Data'!N9</f>
        <v>325679</v>
      </c>
      <c r="O14" s="2217">
        <f>+'Raw Data'!O9</f>
        <v>321356</v>
      </c>
      <c r="P14" s="2217">
        <f>+'Raw Data'!P9</f>
        <v>314744</v>
      </c>
      <c r="Q14" s="2215">
        <f>+'Raw Data'!Q9</f>
        <v>322063</v>
      </c>
      <c r="R14" s="2215">
        <f>+'Raw Data'!R9</f>
        <v>315337</v>
      </c>
      <c r="S14" s="2215">
        <f>+'Raw Data'!S9</f>
        <v>305911</v>
      </c>
      <c r="T14" s="2215">
        <f>+'Raw Data'!T9</f>
        <v>320988</v>
      </c>
      <c r="U14" s="2215">
        <f>+'Raw Data'!U9</f>
        <v>344527</v>
      </c>
      <c r="V14" s="2215">
        <f>+'Raw Data'!V9</f>
        <v>372231</v>
      </c>
      <c r="W14" s="2215">
        <f>+'Raw Data'!W9</f>
        <v>381259</v>
      </c>
      <c r="X14" s="2215">
        <f>+'Raw Data'!X9</f>
        <v>383276</v>
      </c>
      <c r="Y14" s="2215">
        <f>+'Raw Data'!Y9</f>
        <v>382678</v>
      </c>
      <c r="Z14" s="2215">
        <f>+'Raw Data'!Z9</f>
        <v>388797</v>
      </c>
      <c r="AA14" s="2215">
        <f>+'Raw Data'!AA9</f>
        <v>401064</v>
      </c>
      <c r="AB14" s="2215">
        <f>+'Raw Data'!AB9</f>
        <v>416031</v>
      </c>
      <c r="AC14" s="2215">
        <f>+'Raw Data'!AC9</f>
        <v>417511</v>
      </c>
      <c r="AD14" s="2215">
        <f>+'Raw Data'!AD9</f>
        <v>361495</v>
      </c>
      <c r="AE14" s="2228">
        <f>+'Raw Data'!AE9</f>
        <v>435786</v>
      </c>
      <c r="AF14" s="2215">
        <f>+Driver!AL12</f>
        <v>480500</v>
      </c>
      <c r="AG14" s="2215">
        <f>+Driver!AM12</f>
        <v>496100</v>
      </c>
      <c r="AH14" s="2215">
        <f>+Driver!AN12</f>
        <v>511000</v>
      </c>
      <c r="AI14" s="2215">
        <f>+Driver!AO12</f>
        <v>527300</v>
      </c>
      <c r="AJ14" s="2215">
        <f>+Driver!AP12</f>
        <v>542400</v>
      </c>
      <c r="AK14" s="230">
        <f>(AD14/Y14)^(1/5)-1</f>
        <v>-1.1324528128184408E-2</v>
      </c>
      <c r="AL14" s="31">
        <v>466000</v>
      </c>
      <c r="AM14" s="31">
        <v>466000</v>
      </c>
      <c r="AN14" s="230"/>
      <c r="AO14" s="31">
        <f>Quarterly!KM5</f>
        <v>443000</v>
      </c>
      <c r="AP14" s="31">
        <v>0</v>
      </c>
    </row>
    <row r="15" spans="1:42" s="239" customFormat="1">
      <c r="A15" s="231"/>
      <c r="B15" s="2212" t="s">
        <v>220</v>
      </c>
      <c r="C15" s="2213" t="s">
        <v>1497</v>
      </c>
      <c r="D15" s="2218" t="str">
        <f>IF(ISERROR(D14/#REF!-1)," ",(D14/#REF!-1))</f>
        <v xml:space="preserve"> </v>
      </c>
      <c r="E15" s="2218" t="str">
        <f t="shared" ref="E15:AJ15" si="35">IF(ISERROR(E14/D14-1)," ",(E14/D14-1))</f>
        <v xml:space="preserve"> </v>
      </c>
      <c r="F15" s="2218">
        <f t="shared" si="35"/>
        <v>2.8415375653687791E-2</v>
      </c>
      <c r="G15" s="2218">
        <f t="shared" si="35"/>
        <v>-3.6390597504590172E-2</v>
      </c>
      <c r="H15" s="2218">
        <f t="shared" si="35"/>
        <v>2.3119268478738242E-2</v>
      </c>
      <c r="I15" s="2218">
        <f t="shared" si="35"/>
        <v>2.9736429304568324E-2</v>
      </c>
      <c r="J15" s="2218">
        <f t="shared" si="35"/>
        <v>2.2878367577225056E-2</v>
      </c>
      <c r="K15" s="2218">
        <f t="shared" si="35"/>
        <v>-2.1330906371999192E-2</v>
      </c>
      <c r="L15" s="2218">
        <f t="shared" si="35"/>
        <v>-2.8433837550450369E-2</v>
      </c>
      <c r="M15" s="2218">
        <f t="shared" si="35"/>
        <v>-8.8013870805563332E-3</v>
      </c>
      <c r="N15" s="2218">
        <f t="shared" si="35"/>
        <v>5.8908639261805007E-2</v>
      </c>
      <c r="O15" s="2218">
        <f t="shared" si="35"/>
        <v>-1.3273806416747802E-2</v>
      </c>
      <c r="P15" s="2218">
        <f t="shared" si="35"/>
        <v>-2.0575312114913036E-2</v>
      </c>
      <c r="Q15" s="2218">
        <f t="shared" si="35"/>
        <v>2.3253818976692209E-2</v>
      </c>
      <c r="R15" s="2219">
        <f t="shared" si="35"/>
        <v>-2.0884112735707006E-2</v>
      </c>
      <c r="S15" s="2219">
        <f t="shared" si="35"/>
        <v>-2.9891830010433273E-2</v>
      </c>
      <c r="T15" s="2218">
        <f t="shared" si="35"/>
        <v>4.9285576523890873E-2</v>
      </c>
      <c r="U15" s="2218">
        <f t="shared" si="35"/>
        <v>7.3332959487582006E-2</v>
      </c>
      <c r="V15" s="2219">
        <f t="shared" si="35"/>
        <v>8.0411694874422013E-2</v>
      </c>
      <c r="W15" s="2219">
        <f t="shared" si="35"/>
        <v>2.4253756403953552E-2</v>
      </c>
      <c r="X15" s="2219">
        <f t="shared" si="35"/>
        <v>5.290366915928546E-3</v>
      </c>
      <c r="Y15" s="2219">
        <f t="shared" si="35"/>
        <v>-1.5602333566411275E-3</v>
      </c>
      <c r="Z15" s="2219">
        <f t="shared" si="35"/>
        <v>1.5989944548680635E-2</v>
      </c>
      <c r="AA15" s="2219">
        <f t="shared" si="35"/>
        <v>3.1551169376306865E-2</v>
      </c>
      <c r="AB15" s="2219">
        <f t="shared" si="35"/>
        <v>3.731823349889285E-2</v>
      </c>
      <c r="AC15" s="2219">
        <f t="shared" si="35"/>
        <v>3.5574272109530902E-3</v>
      </c>
      <c r="AD15" s="2219">
        <f t="shared" si="35"/>
        <v>-0.13416652495383352</v>
      </c>
      <c r="AE15" s="2220">
        <f t="shared" si="35"/>
        <v>0.20551044966043786</v>
      </c>
      <c r="AF15" s="2219">
        <f t="shared" si="35"/>
        <v>0.10260540724116884</v>
      </c>
      <c r="AG15" s="2219">
        <f t="shared" si="35"/>
        <v>3.2466181061394428E-2</v>
      </c>
      <c r="AH15" s="2219">
        <f t="shared" si="35"/>
        <v>3.0034267284821503E-2</v>
      </c>
      <c r="AI15" s="2219">
        <f t="shared" si="35"/>
        <v>3.1898238747553709E-2</v>
      </c>
      <c r="AJ15" s="2219">
        <f t="shared" si="35"/>
        <v>2.8636449838801425E-2</v>
      </c>
      <c r="AK15" s="237"/>
      <c r="AL15" s="238"/>
      <c r="AM15" s="238"/>
      <c r="AN15" s="237"/>
      <c r="AO15" s="238">
        <f>(AO14-AD14)/AD14</f>
        <v>0.22546646564959405</v>
      </c>
      <c r="AP15" s="238">
        <v>-1</v>
      </c>
    </row>
    <row r="16" spans="1:42" s="239" customFormat="1">
      <c r="A16" s="231"/>
      <c r="B16" s="2212" t="s">
        <v>1498</v>
      </c>
      <c r="C16" s="2214" t="s">
        <v>1498</v>
      </c>
      <c r="D16" s="2218"/>
      <c r="E16" s="2218"/>
      <c r="F16" s="2218"/>
      <c r="G16" s="2218"/>
      <c r="H16" s="2218"/>
      <c r="I16" s="2218"/>
      <c r="J16" s="2218"/>
      <c r="K16" s="2218"/>
      <c r="L16" s="2218"/>
      <c r="M16" s="2218"/>
      <c r="N16" s="2218"/>
      <c r="O16" s="2218">
        <f t="shared" ref="O16:AH16" si="36">+(O14/L14)^(0.333333333333333)-1</f>
        <v>1.1747045334133954E-2</v>
      </c>
      <c r="P16" s="2218">
        <f t="shared" si="36"/>
        <v>7.7250750874511276E-3</v>
      </c>
      <c r="Q16" s="2218">
        <f t="shared" si="36"/>
        <v>-3.7147681505378394E-3</v>
      </c>
      <c r="R16" s="2219">
        <f t="shared" si="36"/>
        <v>-6.2827255068896859E-3</v>
      </c>
      <c r="S16" s="2219">
        <f t="shared" si="36"/>
        <v>-9.443593212470458E-3</v>
      </c>
      <c r="T16" s="2218">
        <f t="shared" si="36"/>
        <v>-1.1138589738111104E-3</v>
      </c>
      <c r="U16" s="2218">
        <f t="shared" si="36"/>
        <v>2.9949924983032838E-2</v>
      </c>
      <c r="V16" s="2219">
        <f t="shared" si="36"/>
        <v>6.7593239862719479E-2</v>
      </c>
      <c r="W16" s="2219">
        <f t="shared" si="36"/>
        <v>5.9035298854657414E-2</v>
      </c>
      <c r="X16" s="2219">
        <f t="shared" si="36"/>
        <v>3.6166278542896002E-2</v>
      </c>
      <c r="Y16" s="2219">
        <f t="shared" si="36"/>
        <v>9.2691197328493846E-3</v>
      </c>
      <c r="Z16" s="2219">
        <f t="shared" si="36"/>
        <v>6.547482426550344E-3</v>
      </c>
      <c r="AA16" s="2219">
        <f t="shared" si="36"/>
        <v>1.5236800661693417E-2</v>
      </c>
      <c r="AB16" s="2219">
        <f t="shared" si="36"/>
        <v>2.8246876809452148E-2</v>
      </c>
      <c r="AC16" s="2219">
        <f t="shared" si="36"/>
        <v>2.4035483883949604E-2</v>
      </c>
      <c r="AD16" s="2219">
        <f t="shared" si="36"/>
        <v>-3.4031707146716106E-2</v>
      </c>
      <c r="AE16" s="2220">
        <f t="shared" si="36"/>
        <v>1.5584024028711285E-2</v>
      </c>
      <c r="AF16" s="2219">
        <f t="shared" si="36"/>
        <v>4.7953043478288215E-2</v>
      </c>
      <c r="AG16" s="2219">
        <f t="shared" si="36"/>
        <v>0.111276961298449</v>
      </c>
      <c r="AH16" s="2219">
        <f t="shared" si="36"/>
        <v>5.4506372794055569E-2</v>
      </c>
      <c r="AI16" s="2219">
        <f t="shared" ref="AI16" si="37">+(AI14/AF14)^(0.333333333333333)-1</f>
        <v>3.1465705787112386E-2</v>
      </c>
      <c r="AJ16" s="2219">
        <f t="shared" ref="AJ16" si="38">+(AJ14/AG14)^(0.333333333333333)-1</f>
        <v>3.0188785602987656E-2</v>
      </c>
      <c r="AK16" s="237"/>
      <c r="AL16" s="238"/>
      <c r="AM16" s="238"/>
      <c r="AN16" s="237"/>
      <c r="AO16" s="238"/>
      <c r="AP16" s="238"/>
    </row>
    <row r="17" spans="1:42" s="239" customFormat="1">
      <c r="A17" s="231"/>
      <c r="B17" s="2212" t="s">
        <v>1499</v>
      </c>
      <c r="C17" s="2214" t="s">
        <v>1499</v>
      </c>
      <c r="D17" s="2218"/>
      <c r="E17" s="2218"/>
      <c r="F17" s="2218"/>
      <c r="G17" s="2218"/>
      <c r="H17" s="2218"/>
      <c r="I17" s="2218"/>
      <c r="J17" s="2218"/>
      <c r="K17" s="2218"/>
      <c r="L17" s="2218"/>
      <c r="M17" s="2218"/>
      <c r="N17" s="2218"/>
      <c r="O17" s="2218">
        <f t="shared" ref="O17:AH17" si="39">+(O14/J14)^(0.2)-1</f>
        <v>-3.0696497389743893E-3</v>
      </c>
      <c r="P17" s="2218">
        <f t="shared" si="39"/>
        <v>-2.9157586373331768E-3</v>
      </c>
      <c r="Q17" s="2218">
        <f t="shared" si="39"/>
        <v>7.474473248980873E-3</v>
      </c>
      <c r="R17" s="2219">
        <f t="shared" si="39"/>
        <v>5.0061826003584553E-3</v>
      </c>
      <c r="S17" s="2219">
        <f t="shared" si="39"/>
        <v>-1.2445510751587618E-2</v>
      </c>
      <c r="T17" s="2218">
        <f t="shared" si="39"/>
        <v>-2.2913446869843312E-4</v>
      </c>
      <c r="U17" s="2218">
        <f t="shared" si="39"/>
        <v>1.8247049953153072E-2</v>
      </c>
      <c r="V17" s="2219">
        <f t="shared" si="39"/>
        <v>2.9376717197523883E-2</v>
      </c>
      <c r="W17" s="2219">
        <f t="shared" si="39"/>
        <v>3.8697376188756127E-2</v>
      </c>
      <c r="X17" s="2219">
        <f t="shared" si="39"/>
        <v>4.6124338735618275E-2</v>
      </c>
      <c r="Y17" s="2219">
        <f t="shared" si="39"/>
        <v>3.5783383872275643E-2</v>
      </c>
      <c r="Z17" s="2219">
        <f t="shared" si="39"/>
        <v>2.4471611741066157E-2</v>
      </c>
      <c r="AA17" s="2219">
        <f t="shared" si="39"/>
        <v>1.5033155274128962E-2</v>
      </c>
      <c r="AB17" s="2219">
        <f t="shared" si="39"/>
        <v>1.7609417829136831E-2</v>
      </c>
      <c r="AC17" s="2219">
        <f t="shared" si="39"/>
        <v>1.7258340561567387E-2</v>
      </c>
      <c r="AD17" s="2219">
        <f t="shared" si="39"/>
        <v>-1.1324528128184408E-2</v>
      </c>
      <c r="AE17" s="2220">
        <f t="shared" si="39"/>
        <v>2.3081128305882048E-2</v>
      </c>
      <c r="AF17" s="2219">
        <f t="shared" si="39"/>
        <v>3.680227676590464E-2</v>
      </c>
      <c r="AG17" s="2219">
        <f t="shared" si="39"/>
        <v>3.5830529112202303E-2</v>
      </c>
      <c r="AH17" s="2219">
        <f t="shared" si="39"/>
        <v>4.1239405639174054E-2</v>
      </c>
      <c r="AI17" s="2219">
        <f t="shared" ref="AI17" si="40">+(AI14/AD14)^(0.2)-1</f>
        <v>7.8427851206983146E-2</v>
      </c>
      <c r="AJ17" s="2219">
        <f t="shared" ref="AJ17" si="41">+(AJ14/AE14)^(0.2)-1</f>
        <v>4.4742546305802655E-2</v>
      </c>
      <c r="AK17" s="237"/>
      <c r="AL17" s="238"/>
      <c r="AM17" s="238"/>
      <c r="AN17" s="237"/>
      <c r="AO17" s="238"/>
      <c r="AP17" s="238"/>
    </row>
    <row r="18" spans="1:42">
      <c r="A18" s="240"/>
      <c r="B18" s="218"/>
      <c r="C18" s="232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246"/>
      <c r="AF18" s="168"/>
      <c r="AG18" s="168"/>
      <c r="AH18" s="168"/>
      <c r="AI18" s="168"/>
      <c r="AJ18" s="168"/>
      <c r="AK18" s="237"/>
      <c r="AL18" s="237"/>
      <c r="AM18" s="237"/>
      <c r="AN18" s="237"/>
      <c r="AO18" s="237"/>
      <c r="AP18" s="237"/>
    </row>
    <row r="19" spans="1:42">
      <c r="A19" s="229"/>
      <c r="B19" s="132" t="s">
        <v>281</v>
      </c>
      <c r="C19" s="1" t="s">
        <v>197</v>
      </c>
      <c r="D19" s="242">
        <f>'Raw Data'!D12</f>
        <v>0</v>
      </c>
      <c r="E19" s="242">
        <f>'Raw Data'!E12</f>
        <v>-228533</v>
      </c>
      <c r="F19" s="242">
        <f>'Raw Data'!F12</f>
        <v>-235319</v>
      </c>
      <c r="G19" s="242">
        <f>'Raw Data'!G12</f>
        <v>-219316</v>
      </c>
      <c r="H19" s="242">
        <f>'Raw Data'!H12</f>
        <v>-213251</v>
      </c>
      <c r="I19" s="242">
        <f>'Raw Data'!I12</f>
        <v>-214451</v>
      </c>
      <c r="J19" s="242">
        <f>'Raw Data'!J12</f>
        <v>-216057</v>
      </c>
      <c r="K19" s="242">
        <f>'Raw Data'!K12</f>
        <v>-212850</v>
      </c>
      <c r="L19" s="242">
        <f>'Raw Data'!L12</f>
        <v>-203747</v>
      </c>
      <c r="M19" s="242">
        <f>'Raw Data'!M12</f>
        <v>-197773</v>
      </c>
      <c r="N19" s="242">
        <f>'Raw Data'!N12</f>
        <v>-207905</v>
      </c>
      <c r="O19" s="242">
        <f>'Raw Data'!O12</f>
        <v>-205365</v>
      </c>
      <c r="P19" s="242">
        <f>'Raw Data'!P12</f>
        <v>-199162</v>
      </c>
      <c r="Q19" s="233">
        <f>'Raw Data'!Q12</f>
        <v>-208620</v>
      </c>
      <c r="R19" s="233">
        <f>'Raw Data'!R12</f>
        <v>-195467</v>
      </c>
      <c r="S19" s="233">
        <f>'Raw Data'!S12</f>
        <v>-191118</v>
      </c>
      <c r="T19" s="233">
        <f>'Raw Data'!T12</f>
        <v>-202610</v>
      </c>
      <c r="U19" s="233">
        <f>'Raw Data'!U12</f>
        <v>-214908</v>
      </c>
      <c r="V19" s="233">
        <f>'Raw Data'!V12</f>
        <v>-230221</v>
      </c>
      <c r="W19" s="233">
        <f>'Raw Data'!W12</f>
        <v>-244924</v>
      </c>
      <c r="X19" s="233">
        <f>'Raw Data'!X12</f>
        <v>-240490</v>
      </c>
      <c r="Y19" s="233">
        <f>'Raw Data'!Y12</f>
        <v>-237692</v>
      </c>
      <c r="Z19" s="233">
        <f>'Raw Data'!Z12</f>
        <v>-241990</v>
      </c>
      <c r="AA19" s="233">
        <f>'Raw Data'!AA12</f>
        <v>-254754</v>
      </c>
      <c r="AB19" s="233">
        <f>'Raw Data'!AB12</f>
        <v>-261911</v>
      </c>
      <c r="AC19" s="233">
        <f>'Raw Data'!AC12</f>
        <v>-252261</v>
      </c>
      <c r="AD19" s="233">
        <f>'Raw Data'!AD12</f>
        <v>-270977</v>
      </c>
      <c r="AE19" s="244">
        <f>'Raw Data'!AE12</f>
        <v>-327744</v>
      </c>
      <c r="AF19" s="233">
        <f>+-Driver!AL13</f>
        <v>-353900</v>
      </c>
      <c r="AG19" s="233">
        <f>+-Driver!AM13</f>
        <v>-363400</v>
      </c>
      <c r="AH19" s="233">
        <f>+-Driver!AN13</f>
        <v>-374200</v>
      </c>
      <c r="AI19" s="233">
        <f>+-Driver!AO13</f>
        <v>-386300</v>
      </c>
      <c r="AJ19" s="233">
        <f>+-Driver!AP13</f>
        <v>-397200</v>
      </c>
      <c r="AK19" s="237"/>
      <c r="AL19" s="237"/>
      <c r="AM19" s="237"/>
      <c r="AN19" s="237"/>
      <c r="AO19" s="237"/>
      <c r="AP19" s="237"/>
    </row>
    <row r="20" spans="1:42">
      <c r="A20" s="229"/>
      <c r="B20" s="243" t="s">
        <v>196</v>
      </c>
      <c r="C20" s="132" t="s">
        <v>167</v>
      </c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44"/>
      <c r="AF20" s="233"/>
      <c r="AG20" s="233"/>
      <c r="AH20" s="233"/>
      <c r="AI20" s="233"/>
      <c r="AJ20" s="233"/>
      <c r="AK20" s="237"/>
      <c r="AL20" s="237"/>
      <c r="AM20" s="237"/>
      <c r="AN20" s="237"/>
      <c r="AO20" s="237"/>
      <c r="AP20" s="237"/>
    </row>
    <row r="21" spans="1:42">
      <c r="A21" s="229"/>
      <c r="B21" s="168" t="s">
        <v>280</v>
      </c>
      <c r="C21" s="245" t="s">
        <v>279</v>
      </c>
      <c r="D21" s="168">
        <f t="shared" ref="D21:U21" si="42">D19+D20</f>
        <v>0</v>
      </c>
      <c r="E21" s="168">
        <f t="shared" si="42"/>
        <v>-228533</v>
      </c>
      <c r="F21" s="168">
        <f t="shared" si="42"/>
        <v>-235319</v>
      </c>
      <c r="G21" s="168">
        <f t="shared" si="42"/>
        <v>-219316</v>
      </c>
      <c r="H21" s="168">
        <f t="shared" si="42"/>
        <v>-213251</v>
      </c>
      <c r="I21" s="168">
        <f t="shared" si="42"/>
        <v>-214451</v>
      </c>
      <c r="J21" s="168">
        <f t="shared" si="42"/>
        <v>-216057</v>
      </c>
      <c r="K21" s="168">
        <f t="shared" si="42"/>
        <v>-212850</v>
      </c>
      <c r="L21" s="168">
        <f t="shared" si="42"/>
        <v>-203747</v>
      </c>
      <c r="M21" s="168">
        <f t="shared" si="42"/>
        <v>-197773</v>
      </c>
      <c r="N21" s="168">
        <f t="shared" si="42"/>
        <v>-207905</v>
      </c>
      <c r="O21" s="168">
        <f t="shared" si="42"/>
        <v>-205365</v>
      </c>
      <c r="P21" s="168">
        <f t="shared" si="42"/>
        <v>-199162</v>
      </c>
      <c r="Q21" s="168">
        <f t="shared" si="42"/>
        <v>-208620</v>
      </c>
      <c r="R21" s="168">
        <f t="shared" si="42"/>
        <v>-195467</v>
      </c>
      <c r="S21" s="168">
        <f t="shared" si="42"/>
        <v>-191118</v>
      </c>
      <c r="T21" s="168">
        <f t="shared" si="42"/>
        <v>-202610</v>
      </c>
      <c r="U21" s="168">
        <f t="shared" si="42"/>
        <v>-214908</v>
      </c>
      <c r="V21" s="168">
        <f t="shared" ref="V21:W21" si="43">V19+V20</f>
        <v>-230221</v>
      </c>
      <c r="W21" s="168">
        <f t="shared" si="43"/>
        <v>-244924</v>
      </c>
      <c r="X21" s="168">
        <f t="shared" ref="X21:Y21" si="44">X19+X20</f>
        <v>-240490</v>
      </c>
      <c r="Y21" s="168">
        <f t="shared" si="44"/>
        <v>-237692</v>
      </c>
      <c r="Z21" s="168">
        <f t="shared" ref="Z21:AA21" si="45">Z19+Z20</f>
        <v>-241990</v>
      </c>
      <c r="AA21" s="168">
        <f t="shared" si="45"/>
        <v>-254754</v>
      </c>
      <c r="AB21" s="168">
        <f t="shared" ref="AB21:AC21" si="46">AB19+AB20</f>
        <v>-261911</v>
      </c>
      <c r="AC21" s="168">
        <f t="shared" si="46"/>
        <v>-252261</v>
      </c>
      <c r="AD21" s="168">
        <f t="shared" ref="AD21:AE21" si="47">AD19+AD20</f>
        <v>-270977</v>
      </c>
      <c r="AE21" s="246">
        <f t="shared" si="47"/>
        <v>-327744</v>
      </c>
      <c r="AF21" s="168">
        <f t="shared" ref="AF21:AG21" si="48">AF19+AF20</f>
        <v>-353900</v>
      </c>
      <c r="AG21" s="168">
        <f t="shared" si="48"/>
        <v>-363400</v>
      </c>
      <c r="AH21" s="168">
        <f t="shared" ref="AH21:AI21" si="49">AH19+AH20</f>
        <v>-374200</v>
      </c>
      <c r="AI21" s="168">
        <f t="shared" si="49"/>
        <v>-386300</v>
      </c>
      <c r="AJ21" s="168">
        <f t="shared" ref="AJ21" si="50">AJ19+AJ20</f>
        <v>-397200</v>
      </c>
      <c r="AK21" s="237"/>
      <c r="AL21" s="237"/>
      <c r="AM21" s="237"/>
      <c r="AN21" s="237"/>
      <c r="AO21" s="237"/>
      <c r="AP21" s="237"/>
    </row>
    <row r="22" spans="1:42">
      <c r="A22" s="229"/>
      <c r="B22" s="23"/>
      <c r="C22" s="2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233"/>
      <c r="W22" s="233"/>
      <c r="X22" s="233"/>
      <c r="Y22" s="233"/>
      <c r="Z22" s="233"/>
      <c r="AA22" s="233"/>
      <c r="AB22" s="233"/>
      <c r="AC22" s="233"/>
      <c r="AD22" s="233"/>
      <c r="AE22" s="244"/>
      <c r="AF22" s="233"/>
      <c r="AG22" s="233"/>
      <c r="AH22" s="233"/>
      <c r="AI22" s="233"/>
      <c r="AJ22" s="233"/>
      <c r="AK22" s="237"/>
      <c r="AL22" s="237"/>
      <c r="AM22" s="237"/>
      <c r="AN22" s="237"/>
      <c r="AO22" s="237"/>
      <c r="AP22" s="237"/>
    </row>
    <row r="23" spans="1:42">
      <c r="A23" s="229"/>
      <c r="B23" s="169" t="s">
        <v>278</v>
      </c>
      <c r="C23" s="169" t="s">
        <v>192</v>
      </c>
      <c r="D23" s="247">
        <f>+'Raw Data'!D16</f>
        <v>0</v>
      </c>
      <c r="E23" s="247">
        <f>+'Raw Data'!E16</f>
        <v>77041</v>
      </c>
      <c r="F23" s="247">
        <f>+'Raw Data'!F16</f>
        <v>78938</v>
      </c>
      <c r="G23" s="247">
        <f>+'Raw Data'!G16</f>
        <v>83505</v>
      </c>
      <c r="H23" s="247">
        <f>+'Raw Data'!H16</f>
        <v>96571</v>
      </c>
      <c r="I23" s="247">
        <f>+'Raw Data'!I16</f>
        <v>104584</v>
      </c>
      <c r="J23" s="247">
        <f>+'Raw Data'!J16</f>
        <v>110277</v>
      </c>
      <c r="K23" s="247">
        <f>+'Raw Data'!K16</f>
        <v>106523</v>
      </c>
      <c r="L23" s="247">
        <f>+'Raw Data'!L16</f>
        <v>106545</v>
      </c>
      <c r="M23" s="247">
        <f>+'Raw Data'!M16</f>
        <v>109788</v>
      </c>
      <c r="N23" s="247">
        <f>+'Raw Data'!N16</f>
        <v>117774</v>
      </c>
      <c r="O23" s="247">
        <f>+'Raw Data'!O16</f>
        <v>115991</v>
      </c>
      <c r="P23" s="247">
        <f>+'Raw Data'!P16</f>
        <v>115582</v>
      </c>
      <c r="Q23" s="169">
        <f>+'Raw Data'!Q16</f>
        <v>113443</v>
      </c>
      <c r="R23" s="169">
        <f>+'Raw Data'!R16</f>
        <v>119870</v>
      </c>
      <c r="S23" s="169">
        <f>+'Raw Data'!S16</f>
        <v>114793</v>
      </c>
      <c r="T23" s="169">
        <f>+'Raw Data'!T16</f>
        <v>118378</v>
      </c>
      <c r="U23" s="169">
        <f>+'Raw Data'!U16</f>
        <v>129619</v>
      </c>
      <c r="V23" s="169">
        <f>+'Raw Data'!V16</f>
        <v>142010</v>
      </c>
      <c r="W23" s="169">
        <f>+'Raw Data'!W16</f>
        <v>136335</v>
      </c>
      <c r="X23" s="169">
        <f>+'Raw Data'!X16</f>
        <v>142786</v>
      </c>
      <c r="Y23" s="248">
        <f>+'Raw Data'!Y16</f>
        <v>144986</v>
      </c>
      <c r="Z23" s="248">
        <f>+'Raw Data'!Z16</f>
        <v>146807</v>
      </c>
      <c r="AA23" s="248">
        <f>+'Raw Data'!AA16</f>
        <v>146310</v>
      </c>
      <c r="AB23" s="248">
        <f>+'Raw Data'!AB16</f>
        <v>154120</v>
      </c>
      <c r="AC23" s="248">
        <f>+'Raw Data'!AC16</f>
        <v>165250</v>
      </c>
      <c r="AD23" s="248">
        <f>+'Raw Data'!AD16</f>
        <v>90518</v>
      </c>
      <c r="AE23" s="267">
        <f>+'Raw Data'!AE16</f>
        <v>108042</v>
      </c>
      <c r="AF23" s="248">
        <f t="shared" ref="AF23:AG23" si="51">AF14+AF21</f>
        <v>126600</v>
      </c>
      <c r="AG23" s="248">
        <f t="shared" si="51"/>
        <v>132700</v>
      </c>
      <c r="AH23" s="248">
        <f t="shared" ref="AH23:AI23" si="52">AH14+AH21</f>
        <v>136800</v>
      </c>
      <c r="AI23" s="248">
        <f t="shared" si="52"/>
        <v>141000</v>
      </c>
      <c r="AJ23" s="248">
        <f t="shared" ref="AJ23" si="53">AJ14+AJ21</f>
        <v>145200</v>
      </c>
      <c r="AK23" s="237"/>
      <c r="AL23" s="237"/>
      <c r="AM23" s="237"/>
      <c r="AN23" s="237"/>
      <c r="AO23" s="237"/>
      <c r="AP23" s="237"/>
    </row>
    <row r="24" spans="1:42" s="239" customFormat="1">
      <c r="A24" s="231"/>
      <c r="B24" s="232" t="s">
        <v>1249</v>
      </c>
      <c r="C24" s="232" t="s">
        <v>1249</v>
      </c>
      <c r="D24" s="234" t="str">
        <f>IF(ISERROR(D23/#REF!-1)," ",(D23/#REF!-1))</f>
        <v xml:space="preserve"> </v>
      </c>
      <c r="E24" s="234" t="str">
        <f t="shared" ref="E24:K24" si="54">IF(ISERROR(E23/D23-1)," ",(E23/D23-1))</f>
        <v xml:space="preserve"> </v>
      </c>
      <c r="F24" s="234">
        <f t="shared" si="54"/>
        <v>2.4623252553835018E-2</v>
      </c>
      <c r="G24" s="234">
        <f t="shared" si="54"/>
        <v>5.7855532189819758E-2</v>
      </c>
      <c r="H24" s="234">
        <f t="shared" si="54"/>
        <v>0.15646967247470212</v>
      </c>
      <c r="I24" s="234">
        <f t="shared" si="54"/>
        <v>8.2975220304232211E-2</v>
      </c>
      <c r="J24" s="234">
        <f t="shared" si="54"/>
        <v>5.4434712766771254E-2</v>
      </c>
      <c r="K24" s="234">
        <f t="shared" si="54"/>
        <v>-3.4041549915213465E-2</v>
      </c>
      <c r="L24" s="234">
        <f t="shared" ref="L24:U24" si="55">L23/L14</f>
        <v>0.34337011589083832</v>
      </c>
      <c r="M24" s="234">
        <f t="shared" si="55"/>
        <v>0.35696333410282838</v>
      </c>
      <c r="N24" s="234">
        <f t="shared" si="55"/>
        <v>0.361626018257241</v>
      </c>
      <c r="O24" s="234">
        <f t="shared" si="55"/>
        <v>0.36094238165772541</v>
      </c>
      <c r="P24" s="234">
        <f t="shared" si="55"/>
        <v>0.36722542764913707</v>
      </c>
      <c r="Q24" s="235">
        <f t="shared" si="55"/>
        <v>0.35223853718061371</v>
      </c>
      <c r="R24" s="235">
        <f t="shared" si="55"/>
        <v>0.38013300056764665</v>
      </c>
      <c r="S24" s="235">
        <f t="shared" si="55"/>
        <v>0.3752496641179951</v>
      </c>
      <c r="T24" s="235">
        <f t="shared" si="55"/>
        <v>0.36879260283873538</v>
      </c>
      <c r="U24" s="235">
        <f t="shared" si="55"/>
        <v>0.3762230536358544</v>
      </c>
      <c r="V24" s="235">
        <f t="shared" ref="V24" si="56">V23/V14</f>
        <v>0.38151040617251114</v>
      </c>
      <c r="W24" s="235">
        <f t="shared" ref="W24:AB24" si="57">W23/W14</f>
        <v>0.35759155849435686</v>
      </c>
      <c r="X24" s="235">
        <f t="shared" si="57"/>
        <v>0.37254093655746773</v>
      </c>
      <c r="Y24" s="235">
        <f t="shared" si="57"/>
        <v>0.37887205431198029</v>
      </c>
      <c r="Z24" s="235">
        <f t="shared" si="57"/>
        <v>0.37759293410185779</v>
      </c>
      <c r="AA24" s="235">
        <f t="shared" si="57"/>
        <v>0.36480461971156725</v>
      </c>
      <c r="AB24" s="235">
        <f t="shared" si="57"/>
        <v>0.37045316334600065</v>
      </c>
      <c r="AC24" s="235">
        <f t="shared" ref="AC24:AD24" si="58">AC23/AC14</f>
        <v>0.3957979550239395</v>
      </c>
      <c r="AD24" s="235">
        <f t="shared" si="58"/>
        <v>0.25039903733108343</v>
      </c>
      <c r="AE24" s="236">
        <f t="shared" ref="AE24" si="59">AE23/AE14</f>
        <v>0.24792443997742011</v>
      </c>
      <c r="AF24" s="235">
        <f t="shared" ref="AF24:AG24" si="60">AF23/AF14</f>
        <v>0.26347554630593134</v>
      </c>
      <c r="AG24" s="235">
        <f t="shared" si="60"/>
        <v>0.26748639387220319</v>
      </c>
      <c r="AH24" s="235">
        <f t="shared" ref="AH24:AI24" si="61">AH23/AH14</f>
        <v>0.26771037181996088</v>
      </c>
      <c r="AI24" s="235">
        <f t="shared" si="61"/>
        <v>0.26739996207092737</v>
      </c>
      <c r="AJ24" s="235">
        <f t="shared" ref="AJ24" si="62">AJ23/AJ14</f>
        <v>0.26769911504424782</v>
      </c>
      <c r="AK24" s="237"/>
      <c r="AL24" s="237"/>
      <c r="AM24" s="237"/>
      <c r="AN24" s="237"/>
      <c r="AO24" s="237"/>
      <c r="AP24" s="237"/>
    </row>
    <row r="25" spans="1:42">
      <c r="A25" s="240"/>
      <c r="D25" s="168"/>
      <c r="E25" s="168"/>
      <c r="F25" s="168"/>
      <c r="G25" s="168"/>
      <c r="H25" s="168"/>
      <c r="I25" s="168"/>
      <c r="J25" s="168"/>
      <c r="K25" s="168"/>
      <c r="L25" s="168"/>
      <c r="M25" s="249">
        <f t="shared" ref="M25:P25" si="63">M24-L24</f>
        <v>1.3593218211990055E-2</v>
      </c>
      <c r="N25" s="249">
        <f t="shared" si="63"/>
        <v>4.6626841544126219E-3</v>
      </c>
      <c r="O25" s="249">
        <f t="shared" si="63"/>
        <v>-6.836365995155913E-4</v>
      </c>
      <c r="P25" s="249">
        <f t="shared" si="63"/>
        <v>6.2830459914116621E-3</v>
      </c>
      <c r="Q25" s="249"/>
      <c r="R25" s="249"/>
      <c r="S25" s="249"/>
      <c r="T25" s="249"/>
      <c r="U25" s="249"/>
      <c r="V25" s="249"/>
      <c r="W25" s="249"/>
      <c r="X25" s="249"/>
      <c r="Y25" s="249"/>
      <c r="Z25" s="249"/>
      <c r="AA25" s="249"/>
      <c r="AB25" s="249"/>
      <c r="AC25" s="249"/>
      <c r="AD25" s="249"/>
      <c r="AE25" s="250"/>
      <c r="AF25" s="249"/>
      <c r="AG25" s="249"/>
      <c r="AH25" s="249"/>
      <c r="AI25" s="249"/>
      <c r="AJ25" s="249"/>
      <c r="AK25" s="237"/>
      <c r="AL25" s="237"/>
      <c r="AM25" s="237"/>
      <c r="AN25" s="237"/>
      <c r="AO25" s="237"/>
      <c r="AP25" s="237"/>
    </row>
    <row r="26" spans="1:42">
      <c r="A26" s="229"/>
      <c r="B26" s="243" t="s">
        <v>180</v>
      </c>
      <c r="C26" s="243" t="s">
        <v>179</v>
      </c>
      <c r="D26" s="242">
        <f>'Raw Data'!D25</f>
        <v>0</v>
      </c>
      <c r="E26" s="242">
        <f>'Raw Data'!E25</f>
        <v>-67341</v>
      </c>
      <c r="F26" s="242">
        <f>'Raw Data'!F25</f>
        <v>-70173</v>
      </c>
      <c r="G26" s="242">
        <f>'Raw Data'!G25</f>
        <v>-71362</v>
      </c>
      <c r="H26" s="242">
        <f>'Raw Data'!H25</f>
        <v>-80579</v>
      </c>
      <c r="I26" s="242">
        <f>'Raw Data'!I25</f>
        <v>-88287</v>
      </c>
      <c r="J26" s="242">
        <f>'Raw Data'!J25</f>
        <v>-93779</v>
      </c>
      <c r="K26" s="242">
        <f>'Raw Data'!K25</f>
        <v>-87127</v>
      </c>
      <c r="L26" s="242">
        <f>'Raw Data'!L25</f>
        <v>-87900</v>
      </c>
      <c r="M26" s="242">
        <f>'Raw Data'!M25</f>
        <v>-89542</v>
      </c>
      <c r="N26" s="242">
        <f>'Raw Data'!N25</f>
        <v>-97838</v>
      </c>
      <c r="O26" s="242">
        <f>'Raw Data'!O25</f>
        <v>-96420</v>
      </c>
      <c r="P26" s="242">
        <f>'Raw Data'!P25</f>
        <v>-95359</v>
      </c>
      <c r="Q26" s="233">
        <f>'Raw Data'!Q25</f>
        <v>-88464</v>
      </c>
      <c r="R26" s="233">
        <f>'Raw Data'!R25</f>
        <v>-88748</v>
      </c>
      <c r="S26" s="233">
        <f>'Raw Data'!S25</f>
        <v>-88982</v>
      </c>
      <c r="T26" s="233">
        <f>'Raw Data'!T25</f>
        <v>-92863</v>
      </c>
      <c r="U26" s="233">
        <f>'Raw Data'!U25</f>
        <v>-99995</v>
      </c>
      <c r="V26" s="233">
        <f>'Raw Data'!V25</f>
        <v>-111414</v>
      </c>
      <c r="W26" s="233">
        <f>'Raw Data'!W25</f>
        <v>-111259</v>
      </c>
      <c r="X26" s="233">
        <f>'Raw Data'!X25</f>
        <v>-114472</v>
      </c>
      <c r="Y26" s="233">
        <f>'Raw Data'!Y25</f>
        <v>-115499</v>
      </c>
      <c r="Z26" s="233">
        <f>'Raw Data'!Z25</f>
        <v>-120154</v>
      </c>
      <c r="AA26" s="233">
        <f>'Raw Data'!AA25</f>
        <v>-122648</v>
      </c>
      <c r="AB26" s="233">
        <f>'Raw Data'!AB25</f>
        <v>-125771</v>
      </c>
      <c r="AC26" s="233">
        <f>'Raw Data'!AC25</f>
        <v>-128790</v>
      </c>
      <c r="AD26" s="233">
        <f>'Raw Data'!AD25</f>
        <v>-60780</v>
      </c>
      <c r="AE26" s="244">
        <f>'Raw Data'!AE25</f>
        <v>-67712</v>
      </c>
      <c r="AF26" s="233">
        <f>+-Driver!AL15</f>
        <v>-67100</v>
      </c>
      <c r="AG26" s="233">
        <f>+-Driver!AM15</f>
        <v>-68700</v>
      </c>
      <c r="AH26" s="233">
        <f>+-Driver!AN15</f>
        <v>-70700</v>
      </c>
      <c r="AI26" s="233">
        <f>+-Driver!AO15</f>
        <v>-73000</v>
      </c>
      <c r="AJ26" s="233">
        <f>+-Driver!AP15</f>
        <v>-75000</v>
      </c>
      <c r="AK26" s="237"/>
      <c r="AL26" s="237"/>
      <c r="AM26" s="237"/>
      <c r="AN26" s="237"/>
      <c r="AO26" s="237"/>
      <c r="AP26" s="237"/>
    </row>
    <row r="27" spans="1:42">
      <c r="A27" s="229"/>
      <c r="B27" s="243" t="s">
        <v>277</v>
      </c>
      <c r="C27" s="243" t="s">
        <v>194</v>
      </c>
      <c r="D27" s="242">
        <f>+'Raw Data'!D27</f>
        <v>0</v>
      </c>
      <c r="E27" s="242">
        <f>+'Raw Data'!E27</f>
        <v>-1</v>
      </c>
      <c r="F27" s="242">
        <f>+'Raw Data'!F27</f>
        <v>0</v>
      </c>
      <c r="G27" s="242">
        <f>+'Raw Data'!G27</f>
        <v>-1</v>
      </c>
      <c r="H27" s="242">
        <f>+'Raw Data'!H27</f>
        <v>-1</v>
      </c>
      <c r="I27" s="242">
        <f>+'Raw Data'!I27</f>
        <v>-1</v>
      </c>
      <c r="J27" s="242">
        <f>+'Raw Data'!J27</f>
        <v>0</v>
      </c>
      <c r="K27" s="242">
        <f>+'Raw Data'!K27</f>
        <v>-1</v>
      </c>
      <c r="L27" s="242">
        <f>+'Raw Data'!L27</f>
        <v>-1</v>
      </c>
      <c r="M27" s="242">
        <f>+'Raw Data'!M27</f>
        <v>-1</v>
      </c>
      <c r="N27" s="242">
        <f>+'Raw Data'!N27</f>
        <v>-1</v>
      </c>
      <c r="O27" s="242">
        <f>+'Raw Data'!O27</f>
        <v>-1</v>
      </c>
      <c r="P27" s="242">
        <f>+'Raw Data'!P27</f>
        <v>-1</v>
      </c>
      <c r="Q27" s="233">
        <f>+'Raw Data'!Q27</f>
        <v>-1</v>
      </c>
      <c r="R27" s="233">
        <f>+'Raw Data'!R27</f>
        <v>-1</v>
      </c>
      <c r="S27" s="233">
        <f>+'Raw Data'!S27</f>
        <v>0</v>
      </c>
      <c r="T27" s="233">
        <f>+'Raw Data'!T27</f>
        <v>-1</v>
      </c>
      <c r="U27" s="233">
        <f>+'Raw Data'!U27</f>
        <v>-1</v>
      </c>
      <c r="V27" s="233">
        <f>+'Raw Data'!V27</f>
        <v>-1</v>
      </c>
      <c r="W27" s="233">
        <f>+'Raw Data'!W27</f>
        <v>0</v>
      </c>
      <c r="X27" s="233">
        <f>+'Raw Data'!X27</f>
        <v>0</v>
      </c>
      <c r="Y27" s="233">
        <f>+'Raw Data'!Y27</f>
        <v>0</v>
      </c>
      <c r="Z27" s="233">
        <f>+'Raw Data'!Z27</f>
        <v>0</v>
      </c>
      <c r="AA27" s="233">
        <f>+'Raw Data'!AA27</f>
        <v>0</v>
      </c>
      <c r="AB27" s="233">
        <f>+'Raw Data'!AB27</f>
        <v>0</v>
      </c>
      <c r="AC27" s="233">
        <f>+'Raw Data'!AC27</f>
        <v>0</v>
      </c>
      <c r="AD27" s="233">
        <f>+'Raw Data'!AD27</f>
        <v>0</v>
      </c>
      <c r="AE27" s="244">
        <f>+'Raw Data'!AE27</f>
        <v>0</v>
      </c>
      <c r="AF27" s="233">
        <v>0</v>
      </c>
      <c r="AG27" s="233">
        <v>0</v>
      </c>
      <c r="AH27" s="233">
        <v>0</v>
      </c>
      <c r="AI27" s="233">
        <v>0</v>
      </c>
      <c r="AJ27" s="233">
        <v>0</v>
      </c>
      <c r="AK27" s="237"/>
      <c r="AL27" s="237"/>
      <c r="AM27" s="237"/>
      <c r="AN27" s="237"/>
      <c r="AO27" s="237"/>
      <c r="AP27" s="237"/>
    </row>
    <row r="28" spans="1:42">
      <c r="A28" s="229"/>
      <c r="B28" s="233" t="s">
        <v>276</v>
      </c>
      <c r="C28" s="233" t="s">
        <v>275</v>
      </c>
      <c r="D28" s="233">
        <f t="shared" ref="D28:U28" si="64">SUM(D26:D27)</f>
        <v>0</v>
      </c>
      <c r="E28" s="233">
        <f t="shared" si="64"/>
        <v>-67342</v>
      </c>
      <c r="F28" s="233">
        <f t="shared" si="64"/>
        <v>-70173</v>
      </c>
      <c r="G28" s="233">
        <f t="shared" si="64"/>
        <v>-71363</v>
      </c>
      <c r="H28" s="233">
        <f t="shared" si="64"/>
        <v>-80580</v>
      </c>
      <c r="I28" s="233">
        <f t="shared" si="64"/>
        <v>-88288</v>
      </c>
      <c r="J28" s="233">
        <f t="shared" si="64"/>
        <v>-93779</v>
      </c>
      <c r="K28" s="233">
        <f t="shared" si="64"/>
        <v>-87128</v>
      </c>
      <c r="L28" s="233">
        <f t="shared" si="64"/>
        <v>-87901</v>
      </c>
      <c r="M28" s="233">
        <f t="shared" si="64"/>
        <v>-89543</v>
      </c>
      <c r="N28" s="233">
        <f t="shared" si="64"/>
        <v>-97839</v>
      </c>
      <c r="O28" s="233">
        <f t="shared" si="64"/>
        <v>-96421</v>
      </c>
      <c r="P28" s="233">
        <f t="shared" si="64"/>
        <v>-95360</v>
      </c>
      <c r="Q28" s="233">
        <f t="shared" si="64"/>
        <v>-88465</v>
      </c>
      <c r="R28" s="233">
        <f t="shared" si="64"/>
        <v>-88749</v>
      </c>
      <c r="S28" s="233">
        <f t="shared" si="64"/>
        <v>-88982</v>
      </c>
      <c r="T28" s="233">
        <f t="shared" si="64"/>
        <v>-92864</v>
      </c>
      <c r="U28" s="233">
        <f t="shared" si="64"/>
        <v>-99996</v>
      </c>
      <c r="V28" s="233">
        <f>SUM(V26:V27)</f>
        <v>-111415</v>
      </c>
      <c r="W28" s="233">
        <f t="shared" ref="W28" si="65">SUM(W26:W27)</f>
        <v>-111259</v>
      </c>
      <c r="X28" s="233">
        <f t="shared" ref="X28:Y28" si="66">SUM(X26:X27)</f>
        <v>-114472</v>
      </c>
      <c r="Y28" s="233">
        <f t="shared" si="66"/>
        <v>-115499</v>
      </c>
      <c r="Z28" s="233">
        <f t="shared" ref="Z28:AA28" si="67">SUM(Z26:Z27)</f>
        <v>-120154</v>
      </c>
      <c r="AA28" s="233">
        <f t="shared" si="67"/>
        <v>-122648</v>
      </c>
      <c r="AB28" s="233">
        <f t="shared" ref="AB28:AC28" si="68">SUM(AB26:AB27)</f>
        <v>-125771</v>
      </c>
      <c r="AC28" s="233">
        <f t="shared" si="68"/>
        <v>-128790</v>
      </c>
      <c r="AD28" s="233">
        <f t="shared" ref="AD28:AE28" si="69">SUM(AD26:AD27)</f>
        <v>-60780</v>
      </c>
      <c r="AE28" s="244">
        <f t="shared" si="69"/>
        <v>-67712</v>
      </c>
      <c r="AF28" s="233">
        <f t="shared" ref="AF28:AG28" si="70">AF36-AF23</f>
        <v>-67100</v>
      </c>
      <c r="AG28" s="233">
        <f t="shared" si="70"/>
        <v>-68700</v>
      </c>
      <c r="AH28" s="233">
        <f t="shared" ref="AH28:AI28" si="71">AH36-AH23</f>
        <v>-70700</v>
      </c>
      <c r="AI28" s="233">
        <f t="shared" si="71"/>
        <v>-73000</v>
      </c>
      <c r="AJ28" s="233">
        <f t="shared" ref="AJ28" si="72">AJ36-AJ23</f>
        <v>-75000</v>
      </c>
      <c r="AK28" s="237"/>
      <c r="AL28" s="237"/>
      <c r="AM28" s="237"/>
      <c r="AN28" s="237"/>
      <c r="AO28" s="237"/>
      <c r="AP28" s="237"/>
    </row>
    <row r="29" spans="1:42">
      <c r="A29" s="229"/>
      <c r="B29" s="233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52">
        <f t="shared" ref="M29:AJ29" si="73">M28/L28-1</f>
        <v>1.8680106028372778E-2</v>
      </c>
      <c r="N29" s="252">
        <f t="shared" si="73"/>
        <v>9.2648224875199636E-2</v>
      </c>
      <c r="O29" s="252">
        <f t="shared" si="73"/>
        <v>-1.4493198008973973E-2</v>
      </c>
      <c r="P29" s="252">
        <f t="shared" si="73"/>
        <v>-1.1003826967154406E-2</v>
      </c>
      <c r="Q29" s="252">
        <f t="shared" si="73"/>
        <v>-7.2304949664429574E-2</v>
      </c>
      <c r="R29" s="253">
        <f t="shared" si="73"/>
        <v>3.2103091618154167E-3</v>
      </c>
      <c r="S29" s="253">
        <f t="shared" si="73"/>
        <v>2.6253816944417085E-3</v>
      </c>
      <c r="T29" s="252">
        <f t="shared" si="73"/>
        <v>4.3626800926029885E-2</v>
      </c>
      <c r="U29" s="252">
        <f t="shared" si="73"/>
        <v>7.6800482425913197E-2</v>
      </c>
      <c r="V29" s="253">
        <f t="shared" si="73"/>
        <v>0.1141945677827112</v>
      </c>
      <c r="W29" s="253">
        <f t="shared" si="73"/>
        <v>-1.40017053359065E-3</v>
      </c>
      <c r="X29" s="253">
        <f t="shared" si="73"/>
        <v>2.8878562633135374E-2</v>
      </c>
      <c r="Y29" s="253">
        <f t="shared" si="73"/>
        <v>8.9716262492138821E-3</v>
      </c>
      <c r="Z29" s="253">
        <f t="shared" si="73"/>
        <v>4.0303379250036686E-2</v>
      </c>
      <c r="AA29" s="253">
        <f t="shared" si="73"/>
        <v>2.0756695574013273E-2</v>
      </c>
      <c r="AB29" s="253">
        <f t="shared" si="73"/>
        <v>2.5463113952123084E-2</v>
      </c>
      <c r="AC29" s="253">
        <f t="shared" si="73"/>
        <v>2.4003943675410033E-2</v>
      </c>
      <c r="AD29" s="253">
        <f t="shared" si="73"/>
        <v>-0.52806894945259719</v>
      </c>
      <c r="AE29" s="254">
        <f t="shared" si="73"/>
        <v>0.11405067456400131</v>
      </c>
      <c r="AF29" s="253">
        <f t="shared" si="73"/>
        <v>-9.0382797731568543E-3</v>
      </c>
      <c r="AG29" s="253">
        <f t="shared" si="73"/>
        <v>2.3845007451564815E-2</v>
      </c>
      <c r="AH29" s="253">
        <f t="shared" si="73"/>
        <v>2.9112081513828159E-2</v>
      </c>
      <c r="AI29" s="253">
        <f t="shared" si="73"/>
        <v>3.2531824611032434E-2</v>
      </c>
      <c r="AJ29" s="253">
        <f t="shared" si="73"/>
        <v>2.7397260273972712E-2</v>
      </c>
      <c r="AK29" s="237"/>
      <c r="AL29" s="237"/>
      <c r="AM29" s="237"/>
      <c r="AN29" s="237"/>
      <c r="AO29" s="237"/>
      <c r="AP29" s="237"/>
    </row>
    <row r="30" spans="1:42">
      <c r="A30" s="255"/>
      <c r="B30" s="124" t="s">
        <v>4</v>
      </c>
      <c r="C30" s="124" t="s">
        <v>4</v>
      </c>
      <c r="D30" s="247">
        <f>+'Raw Data'!D29</f>
        <v>0</v>
      </c>
      <c r="E30" s="247">
        <f>+'Raw Data'!E29</f>
        <v>10491</v>
      </c>
      <c r="F30" s="247">
        <f>+'Raw Data'!F29</f>
        <v>9498</v>
      </c>
      <c r="G30" s="247">
        <f>+'Raw Data'!G29</f>
        <v>12948</v>
      </c>
      <c r="H30" s="247">
        <f>+'Raw Data'!H29</f>
        <v>16882</v>
      </c>
      <c r="I30" s="247">
        <f>+'Raw Data'!I29</f>
        <v>17184</v>
      </c>
      <c r="J30" s="247">
        <f>+'Raw Data'!J29</f>
        <v>17425</v>
      </c>
      <c r="K30" s="247">
        <f>+'Raw Data'!K29</f>
        <v>20449</v>
      </c>
      <c r="L30" s="247">
        <f>+'Raw Data'!L29</f>
        <v>19783</v>
      </c>
      <c r="M30" s="247">
        <f>+'Raw Data'!M29</f>
        <v>21419</v>
      </c>
      <c r="N30" s="247">
        <f>+'Raw Data'!N29</f>
        <v>21374</v>
      </c>
      <c r="O30" s="247">
        <f>+'Raw Data'!O29</f>
        <v>28535</v>
      </c>
      <c r="P30" s="247">
        <f>+'Raw Data'!P29</f>
        <v>28820</v>
      </c>
      <c r="Q30" s="169">
        <f>+'Raw Data'!Q29</f>
        <v>33623</v>
      </c>
      <c r="R30" s="169">
        <f>+'Raw Data'!R29</f>
        <v>40129</v>
      </c>
      <c r="S30" s="169">
        <f>+'Raw Data'!S29</f>
        <v>36495</v>
      </c>
      <c r="T30" s="169">
        <f>+'Raw Data'!T29</f>
        <v>35740</v>
      </c>
      <c r="U30" s="169">
        <f>+'Raw Data'!U29</f>
        <v>40718</v>
      </c>
      <c r="V30" s="169">
        <f>+'Raw Data'!V29</f>
        <v>41360</v>
      </c>
      <c r="W30" s="169">
        <f>+'Raw Data'!W29</f>
        <v>36758</v>
      </c>
      <c r="X30" s="169">
        <f>+'Raw Data'!X29</f>
        <v>39540</v>
      </c>
      <c r="Y30" s="248">
        <f>+'Raw Data'!Y29</f>
        <v>41432</v>
      </c>
      <c r="Z30" s="248">
        <f>+'Raw Data'!Z29</f>
        <v>38953</v>
      </c>
      <c r="AA30" s="248">
        <f>+'Raw Data'!AA29</f>
        <v>37503</v>
      </c>
      <c r="AB30" s="248">
        <f>+'Raw Data'!AB29</f>
        <v>43128</v>
      </c>
      <c r="AC30" s="248">
        <f>+'Raw Data'!AC29</f>
        <v>51469</v>
      </c>
      <c r="AD30" s="248">
        <f>+'Raw Data'!AD29</f>
        <v>45011</v>
      </c>
      <c r="AE30" s="267">
        <f>+'Raw Data'!AE29</f>
        <v>56329</v>
      </c>
      <c r="AF30" s="248">
        <f t="shared" ref="AF30:AG30" si="74">AF36-AF33-AF35</f>
        <v>75500</v>
      </c>
      <c r="AG30" s="248">
        <f t="shared" si="74"/>
        <v>80400</v>
      </c>
      <c r="AH30" s="248">
        <f t="shared" ref="AH30:AI30" si="75">AH36-AH33-AH35</f>
        <v>83300</v>
      </c>
      <c r="AI30" s="248">
        <f t="shared" si="75"/>
        <v>85900</v>
      </c>
      <c r="AJ30" s="248">
        <f t="shared" ref="AJ30" si="76">AJ36-AJ33-AJ35</f>
        <v>88600</v>
      </c>
      <c r="AK30" s="237"/>
      <c r="AL30" s="237"/>
      <c r="AM30" s="237"/>
      <c r="AN30" s="237"/>
      <c r="AO30" s="237"/>
      <c r="AP30" s="237"/>
    </row>
    <row r="31" spans="1:42" s="239" customFormat="1" outlineLevel="1">
      <c r="A31" s="231"/>
      <c r="B31" s="232" t="s">
        <v>220</v>
      </c>
      <c r="C31" s="232" t="s">
        <v>220</v>
      </c>
      <c r="D31" s="234" t="str">
        <f>IF(ISERROR(D30/#REF!-1)," ",(D30/#REF!-1))</f>
        <v xml:space="preserve"> </v>
      </c>
      <c r="E31" s="234" t="str">
        <f t="shared" ref="E31:AJ31" si="77">IF(ISERROR(E30/D30-1)," ",(E30/D30-1))</f>
        <v xml:space="preserve"> </v>
      </c>
      <c r="F31" s="234">
        <f t="shared" si="77"/>
        <v>-9.4652559336574238E-2</v>
      </c>
      <c r="G31" s="234">
        <f t="shared" si="77"/>
        <v>0.36323436512950091</v>
      </c>
      <c r="H31" s="234">
        <f t="shared" si="77"/>
        <v>0.30383070744516538</v>
      </c>
      <c r="I31" s="234">
        <f t="shared" si="77"/>
        <v>1.7888875725625031E-2</v>
      </c>
      <c r="J31" s="234">
        <f t="shared" si="77"/>
        <v>1.4024674115456159E-2</v>
      </c>
      <c r="K31" s="234">
        <f t="shared" si="77"/>
        <v>0.17354375896700147</v>
      </c>
      <c r="L31" s="234">
        <f t="shared" si="77"/>
        <v>-3.2568829771627006E-2</v>
      </c>
      <c r="M31" s="234">
        <f t="shared" si="77"/>
        <v>8.2697265328817604E-2</v>
      </c>
      <c r="N31" s="234">
        <f t="shared" si="77"/>
        <v>-2.1009384191605918E-3</v>
      </c>
      <c r="O31" s="234">
        <f t="shared" si="77"/>
        <v>0.33503321792832419</v>
      </c>
      <c r="P31" s="234">
        <f t="shared" si="77"/>
        <v>9.9877343613106184E-3</v>
      </c>
      <c r="Q31" s="234">
        <f t="shared" si="77"/>
        <v>0.16665510062456623</v>
      </c>
      <c r="R31" s="234">
        <f t="shared" si="77"/>
        <v>0.19349849805192876</v>
      </c>
      <c r="S31" s="234">
        <f t="shared" si="77"/>
        <v>-9.0557950609285065E-2</v>
      </c>
      <c r="T31" s="234">
        <f t="shared" si="77"/>
        <v>-2.0687765447321538E-2</v>
      </c>
      <c r="U31" s="234">
        <f t="shared" si="77"/>
        <v>0.13928371572467824</v>
      </c>
      <c r="V31" s="234">
        <f t="shared" si="77"/>
        <v>1.5766982661230999E-2</v>
      </c>
      <c r="W31" s="234">
        <f>IF(ISERROR(W30/V30-1)," ",(W30/V30-1))</f>
        <v>-0.11126692456479692</v>
      </c>
      <c r="X31" s="234">
        <f>IF(ISERROR(X30/W30-1)," ",(X30/W30-1))</f>
        <v>7.5684204798955435E-2</v>
      </c>
      <c r="Y31" s="234">
        <f>IF(ISERROR(Y30/X30-1)," ",(Y30/X30-1))</f>
        <v>4.7850278199291774E-2</v>
      </c>
      <c r="Z31" s="234">
        <f t="shared" si="77"/>
        <v>-5.9832979339640824E-2</v>
      </c>
      <c r="AA31" s="234">
        <f t="shared" si="77"/>
        <v>-3.72243472903242E-2</v>
      </c>
      <c r="AB31" s="234">
        <f t="shared" si="77"/>
        <v>0.14998800095992326</v>
      </c>
      <c r="AC31" s="234">
        <f t="shared" si="77"/>
        <v>0.1934010387683176</v>
      </c>
      <c r="AD31" s="234">
        <f t="shared" si="77"/>
        <v>-0.12547358604208358</v>
      </c>
      <c r="AE31" s="256">
        <f t="shared" si="77"/>
        <v>0.25144964564217642</v>
      </c>
      <c r="AF31" s="234">
        <f t="shared" si="77"/>
        <v>0.34033978945125964</v>
      </c>
      <c r="AG31" s="234">
        <f t="shared" si="77"/>
        <v>6.4900662251655694E-2</v>
      </c>
      <c r="AH31" s="234">
        <f t="shared" si="77"/>
        <v>3.6069651741293507E-2</v>
      </c>
      <c r="AI31" s="234">
        <f t="shared" si="77"/>
        <v>3.1212484993997647E-2</v>
      </c>
      <c r="AJ31" s="234">
        <f t="shared" si="77"/>
        <v>3.1431897555296961E-2</v>
      </c>
      <c r="AK31" s="237"/>
      <c r="AL31" s="237"/>
      <c r="AM31" s="237"/>
      <c r="AN31" s="237"/>
      <c r="AO31" s="237"/>
      <c r="AP31" s="237"/>
    </row>
    <row r="32" spans="1:42">
      <c r="A32" s="240"/>
      <c r="B32" s="257"/>
      <c r="C32" s="257"/>
      <c r="D32" s="258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258"/>
      <c r="V32" s="258"/>
      <c r="W32" s="258"/>
      <c r="X32" s="258"/>
      <c r="Y32" s="258"/>
      <c r="Z32" s="258"/>
      <c r="AA32" s="258"/>
      <c r="AB32" s="258"/>
      <c r="AC32" s="258"/>
      <c r="AD32" s="258"/>
      <c r="AE32" s="259"/>
      <c r="AF32" s="258"/>
      <c r="AG32" s="258"/>
      <c r="AH32" s="258"/>
      <c r="AI32" s="258"/>
      <c r="AJ32" s="258"/>
      <c r="AK32" s="237"/>
      <c r="AL32" s="237"/>
      <c r="AM32" s="237"/>
      <c r="AN32" s="237"/>
      <c r="AO32" s="237"/>
      <c r="AP32" s="237"/>
    </row>
    <row r="33" spans="1:42">
      <c r="A33" s="229"/>
      <c r="B33" s="132" t="s">
        <v>170</v>
      </c>
      <c r="C33" s="132" t="s">
        <v>71</v>
      </c>
      <c r="D33" s="242">
        <f>+'Raw Data'!D31</f>
        <v>0</v>
      </c>
      <c r="E33" s="242">
        <f>+'Raw Data'!E31</f>
        <v>-792</v>
      </c>
      <c r="F33" s="242">
        <f>+'Raw Data'!F31</f>
        <v>-733</v>
      </c>
      <c r="G33" s="242">
        <f>+'Raw Data'!G31</f>
        <v>-806</v>
      </c>
      <c r="H33" s="242">
        <f>+'Raw Data'!H31</f>
        <v>-891</v>
      </c>
      <c r="I33" s="242">
        <f>+'Raw Data'!I31</f>
        <v>-888</v>
      </c>
      <c r="J33" s="242">
        <f>+'Raw Data'!J31</f>
        <v>-927</v>
      </c>
      <c r="K33" s="242">
        <f>+'Raw Data'!K31</f>
        <v>-1054</v>
      </c>
      <c r="L33" s="242">
        <f>+'Raw Data'!L31</f>
        <v>-1139</v>
      </c>
      <c r="M33" s="242">
        <f>+'Raw Data'!M31</f>
        <v>-1174</v>
      </c>
      <c r="N33" s="242">
        <f>+'Raw Data'!N31</f>
        <v>-1439</v>
      </c>
      <c r="O33" s="242">
        <f>+'Raw Data'!O31</f>
        <v>-8901</v>
      </c>
      <c r="P33" s="242">
        <f>+'Raw Data'!P31</f>
        <v>-8560</v>
      </c>
      <c r="Q33" s="233">
        <f>+'Raw Data'!Q31</f>
        <v>-8606</v>
      </c>
      <c r="R33" s="233">
        <f>+'Raw Data'!R31</f>
        <v>-8957</v>
      </c>
      <c r="S33" s="233">
        <f>+'Raw Data'!S31</f>
        <v>-10633</v>
      </c>
      <c r="T33" s="233">
        <f>+'Raw Data'!T31</f>
        <v>-10206</v>
      </c>
      <c r="U33" s="233">
        <f>+'Raw Data'!U31</f>
        <v>-10945</v>
      </c>
      <c r="V33" s="233">
        <f>+'Raw Data'!V31</f>
        <v>-10615</v>
      </c>
      <c r="W33" s="233">
        <f>+'Raw Data'!W31</f>
        <v>-11608</v>
      </c>
      <c r="X33" s="233">
        <f>+'Raw Data'!X31</f>
        <v>-11226</v>
      </c>
      <c r="Y33" s="233">
        <f>+'Raw Data'!Y31</f>
        <v>-11946</v>
      </c>
      <c r="Z33" s="233">
        <f>+'Raw Data'!Z31</f>
        <v>-12301</v>
      </c>
      <c r="AA33" s="233">
        <f>+'Raw Data'!AA31</f>
        <v>-13842</v>
      </c>
      <c r="AB33" s="233">
        <f>+'Raw Data'!AB31</f>
        <v>-14780</v>
      </c>
      <c r="AC33" s="233">
        <f>+'Raw Data'!AC31</f>
        <v>-15009</v>
      </c>
      <c r="AD33" s="233">
        <f>+'Raw Data'!AD31</f>
        <v>-15274</v>
      </c>
      <c r="AE33" s="244">
        <f>+'Raw Data'!AE31</f>
        <v>-15999</v>
      </c>
      <c r="AF33" s="233">
        <f>-ROUND(AF34*((+AE130)*1),-2)</f>
        <v>-16000</v>
      </c>
      <c r="AG33" s="233">
        <f t="shared" ref="AG33:AJ33" si="78">-ROUND(AG34*((+AF130)*1),-2)</f>
        <v>-16400</v>
      </c>
      <c r="AH33" s="233">
        <f t="shared" si="78"/>
        <v>-17200</v>
      </c>
      <c r="AI33" s="233">
        <f t="shared" si="78"/>
        <v>-17900</v>
      </c>
      <c r="AJ33" s="233">
        <f t="shared" si="78"/>
        <v>-18400</v>
      </c>
      <c r="AK33" s="237"/>
      <c r="AL33" s="260">
        <v>-16500</v>
      </c>
      <c r="AM33" s="260">
        <v>-16500</v>
      </c>
      <c r="AN33" s="237"/>
      <c r="AO33" s="260">
        <v>-16000</v>
      </c>
      <c r="AP33" s="261">
        <v>-15500</v>
      </c>
    </row>
    <row r="34" spans="1:42">
      <c r="A34" s="229"/>
      <c r="B34" s="262" t="s">
        <v>1099</v>
      </c>
      <c r="C34" s="132" t="s">
        <v>274</v>
      </c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63">
        <f t="shared" ref="O34:AE34" si="79">-O33/((N130+O130)*0.5)</f>
        <v>4.3724624759602988E-2</v>
      </c>
      <c r="P34" s="263">
        <f t="shared" si="79"/>
        <v>4.2456316121000502E-2</v>
      </c>
      <c r="Q34" s="342">
        <f t="shared" si="79"/>
        <v>4.151851833983819E-2</v>
      </c>
      <c r="R34" s="342">
        <f t="shared" si="79"/>
        <v>4.0898889743771219E-2</v>
      </c>
      <c r="S34" s="342">
        <f t="shared" si="79"/>
        <v>4.7506182326699384E-2</v>
      </c>
      <c r="T34" s="342">
        <f t="shared" si="79"/>
        <v>4.5596595668636143E-2</v>
      </c>
      <c r="U34" s="342">
        <f t="shared" si="79"/>
        <v>4.6749330474412806E-2</v>
      </c>
      <c r="V34" s="342">
        <f t="shared" si="79"/>
        <v>4.1348712015861704E-2</v>
      </c>
      <c r="W34" s="342">
        <f t="shared" si="79"/>
        <v>4.1549590696442443E-2</v>
      </c>
      <c r="X34" s="342">
        <f t="shared" si="79"/>
        <v>3.8468721461578398E-2</v>
      </c>
      <c r="Y34" s="342">
        <f t="shared" si="79"/>
        <v>4.012036782041551E-2</v>
      </c>
      <c r="Z34" s="342">
        <f t="shared" si="79"/>
        <v>4.0509922477556692E-2</v>
      </c>
      <c r="AA34" s="342">
        <f t="shared" si="79"/>
        <v>4.3583809568790439E-2</v>
      </c>
      <c r="AB34" s="342">
        <f t="shared" si="79"/>
        <v>4.5110969015967388E-2</v>
      </c>
      <c r="AC34" s="342">
        <f t="shared" si="79"/>
        <v>4.3254724185929898E-2</v>
      </c>
      <c r="AD34" s="342">
        <f t="shared" si="79"/>
        <v>4.1815471505441841E-2</v>
      </c>
      <c r="AE34" s="365">
        <f t="shared" si="79"/>
        <v>4.368166634130892E-2</v>
      </c>
      <c r="AF34" s="1657">
        <f t="shared" ref="AF34" si="80">AE34</f>
        <v>4.368166634130892E-2</v>
      </c>
      <c r="AG34" s="1657">
        <v>4.2500000000000003E-2</v>
      </c>
      <c r="AH34" s="1657">
        <v>4.2000000000000003E-2</v>
      </c>
      <c r="AI34" s="1657">
        <f t="shared" ref="AI34:AJ34" si="81">AH34-0.0008</f>
        <v>4.1200000000000001E-2</v>
      </c>
      <c r="AJ34" s="1657">
        <f t="shared" si="81"/>
        <v>4.0399999999999998E-2</v>
      </c>
      <c r="AK34" s="237"/>
      <c r="AL34" s="237"/>
      <c r="AM34" s="237"/>
      <c r="AN34" s="237"/>
      <c r="AO34" s="237"/>
      <c r="AP34" s="237"/>
    </row>
    <row r="35" spans="1:42">
      <c r="A35" s="229"/>
      <c r="B35" s="132" t="s">
        <v>273</v>
      </c>
      <c r="C35" s="132" t="s">
        <v>149</v>
      </c>
      <c r="D35" s="242">
        <f>+'Raw Data'!D32</f>
        <v>0</v>
      </c>
      <c r="E35" s="242">
        <f>+'Raw Data'!E32</f>
        <v>0</v>
      </c>
      <c r="F35" s="242">
        <f>+'Raw Data'!F32</f>
        <v>0</v>
      </c>
      <c r="G35" s="242">
        <f>+'Raw Data'!G32</f>
        <v>0</v>
      </c>
      <c r="H35" s="242">
        <f>+'Raw Data'!H32</f>
        <v>0</v>
      </c>
      <c r="I35" s="242">
        <f>+'Raw Data'!I32</f>
        <v>0</v>
      </c>
      <c r="J35" s="242">
        <f>+'Raw Data'!J32</f>
        <v>0</v>
      </c>
      <c r="K35" s="242">
        <f>+'Raw Data'!K32</f>
        <v>0</v>
      </c>
      <c r="L35" s="242">
        <f>+'Raw Data'!L32</f>
        <v>0</v>
      </c>
      <c r="M35" s="242">
        <f>+'Raw Data'!M32</f>
        <v>0</v>
      </c>
      <c r="N35" s="242">
        <f>+'Raw Data'!N32</f>
        <v>0</v>
      </c>
      <c r="O35" s="242">
        <f>+'Raw Data'!O32</f>
        <v>-64</v>
      </c>
      <c r="P35" s="242">
        <f>+'Raw Data'!P32</f>
        <v>-38</v>
      </c>
      <c r="Q35" s="233">
        <f>+'Raw Data'!Q32</f>
        <v>-39</v>
      </c>
      <c r="R35" s="233">
        <f>+'Raw Data'!R32</f>
        <v>-51</v>
      </c>
      <c r="S35" s="233">
        <f>+'Raw Data'!S32</f>
        <v>-51</v>
      </c>
      <c r="T35" s="233">
        <f>+'Raw Data'!T32</f>
        <v>-20</v>
      </c>
      <c r="U35" s="233">
        <f>+'Raw Data'!U32</f>
        <v>-150</v>
      </c>
      <c r="V35" s="233">
        <f>+'Raw Data'!V32</f>
        <v>-150</v>
      </c>
      <c r="W35" s="233">
        <f>+'Raw Data'!W32</f>
        <v>-75</v>
      </c>
      <c r="X35" s="233">
        <f>+'Raw Data'!X32</f>
        <v>0</v>
      </c>
      <c r="Y35" s="233">
        <f>+'Raw Data'!Y32</f>
        <v>0</v>
      </c>
      <c r="Z35" s="233">
        <f>+'Raw Data'!Z32</f>
        <v>0</v>
      </c>
      <c r="AA35" s="233">
        <f>+'Raw Data'!AA32</f>
        <v>0</v>
      </c>
      <c r="AB35" s="233">
        <f>+'Raw Data'!AB32</f>
        <v>0</v>
      </c>
      <c r="AC35" s="233">
        <f>+'Raw Data'!AC32</f>
        <v>0</v>
      </c>
      <c r="AD35" s="233">
        <f>+'Raw Data'!AD32</f>
        <v>0</v>
      </c>
      <c r="AE35" s="244">
        <f>+'Raw Data'!AE32</f>
        <v>0</v>
      </c>
      <c r="AF35" s="266">
        <f t="shared" ref="AF35:AJ35" si="82">+AE35</f>
        <v>0</v>
      </c>
      <c r="AG35" s="266">
        <f t="shared" si="82"/>
        <v>0</v>
      </c>
      <c r="AH35" s="266">
        <f t="shared" si="82"/>
        <v>0</v>
      </c>
      <c r="AI35" s="266">
        <f t="shared" si="82"/>
        <v>0</v>
      </c>
      <c r="AJ35" s="266">
        <f t="shared" si="82"/>
        <v>0</v>
      </c>
      <c r="AK35" s="237"/>
      <c r="AL35" s="237"/>
      <c r="AM35" s="237"/>
      <c r="AN35" s="237"/>
      <c r="AO35" s="237"/>
      <c r="AP35" s="237"/>
    </row>
    <row r="36" spans="1:42">
      <c r="A36" s="229"/>
      <c r="B36" s="2221" t="s">
        <v>272</v>
      </c>
      <c r="C36" s="2221" t="s">
        <v>190</v>
      </c>
      <c r="D36" s="2222">
        <f t="shared" ref="D36:U36" si="83">+D14+D21+D26+D27</f>
        <v>0</v>
      </c>
      <c r="E36" s="2222">
        <f t="shared" si="83"/>
        <v>9699</v>
      </c>
      <c r="F36" s="2222">
        <f t="shared" si="83"/>
        <v>8765</v>
      </c>
      <c r="G36" s="2222">
        <f t="shared" si="83"/>
        <v>12142</v>
      </c>
      <c r="H36" s="2222">
        <f t="shared" si="83"/>
        <v>15991</v>
      </c>
      <c r="I36" s="2222">
        <f t="shared" si="83"/>
        <v>16296</v>
      </c>
      <c r="J36" s="2222">
        <f t="shared" si="83"/>
        <v>16498</v>
      </c>
      <c r="K36" s="2222">
        <f t="shared" si="83"/>
        <v>19395</v>
      </c>
      <c r="L36" s="2222">
        <f t="shared" si="83"/>
        <v>18644</v>
      </c>
      <c r="M36" s="2222">
        <f t="shared" si="83"/>
        <v>20245</v>
      </c>
      <c r="N36" s="2222">
        <f t="shared" si="83"/>
        <v>19935</v>
      </c>
      <c r="O36" s="2222">
        <f t="shared" si="83"/>
        <v>19570</v>
      </c>
      <c r="P36" s="2222">
        <f t="shared" si="83"/>
        <v>20222</v>
      </c>
      <c r="Q36" s="2223">
        <f t="shared" si="83"/>
        <v>24978</v>
      </c>
      <c r="R36" s="2223">
        <f t="shared" si="83"/>
        <v>31121</v>
      </c>
      <c r="S36" s="2223">
        <f t="shared" si="83"/>
        <v>25811</v>
      </c>
      <c r="T36" s="2223">
        <f t="shared" si="83"/>
        <v>25514</v>
      </c>
      <c r="U36" s="2223">
        <f t="shared" si="83"/>
        <v>29623</v>
      </c>
      <c r="V36" s="2223">
        <f t="shared" ref="V36:W36" si="84">+V14+V21+V26+V27</f>
        <v>30595</v>
      </c>
      <c r="W36" s="2223">
        <f t="shared" si="84"/>
        <v>25076</v>
      </c>
      <c r="X36" s="2223">
        <f t="shared" ref="X36:Z36" si="85">+X14+X21+X26+X27</f>
        <v>28314</v>
      </c>
      <c r="Y36" s="2224">
        <f t="shared" si="85"/>
        <v>29487</v>
      </c>
      <c r="Z36" s="2224">
        <f t="shared" si="85"/>
        <v>26653</v>
      </c>
      <c r="AA36" s="2224">
        <f t="shared" ref="AA36:AB36" si="86">+AA14+AA21+AA26+AA27</f>
        <v>23662</v>
      </c>
      <c r="AB36" s="2224">
        <f t="shared" si="86"/>
        <v>28349</v>
      </c>
      <c r="AC36" s="2224">
        <f t="shared" ref="AC36:AD36" si="87">+AC14+AC21+AC26+AC27</f>
        <v>36460</v>
      </c>
      <c r="AD36" s="2224">
        <f t="shared" si="87"/>
        <v>29738</v>
      </c>
      <c r="AE36" s="2225">
        <f t="shared" ref="AE36" si="88">+AE14+AE21+AE26+AE27</f>
        <v>40330</v>
      </c>
      <c r="AF36" s="2224">
        <f>Driver!AL23</f>
        <v>59500</v>
      </c>
      <c r="AG36" s="2224">
        <f>Driver!AM23</f>
        <v>64000</v>
      </c>
      <c r="AH36" s="2224">
        <f>Driver!AN23</f>
        <v>66100</v>
      </c>
      <c r="AI36" s="2224">
        <f>Driver!AO23</f>
        <v>68000</v>
      </c>
      <c r="AJ36" s="2224">
        <f>Driver!AP23</f>
        <v>70200</v>
      </c>
      <c r="AK36" s="230">
        <f>(AD36/Y36)^(1/5)-1</f>
        <v>1.6966779364802065E-3</v>
      </c>
      <c r="AL36" s="268">
        <v>52000</v>
      </c>
      <c r="AM36" s="268">
        <v>50000</v>
      </c>
      <c r="AN36" s="230"/>
      <c r="AO36" s="268">
        <f>Quarterly!KM69</f>
        <v>41000</v>
      </c>
      <c r="AP36" s="268">
        <v>0</v>
      </c>
    </row>
    <row r="37" spans="1:42" s="239" customFormat="1">
      <c r="A37" s="231"/>
      <c r="B37" s="2212" t="s">
        <v>220</v>
      </c>
      <c r="C37" s="2212" t="s">
        <v>220</v>
      </c>
      <c r="D37" s="2218" t="str">
        <f>IF(ISERROR(D36/#REF!-1)," ",(D36/#REF!-1))</f>
        <v xml:space="preserve"> </v>
      </c>
      <c r="E37" s="2218" t="str">
        <f t="shared" ref="E37:AJ37" si="89">IF(ISERROR(E36/D36-1)," ",(E36/D36-1))</f>
        <v xml:space="preserve"> </v>
      </c>
      <c r="F37" s="2218">
        <f t="shared" si="89"/>
        <v>-9.6298587483245712E-2</v>
      </c>
      <c r="G37" s="2218">
        <f t="shared" si="89"/>
        <v>0.38528237307472901</v>
      </c>
      <c r="H37" s="2218">
        <f t="shared" si="89"/>
        <v>0.31699884697743363</v>
      </c>
      <c r="I37" s="2218">
        <f t="shared" si="89"/>
        <v>1.907322869113881E-2</v>
      </c>
      <c r="J37" s="2218">
        <f t="shared" si="89"/>
        <v>1.2395679921453073E-2</v>
      </c>
      <c r="K37" s="2218">
        <f t="shared" si="89"/>
        <v>0.17559704206570492</v>
      </c>
      <c r="L37" s="2218">
        <f t="shared" si="89"/>
        <v>-3.8721319927816467E-2</v>
      </c>
      <c r="M37" s="2218">
        <f t="shared" si="89"/>
        <v>8.5872130444110795E-2</v>
      </c>
      <c r="N37" s="2218">
        <f t="shared" si="89"/>
        <v>-1.5312422820449534E-2</v>
      </c>
      <c r="O37" s="2218">
        <f t="shared" si="89"/>
        <v>-1.8309505894156031E-2</v>
      </c>
      <c r="P37" s="2218">
        <f t="shared" si="89"/>
        <v>3.3316300459887538E-2</v>
      </c>
      <c r="Q37" s="2218">
        <f t="shared" si="89"/>
        <v>0.23518939768568892</v>
      </c>
      <c r="R37" s="2218">
        <f t="shared" si="89"/>
        <v>0.24593642405316674</v>
      </c>
      <c r="S37" s="2219">
        <f t="shared" si="89"/>
        <v>-0.17062433726422677</v>
      </c>
      <c r="T37" s="2218">
        <f t="shared" si="89"/>
        <v>-1.1506721940258036E-2</v>
      </c>
      <c r="U37" s="2218">
        <f t="shared" si="89"/>
        <v>0.16104883593321317</v>
      </c>
      <c r="V37" s="2219">
        <f t="shared" si="89"/>
        <v>3.2812341761469188E-2</v>
      </c>
      <c r="W37" s="2219">
        <f>IF(ISERROR(W36/V36-1)," ",(W36/V36-1))</f>
        <v>-0.18038895244320963</v>
      </c>
      <c r="X37" s="2219">
        <f>IF(ISERROR(X36/W36-1)," ",(X36/W36-1))</f>
        <v>0.12912745254426539</v>
      </c>
      <c r="Y37" s="2219">
        <f>IF(ISERROR(Y36/X36-1)," ",(Y36/X36-1))</f>
        <v>4.1428268700995918E-2</v>
      </c>
      <c r="Z37" s="2219">
        <f t="shared" si="89"/>
        <v>-9.6110150235697134E-2</v>
      </c>
      <c r="AA37" s="2219">
        <f t="shared" si="89"/>
        <v>-0.1122200127565377</v>
      </c>
      <c r="AB37" s="2219">
        <f t="shared" si="89"/>
        <v>0.19808131180796207</v>
      </c>
      <c r="AC37" s="2219">
        <f t="shared" si="89"/>
        <v>0.28611238491657565</v>
      </c>
      <c r="AD37" s="2219">
        <f t="shared" si="89"/>
        <v>-0.1843664289632474</v>
      </c>
      <c r="AE37" s="2220">
        <f t="shared" si="89"/>
        <v>0.35617728159257522</v>
      </c>
      <c r="AF37" s="2219">
        <f t="shared" si="89"/>
        <v>0.47532853954872301</v>
      </c>
      <c r="AG37" s="2219">
        <f t="shared" si="89"/>
        <v>7.5630252100840289E-2</v>
      </c>
      <c r="AH37" s="2219">
        <f t="shared" si="89"/>
        <v>3.2812499999999911E-2</v>
      </c>
      <c r="AI37" s="2219">
        <f t="shared" si="89"/>
        <v>2.8744326777609741E-2</v>
      </c>
      <c r="AJ37" s="2219">
        <f t="shared" si="89"/>
        <v>3.2352941176470695E-2</v>
      </c>
      <c r="AL37" s="269"/>
      <c r="AM37" s="269"/>
      <c r="AO37" s="269">
        <f>(AO36-AD36)/AD36</f>
        <v>0.37870737776582153</v>
      </c>
      <c r="AP37" s="269">
        <v>-1</v>
      </c>
    </row>
    <row r="38" spans="1:42" s="239" customFormat="1">
      <c r="A38" s="231"/>
      <c r="B38" s="2212" t="s">
        <v>1498</v>
      </c>
      <c r="C38" s="2214" t="s">
        <v>1500</v>
      </c>
      <c r="D38" s="2218"/>
      <c r="E38" s="2218"/>
      <c r="F38" s="2218"/>
      <c r="G38" s="2218"/>
      <c r="H38" s="2218"/>
      <c r="I38" s="2218"/>
      <c r="J38" s="2218"/>
      <c r="K38" s="2218"/>
      <c r="L38" s="2218"/>
      <c r="M38" s="2218"/>
      <c r="N38" s="2218"/>
      <c r="O38" s="2218"/>
      <c r="P38" s="2218"/>
      <c r="Q38" s="2218">
        <f t="shared" ref="Q38" si="90">+(Q36/N36)^(0.333333333333333)-1</f>
        <v>7.8070445701873048E-2</v>
      </c>
      <c r="R38" s="2219">
        <f t="shared" ref="R38" si="91">+(R36/O36)^(0.333333333333333)-1</f>
        <v>0.16722408206772954</v>
      </c>
      <c r="S38" s="2219">
        <f t="shared" ref="S38" si="92">+(S36/P36)^(0.333333333333333)-1</f>
        <v>8.4743129900238134E-2</v>
      </c>
      <c r="T38" s="2218">
        <f t="shared" ref="T38" si="93">+(T36/Q36)^(0.333333333333333)-1</f>
        <v>7.1023977935880112E-3</v>
      </c>
      <c r="U38" s="2218">
        <f t="shared" ref="U38" si="94">+(U36/R36)^(0.333333333333333)-1</f>
        <v>-1.6309452148166259E-2</v>
      </c>
      <c r="V38" s="2219">
        <f t="shared" ref="V38" si="95">+(V36/S36)^(0.333333333333333)-1</f>
        <v>5.8315626941178644E-2</v>
      </c>
      <c r="W38" s="2219">
        <f t="shared" ref="W38" si="96">+(W36/T36)^(0.333333333333333)-1</f>
        <v>-5.7554097066135901E-3</v>
      </c>
      <c r="X38" s="2219">
        <f t="shared" ref="X38" si="97">+(X36/U36)^(0.333333333333333)-1</f>
        <v>-1.4951993615850978E-2</v>
      </c>
      <c r="Y38" s="2219">
        <f t="shared" ref="Y38" si="98">+(Y36/V36)^(0.333333333333333)-1</f>
        <v>-1.2220419602087529E-2</v>
      </c>
      <c r="Z38" s="2219">
        <f t="shared" ref="Z38" si="99">+(Z36/W36)^(0.333333333333333)-1</f>
        <v>2.0538232530101341E-2</v>
      </c>
      <c r="AA38" s="2219">
        <f t="shared" ref="AA38" si="100">+(AA36/X36)^(0.333333333333333)-1</f>
        <v>-5.8074095723723684E-2</v>
      </c>
      <c r="AB38" s="2219">
        <f t="shared" ref="AB38" si="101">+(AB36/Y36)^(0.333333333333333)-1</f>
        <v>-1.3033561845735009E-2</v>
      </c>
      <c r="AC38" s="2219">
        <f t="shared" ref="AC38" si="102">+(AC36/Z36)^(0.333333333333333)-1</f>
        <v>0.11008658657561821</v>
      </c>
      <c r="AD38" s="2219">
        <f t="shared" ref="AD38" si="103">+(AD36/AA36)^(0.333333333333333)-1</f>
        <v>7.9162309853334278E-2</v>
      </c>
      <c r="AE38" s="2220">
        <f t="shared" ref="AE38" si="104">+(AE36/AB36)^(0.333333333333333)-1</f>
        <v>0.12468307429913938</v>
      </c>
      <c r="AF38" s="2219">
        <f t="shared" ref="AF38" si="105">+(AF36/AC36)^(0.333333333333333)-1</f>
        <v>0.17733512330530066</v>
      </c>
      <c r="AG38" s="2219">
        <f t="shared" ref="AG38" si="106">+(AG36/AD36)^(0.333333333333333)-1</f>
        <v>0.2910886768827492</v>
      </c>
      <c r="AH38" s="2219">
        <f t="shared" ref="AH38" si="107">+(AH36/AE36)^(0.333333333333333)-1</f>
        <v>0.17902879676118899</v>
      </c>
      <c r="AI38" s="2219">
        <f t="shared" ref="AI38" si="108">+(AI36/AF36)^(0.333333333333333)-1</f>
        <v>4.5515917149420382E-2</v>
      </c>
      <c r="AJ38" s="2219">
        <f t="shared" ref="AJ38" si="109">+(AJ36/AG36)^(0.333333333333333)-1</f>
        <v>3.1301650305605833E-2</v>
      </c>
      <c r="AL38" s="269"/>
      <c r="AM38" s="269"/>
      <c r="AO38" s="269"/>
      <c r="AP38" s="269"/>
    </row>
    <row r="39" spans="1:42" s="239" customFormat="1">
      <c r="A39" s="231"/>
      <c r="B39" s="2212" t="s">
        <v>1499</v>
      </c>
      <c r="C39" s="2214" t="s">
        <v>1501</v>
      </c>
      <c r="D39" s="2218"/>
      <c r="E39" s="2218"/>
      <c r="F39" s="2218"/>
      <c r="G39" s="2218"/>
      <c r="H39" s="2218"/>
      <c r="I39" s="2218"/>
      <c r="J39" s="2218"/>
      <c r="K39" s="2218"/>
      <c r="L39" s="2218"/>
      <c r="M39" s="2218"/>
      <c r="N39" s="2218"/>
      <c r="O39" s="2218"/>
      <c r="P39" s="2218"/>
      <c r="Q39" s="2218">
        <f t="shared" ref="Q39" si="110">+(Q36/L36)^(0.2)-1</f>
        <v>6.0238848787573129E-2</v>
      </c>
      <c r="R39" s="2219">
        <f t="shared" ref="R39" si="111">+(R36/M36)^(0.2)-1</f>
        <v>8.980087557870986E-2</v>
      </c>
      <c r="S39" s="2219">
        <f t="shared" ref="S39" si="112">+(S36/N36)^(0.2)-1</f>
        <v>5.3022663133128978E-2</v>
      </c>
      <c r="T39" s="2218">
        <f t="shared" ref="T39" si="113">+(T36/O36)^(0.2)-1</f>
        <v>5.4478052925092113E-2</v>
      </c>
      <c r="U39" s="2218">
        <f t="shared" ref="U39" si="114">+(U36/P36)^(0.2)-1</f>
        <v>7.9346745865009005E-2</v>
      </c>
      <c r="V39" s="2219">
        <f t="shared" ref="V39" si="115">+(V36/Q36)^(0.2)-1</f>
        <v>4.1402364134873526E-2</v>
      </c>
      <c r="W39" s="2219">
        <f t="shared" ref="W39" si="116">+(W36/R36)^(0.2)-1</f>
        <v>-4.2274736840486216E-2</v>
      </c>
      <c r="X39" s="2219">
        <f t="shared" ref="X39" si="117">+(X36/S36)^(0.2)-1</f>
        <v>1.8683517822077889E-2</v>
      </c>
      <c r="Y39" s="2219">
        <f t="shared" ref="Y39" si="118">+(Y36/T36)^(0.2)-1</f>
        <v>2.936739446778236E-2</v>
      </c>
      <c r="Z39" s="2219">
        <f t="shared" ref="Z39" si="119">+(Z36/U36)^(0.2)-1</f>
        <v>-2.0908202647005991E-2</v>
      </c>
      <c r="AA39" s="2219">
        <f t="shared" ref="AA39" si="120">+(AA36/V36)^(0.2)-1</f>
        <v>-5.009494569271622E-2</v>
      </c>
      <c r="AB39" s="2219">
        <f t="shared" ref="AB39" si="121">+(AB36/W36)^(0.2)-1</f>
        <v>2.4839595915258972E-2</v>
      </c>
      <c r="AC39" s="2219">
        <f t="shared" ref="AC39" si="122">+(AC36/X36)^(0.2)-1</f>
        <v>5.1872466554444108E-2</v>
      </c>
      <c r="AD39" s="2219">
        <f t="shared" ref="AD39" si="123">+(AD36/Y36)^(0.2)-1</f>
        <v>1.6966779364802065E-3</v>
      </c>
      <c r="AE39" s="2220">
        <f t="shared" ref="AE39" si="124">+(AE36/Z36)^(0.2)-1</f>
        <v>8.6366649148967189E-2</v>
      </c>
      <c r="AF39" s="2219">
        <f t="shared" ref="AF39" si="125">+(AF36/AA36)^(0.2)-1</f>
        <v>0.20252220117629993</v>
      </c>
      <c r="AG39" s="2219">
        <f t="shared" ref="AG39" si="126">+(AG36/AB36)^(0.2)-1</f>
        <v>0.1768698747276527</v>
      </c>
      <c r="AH39" s="2219">
        <f t="shared" ref="AH39" si="127">+(AH36/AC36)^(0.2)-1</f>
        <v>0.12635932541639883</v>
      </c>
      <c r="AI39" s="2219">
        <f t="shared" ref="AI39" si="128">+(AI36/AD36)^(0.2)-1</f>
        <v>0.17988432401937438</v>
      </c>
      <c r="AJ39" s="2219">
        <f t="shared" ref="AJ39" si="129">+(AJ36/AE36)^(0.2)-1</f>
        <v>0.11722791397102816</v>
      </c>
      <c r="AL39" s="269"/>
      <c r="AM39" s="269"/>
      <c r="AO39" s="269"/>
      <c r="AP39" s="269"/>
    </row>
    <row r="40" spans="1:42" s="239" customFormat="1">
      <c r="A40" s="231"/>
      <c r="B40" s="2212" t="s">
        <v>1502</v>
      </c>
      <c r="C40" s="2214" t="s">
        <v>1502</v>
      </c>
      <c r="D40" s="2218" t="str">
        <f>IF(ISERROR(D39/#REF!-1)," ",(D39/#REF!-1))</f>
        <v xml:space="preserve"> </v>
      </c>
      <c r="E40" s="2218" t="str">
        <f t="shared" ref="E40" si="130">IF(ISERROR(E39/D39-1)," ",(E39/D39-1))</f>
        <v xml:space="preserve"> </v>
      </c>
      <c r="F40" s="2218" t="str">
        <f t="shared" ref="F40" si="131">IF(ISERROR(F39/E39-1)," ",(F39/E39-1))</f>
        <v xml:space="preserve"> </v>
      </c>
      <c r="G40" s="2218" t="str">
        <f t="shared" ref="G40" si="132">IF(ISERROR(G39/F39-1)," ",(G39/F39-1))</f>
        <v xml:space="preserve"> </v>
      </c>
      <c r="H40" s="2218" t="str">
        <f t="shared" ref="H40" si="133">IF(ISERROR(H39/G39-1)," ",(H39/G39-1))</f>
        <v xml:space="preserve"> </v>
      </c>
      <c r="I40" s="2218" t="str">
        <f t="shared" ref="I40" si="134">IF(ISERROR(I39/H39-1)," ",(I39/H39-1))</f>
        <v xml:space="preserve"> </v>
      </c>
      <c r="J40" s="2218" t="str">
        <f t="shared" ref="J40" si="135">IF(ISERROR(J39/I39-1)," ",(J39/I39-1))</f>
        <v xml:space="preserve"> </v>
      </c>
      <c r="K40" s="2218" t="str">
        <f t="shared" ref="K40" si="136">IF(ISERROR(K39/J39-1)," ",(K39/J39-1))</f>
        <v xml:space="preserve"> </v>
      </c>
      <c r="L40" s="2218">
        <f t="shared" ref="L40:P40" si="137">L39/L30</f>
        <v>0</v>
      </c>
      <c r="M40" s="2218">
        <f t="shared" si="137"/>
        <v>0</v>
      </c>
      <c r="N40" s="2218">
        <f t="shared" si="137"/>
        <v>0</v>
      </c>
      <c r="O40" s="2218">
        <f t="shared" si="137"/>
        <v>0</v>
      </c>
      <c r="P40" s="2218">
        <f t="shared" si="137"/>
        <v>0</v>
      </c>
      <c r="Q40" s="2231">
        <f t="shared" ref="Q40:R40" si="138">Q36/Q14</f>
        <v>7.7556254521630855E-2</v>
      </c>
      <c r="R40" s="2231">
        <f t="shared" si="138"/>
        <v>9.8691241433767687E-2</v>
      </c>
      <c r="S40" s="2231">
        <f>S36/S14</f>
        <v>8.4374213415012861E-2</v>
      </c>
      <c r="T40" s="2231">
        <f t="shared" ref="T40:AJ40" si="139">T36/T14</f>
        <v>7.9485837476790416E-2</v>
      </c>
      <c r="U40" s="2231">
        <f t="shared" si="139"/>
        <v>8.5981650204483243E-2</v>
      </c>
      <c r="V40" s="2231">
        <f t="shared" si="139"/>
        <v>8.2193584091599034E-2</v>
      </c>
      <c r="W40" s="2231">
        <f t="shared" si="139"/>
        <v>6.5771562113943541E-2</v>
      </c>
      <c r="X40" s="2231">
        <f t="shared" si="139"/>
        <v>7.3873657625314393E-2</v>
      </c>
      <c r="Y40" s="2231">
        <f t="shared" si="139"/>
        <v>7.7054338111937445E-2</v>
      </c>
      <c r="Z40" s="2231">
        <f t="shared" si="139"/>
        <v>6.8552483686859719E-2</v>
      </c>
      <c r="AA40" s="2231">
        <f t="shared" si="139"/>
        <v>5.8998065146709751E-2</v>
      </c>
      <c r="AB40" s="2231">
        <f t="shared" si="139"/>
        <v>6.8141556758991514E-2</v>
      </c>
      <c r="AC40" s="2231">
        <f t="shared" si="139"/>
        <v>8.7327040485160864E-2</v>
      </c>
      <c r="AD40" s="2231">
        <f t="shared" si="139"/>
        <v>8.2263931727963036E-2</v>
      </c>
      <c r="AE40" s="2232">
        <f t="shared" si="139"/>
        <v>9.2545423671251487E-2</v>
      </c>
      <c r="AF40" s="2231">
        <f t="shared" si="139"/>
        <v>0.12382934443288242</v>
      </c>
      <c r="AG40" s="2231">
        <f t="shared" si="139"/>
        <v>0.12900624874017336</v>
      </c>
      <c r="AH40" s="2231">
        <f t="shared" si="139"/>
        <v>0.12935420743639922</v>
      </c>
      <c r="AI40" s="2231">
        <f t="shared" si="139"/>
        <v>0.12895884695619192</v>
      </c>
      <c r="AJ40" s="2231">
        <f t="shared" si="139"/>
        <v>0.12942477876106195</v>
      </c>
      <c r="AL40" s="2231">
        <f>AL36/AL14</f>
        <v>0.11158798283261803</v>
      </c>
      <c r="AM40" s="2231">
        <f>AM36/AM14</f>
        <v>0.1072961373390558</v>
      </c>
      <c r="AO40" s="269"/>
      <c r="AP40" s="269"/>
    </row>
    <row r="41" spans="1:42" s="270" customFormat="1" hidden="1" outlineLevel="1">
      <c r="B41" s="271" t="s">
        <v>271</v>
      </c>
      <c r="C41" s="271" t="s">
        <v>270</v>
      </c>
      <c r="Q41" s="272"/>
      <c r="R41" s="272"/>
      <c r="S41" s="272"/>
      <c r="V41" s="273"/>
      <c r="W41" s="273"/>
      <c r="X41" s="273"/>
      <c r="Y41" s="273"/>
      <c r="Z41" s="273"/>
      <c r="AA41" s="273"/>
      <c r="AB41" s="273"/>
      <c r="AC41" s="273"/>
      <c r="AD41" s="273"/>
      <c r="AE41" s="274"/>
      <c r="AF41" s="273"/>
      <c r="AG41" s="273"/>
      <c r="AH41" s="273"/>
      <c r="AI41" s="273"/>
      <c r="AJ41" s="273"/>
    </row>
    <row r="42" spans="1:42" s="275" customFormat="1" hidden="1" outlineLevel="1">
      <c r="B42" s="275" t="s">
        <v>269</v>
      </c>
      <c r="C42" s="275" t="s">
        <v>268</v>
      </c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  <c r="AE42" s="278"/>
      <c r="AF42" s="276"/>
      <c r="AG42" s="276"/>
      <c r="AH42" s="276"/>
      <c r="AI42" s="276"/>
      <c r="AJ42" s="276"/>
      <c r="AN42" s="270"/>
    </row>
    <row r="43" spans="1:42" s="275" customFormat="1" hidden="1" outlineLevel="1">
      <c r="B43" s="275" t="s">
        <v>267</v>
      </c>
      <c r="C43" s="275" t="s">
        <v>266</v>
      </c>
      <c r="P43" s="277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  <c r="AE43" s="278"/>
      <c r="AF43" s="277"/>
      <c r="AG43" s="277"/>
      <c r="AH43" s="277"/>
      <c r="AI43" s="277"/>
      <c r="AJ43" s="277"/>
      <c r="AN43" s="270"/>
    </row>
    <row r="44" spans="1:42" s="275" customFormat="1" hidden="1" outlineLevel="1">
      <c r="B44" s="275" t="s">
        <v>265</v>
      </c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8"/>
      <c r="AF44" s="276"/>
      <c r="AG44" s="276"/>
      <c r="AH44" s="276"/>
      <c r="AI44" s="276"/>
      <c r="AJ44" s="276"/>
      <c r="AN44" s="270"/>
    </row>
    <row r="45" spans="1:42" s="275" customFormat="1" hidden="1" outlineLevel="1">
      <c r="B45" s="275" t="s">
        <v>264</v>
      </c>
      <c r="C45" s="275" t="s">
        <v>263</v>
      </c>
      <c r="P45" s="277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8"/>
      <c r="AF45" s="277"/>
      <c r="AG45" s="277"/>
      <c r="AH45" s="277"/>
      <c r="AI45" s="277"/>
      <c r="AJ45" s="277"/>
      <c r="AN45" s="270"/>
    </row>
    <row r="46" spans="1:42" s="275" customFormat="1" hidden="1" outlineLevel="1">
      <c r="B46" s="275" t="s">
        <v>262</v>
      </c>
      <c r="C46" s="275" t="s">
        <v>261</v>
      </c>
      <c r="P46" s="277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8"/>
      <c r="AF46" s="277"/>
      <c r="AG46" s="277"/>
      <c r="AH46" s="277"/>
      <c r="AI46" s="277"/>
      <c r="AJ46" s="277"/>
      <c r="AN46" s="270"/>
    </row>
    <row r="47" spans="1:42" s="275" customFormat="1" hidden="1" outlineLevel="1">
      <c r="B47" s="275" t="s">
        <v>260</v>
      </c>
      <c r="C47" s="275" t="s">
        <v>259</v>
      </c>
      <c r="P47" s="277"/>
      <c r="Q47" s="276"/>
      <c r="R47" s="276"/>
      <c r="S47" s="276"/>
      <c r="T47" s="276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8"/>
      <c r="AF47" s="276"/>
      <c r="AG47" s="276"/>
      <c r="AH47" s="276"/>
      <c r="AI47" s="276"/>
      <c r="AJ47" s="276"/>
      <c r="AN47" s="270"/>
    </row>
    <row r="48" spans="1:42" s="275" customFormat="1" hidden="1" outlineLevel="1">
      <c r="B48" s="275" t="s">
        <v>258</v>
      </c>
      <c r="C48" s="275" t="s">
        <v>257</v>
      </c>
      <c r="P48" s="277"/>
      <c r="Q48" s="276"/>
      <c r="R48" s="276"/>
      <c r="S48" s="276"/>
      <c r="T48" s="276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8"/>
      <c r="AF48" s="277"/>
      <c r="AG48" s="277"/>
      <c r="AH48" s="277"/>
      <c r="AI48" s="277"/>
      <c r="AJ48" s="277"/>
      <c r="AN48" s="270"/>
    </row>
    <row r="49" spans="1:42" s="275" customFormat="1" hidden="1" outlineLevel="1">
      <c r="B49" s="275" t="s">
        <v>256</v>
      </c>
      <c r="C49" s="275" t="s">
        <v>170</v>
      </c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  <c r="AB49" s="276"/>
      <c r="AC49" s="276"/>
      <c r="AD49" s="276"/>
      <c r="AE49" s="278"/>
      <c r="AF49" s="276"/>
      <c r="AG49" s="276"/>
      <c r="AH49" s="276"/>
      <c r="AI49" s="276"/>
      <c r="AJ49" s="276"/>
      <c r="AN49" s="270"/>
    </row>
    <row r="50" spans="1:42" s="275" customFormat="1" hidden="1" outlineLevel="1">
      <c r="B50" s="275" t="s">
        <v>255</v>
      </c>
      <c r="C50" s="275" t="s">
        <v>254</v>
      </c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  <c r="AA50" s="276"/>
      <c r="AB50" s="276"/>
      <c r="AC50" s="276"/>
      <c r="AD50" s="276"/>
      <c r="AE50" s="278"/>
      <c r="AF50" s="277"/>
      <c r="AG50" s="277"/>
      <c r="AH50" s="277"/>
      <c r="AI50" s="277"/>
      <c r="AJ50" s="277"/>
      <c r="AN50" s="270"/>
    </row>
    <row r="51" spans="1:42" ht="12" collapsed="1">
      <c r="A51" s="240"/>
      <c r="B51" s="218"/>
      <c r="C51" s="21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278">
        <f>AVERAGE(AC37:AE37)</f>
        <v>0.15264107918196781</v>
      </c>
      <c r="AF51" s="1664"/>
      <c r="AG51" s="1664"/>
      <c r="AH51" s="1664"/>
      <c r="AI51" s="1664"/>
      <c r="AJ51" s="1664"/>
    </row>
    <row r="52" spans="1:42">
      <c r="A52" s="229"/>
      <c r="B52" s="243" t="s">
        <v>253</v>
      </c>
      <c r="C52" s="243" t="s">
        <v>252</v>
      </c>
      <c r="D52" s="242">
        <f>+'Raw Data'!D38</f>
        <v>0</v>
      </c>
      <c r="E52" s="242">
        <f>+'Raw Data'!E38</f>
        <v>0</v>
      </c>
      <c r="F52" s="242">
        <f>+'Raw Data'!F38</f>
        <v>0</v>
      </c>
      <c r="G52" s="242">
        <f>+'Raw Data'!G38</f>
        <v>0</v>
      </c>
      <c r="H52" s="242">
        <f>+'Raw Data'!H38</f>
        <v>0</v>
      </c>
      <c r="I52" s="242">
        <f>+'Raw Data'!I38</f>
        <v>0</v>
      </c>
      <c r="J52" s="242">
        <f>+'Raw Data'!J38</f>
        <v>0</v>
      </c>
      <c r="K52" s="242">
        <f>+'Raw Data'!K38</f>
        <v>0</v>
      </c>
      <c r="L52" s="242">
        <f>+'Raw Data'!L38</f>
        <v>0</v>
      </c>
      <c r="M52" s="242">
        <f>+'Raw Data'!M38</f>
        <v>0</v>
      </c>
      <c r="N52" s="242">
        <f>+'Raw Data'!N38</f>
        <v>0</v>
      </c>
      <c r="O52" s="242">
        <f>+'Raw Data'!O38</f>
        <v>0</v>
      </c>
      <c r="P52" s="242">
        <f>+'Raw Data'!P38</f>
        <v>0</v>
      </c>
      <c r="Q52" s="233">
        <f>+'Raw Data'!Q38</f>
        <v>705</v>
      </c>
      <c r="R52" s="233">
        <f>+'Raw Data'!R38</f>
        <v>347</v>
      </c>
      <c r="S52" s="233">
        <f>+'Raw Data'!S38</f>
        <v>141</v>
      </c>
      <c r="T52" s="233">
        <f>+'Raw Data'!T38</f>
        <v>169</v>
      </c>
      <c r="U52" s="233">
        <f>+'Raw Data'!U38</f>
        <v>285</v>
      </c>
      <c r="V52" s="233">
        <f>+'Raw Data'!V38</f>
        <v>267</v>
      </c>
      <c r="W52" s="233">
        <f>+'Raw Data'!W38</f>
        <v>336</v>
      </c>
      <c r="X52" s="233">
        <f>+'Raw Data'!X38</f>
        <v>452</v>
      </c>
      <c r="Y52" s="233">
        <f>+'Raw Data'!Y38</f>
        <v>846</v>
      </c>
      <c r="Z52" s="233">
        <f>+'Raw Data'!Z38</f>
        <v>1080</v>
      </c>
      <c r="AA52" s="233">
        <f>+'Raw Data'!AA38</f>
        <v>1715</v>
      </c>
      <c r="AB52" s="233">
        <f>+'Raw Data'!AB38</f>
        <v>1956</v>
      </c>
      <c r="AC52" s="233">
        <f>+'Raw Data'!AC38</f>
        <v>996</v>
      </c>
      <c r="AD52" s="233">
        <f>+'Raw Data'!AD38</f>
        <v>385</v>
      </c>
      <c r="AE52" s="244">
        <f>+'Raw Data'!AE38</f>
        <v>2239</v>
      </c>
      <c r="AF52" s="1656">
        <f>ROUND(AE52+50,-2)</f>
        <v>2300</v>
      </c>
      <c r="AG52" s="1656">
        <f>+ROUND(AF52,-2)</f>
        <v>2300</v>
      </c>
      <c r="AH52" s="1656">
        <f>+ROUND(AG52+100,-2)</f>
        <v>2400</v>
      </c>
      <c r="AI52" s="1656">
        <f>+ROUND(AH52,-2)</f>
        <v>2400</v>
      </c>
      <c r="AJ52" s="1656">
        <f>+ROUND(AI52+100,-2)</f>
        <v>2500</v>
      </c>
    </row>
    <row r="53" spans="1:42">
      <c r="A53" s="229"/>
      <c r="B53" s="279" t="s">
        <v>1098</v>
      </c>
      <c r="C53" s="243" t="s">
        <v>249</v>
      </c>
      <c r="D53" s="242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342">
        <f t="shared" ref="Q53:X53" si="140">Q52/(Q124+P124)*0.5</f>
        <v>4.0132979631801258E-3</v>
      </c>
      <c r="R53" s="342">
        <f t="shared" si="140"/>
        <v>1.7861922704717195E-3</v>
      </c>
      <c r="S53" s="342">
        <f t="shared" si="140"/>
        <v>6.7282548529327556E-4</v>
      </c>
      <c r="T53" s="342">
        <f t="shared" si="140"/>
        <v>7.1697664947054031E-4</v>
      </c>
      <c r="U53" s="342">
        <f t="shared" si="140"/>
        <v>1.0310770232625447E-3</v>
      </c>
      <c r="V53" s="342">
        <f t="shared" si="140"/>
        <v>8.0286746973460264E-4</v>
      </c>
      <c r="W53" s="342">
        <f t="shared" si="140"/>
        <v>8.6325168411154442E-4</v>
      </c>
      <c r="X53" s="342">
        <f t="shared" si="140"/>
        <v>1.0324584846615958E-3</v>
      </c>
      <c r="Y53" s="342">
        <f t="shared" ref="Y53:AE53" si="141">Y52/(Y124+X124)*0.5</f>
        <v>1.8094476265436983E-3</v>
      </c>
      <c r="Z53" s="342">
        <f t="shared" si="141"/>
        <v>2.25019689222807E-3</v>
      </c>
      <c r="AA53" s="342">
        <f t="shared" si="141"/>
        <v>3.6173802995148703E-3</v>
      </c>
      <c r="AB53" s="342">
        <f t="shared" si="141"/>
        <v>3.8498783627388461E-3</v>
      </c>
      <c r="AC53" s="342">
        <f t="shared" si="141"/>
        <v>1.6864320110532411E-3</v>
      </c>
      <c r="AD53" s="342">
        <f t="shared" si="141"/>
        <v>5.7042783569307722E-4</v>
      </c>
      <c r="AE53" s="365">
        <f t="shared" si="141"/>
        <v>3.076098753898361E-3</v>
      </c>
      <c r="AF53" s="264">
        <f t="shared" ref="AF53:AJ53" si="142">AF52/(AF124+AE124)*0.5</f>
        <v>3.0414188351101392E-3</v>
      </c>
      <c r="AG53" s="264">
        <f t="shared" si="142"/>
        <v>2.9232333502796138E-3</v>
      </c>
      <c r="AH53" s="264">
        <f t="shared" si="142"/>
        <v>2.9175784099197666E-3</v>
      </c>
      <c r="AI53" s="264">
        <f t="shared" si="142"/>
        <v>2.7681660899653978E-3</v>
      </c>
      <c r="AJ53" s="264">
        <f t="shared" si="142"/>
        <v>2.7062134661182072E-3</v>
      </c>
    </row>
    <row r="54" spans="1:42">
      <c r="A54" s="229"/>
      <c r="B54" s="243" t="s">
        <v>251</v>
      </c>
      <c r="C54" s="243" t="s">
        <v>250</v>
      </c>
      <c r="D54" s="242">
        <f>+'Raw Data'!D42</f>
        <v>0</v>
      </c>
      <c r="E54" s="242">
        <f>+'Raw Data'!E42</f>
        <v>-2600</v>
      </c>
      <c r="F54" s="242">
        <f>+'Raw Data'!F42</f>
        <v>-2424</v>
      </c>
      <c r="G54" s="242">
        <f>+'Raw Data'!G42</f>
        <v>-2640</v>
      </c>
      <c r="H54" s="242">
        <f>+'Raw Data'!H42</f>
        <v>-1990</v>
      </c>
      <c r="I54" s="242">
        <f>+'Raw Data'!I42</f>
        <v>-1993</v>
      </c>
      <c r="J54" s="242">
        <f>+'Raw Data'!J42</f>
        <v>-1106</v>
      </c>
      <c r="K54" s="242">
        <f>+'Raw Data'!K42</f>
        <v>-795</v>
      </c>
      <c r="L54" s="242">
        <f>+'Raw Data'!L42</f>
        <v>-699</v>
      </c>
      <c r="M54" s="242">
        <f>+'Raw Data'!M42</f>
        <v>-610</v>
      </c>
      <c r="N54" s="242">
        <f>+'Raw Data'!N42</f>
        <v>-390</v>
      </c>
      <c r="O54" s="242">
        <f>+'Raw Data'!O42</f>
        <v>-267</v>
      </c>
      <c r="P54" s="242">
        <f>+'Raw Data'!P42</f>
        <v>-179</v>
      </c>
      <c r="Q54" s="233">
        <f>+'Raw Data'!Q42</f>
        <v>-43</v>
      </c>
      <c r="R54" s="233">
        <f>+'Raw Data'!R42</f>
        <v>-27</v>
      </c>
      <c r="S54" s="233">
        <f>+'Raw Data'!S42</f>
        <v>-20</v>
      </c>
      <c r="T54" s="233">
        <f>+'Raw Data'!T42</f>
        <v>-8</v>
      </c>
      <c r="U54" s="233">
        <f>+'Raw Data'!U42</f>
        <v>-5</v>
      </c>
      <c r="V54" s="233">
        <f>+'Raw Data'!V42</f>
        <v>-4</v>
      </c>
      <c r="W54" s="233">
        <f>+'Raw Data'!W42</f>
        <v>-260</v>
      </c>
      <c r="X54" s="233">
        <f>+'Raw Data'!X42</f>
        <v>-277</v>
      </c>
      <c r="Y54" s="233">
        <f>+'Raw Data'!Y42</f>
        <v>-266</v>
      </c>
      <c r="Z54" s="233">
        <f>+'Raw Data'!Z42</f>
        <v>-259</v>
      </c>
      <c r="AA54" s="233">
        <f>+'Raw Data'!AA42</f>
        <v>-252</v>
      </c>
      <c r="AB54" s="233">
        <f>+'Raw Data'!AB42</f>
        <v>-246</v>
      </c>
      <c r="AC54" s="233">
        <f>+'Raw Data'!AC42</f>
        <v>-239</v>
      </c>
      <c r="AD54" s="233">
        <f>+'Raw Data'!AD42</f>
        <v>-231</v>
      </c>
      <c r="AE54" s="244">
        <f>+'Raw Data'!AE42</f>
        <v>-222</v>
      </c>
      <c r="AF54" s="1656">
        <f>ROUND(+AE54,-2)</f>
        <v>-200</v>
      </c>
      <c r="AG54" s="1656">
        <f t="shared" ref="AG54:AJ54" si="143">ROUND(+AF54,-2)</f>
        <v>-200</v>
      </c>
      <c r="AH54" s="1656">
        <f t="shared" si="143"/>
        <v>-200</v>
      </c>
      <c r="AI54" s="1656">
        <f t="shared" si="143"/>
        <v>-200</v>
      </c>
      <c r="AJ54" s="1656">
        <f t="shared" si="143"/>
        <v>-200</v>
      </c>
    </row>
    <row r="55" spans="1:42">
      <c r="A55" s="229"/>
      <c r="B55" s="279" t="s">
        <v>1098</v>
      </c>
      <c r="C55" s="243" t="s">
        <v>249</v>
      </c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53">
        <f t="shared" ref="Q55:X55" si="144">-(Q54/((Q141+Q145)+(P141+P145))*0.5)</f>
        <v>6.1183836084234495E-3</v>
      </c>
      <c r="R55" s="253">
        <f t="shared" si="144"/>
        <v>3.7889419028908225E-3</v>
      </c>
      <c r="S55" s="253">
        <f t="shared" si="144"/>
        <v>2.6048450117218025E-3</v>
      </c>
      <c r="T55" s="253">
        <f t="shared" si="144"/>
        <v>1.7050298380221654E-3</v>
      </c>
      <c r="U55" s="253">
        <f t="shared" si="144"/>
        <v>4.5537340619307837E-3</v>
      </c>
      <c r="V55" s="342">
        <f t="shared" si="144"/>
        <v>3.787878787878788E-3</v>
      </c>
      <c r="W55" s="342">
        <f t="shared" si="144"/>
        <v>0.2268760907504363</v>
      </c>
      <c r="X55" s="342">
        <f t="shared" si="144"/>
        <v>0.24688057040998218</v>
      </c>
      <c r="Y55" s="342">
        <f t="shared" ref="Y55:AE55" si="145">-(Y54/((Y141+Y145)+(X141+X145))*0.5)</f>
        <v>0.23292469352014011</v>
      </c>
      <c r="Z55" s="342">
        <f t="shared" si="145"/>
        <v>0.23460144927536231</v>
      </c>
      <c r="AA55" s="342">
        <f t="shared" si="145"/>
        <v>0.13562970936490851</v>
      </c>
      <c r="AB55" s="342">
        <f t="shared" si="145"/>
        <v>0.12706611570247933</v>
      </c>
      <c r="AC55" s="342">
        <f t="shared" si="145"/>
        <v>0.17729970326409494</v>
      </c>
      <c r="AD55" s="342">
        <f t="shared" si="145"/>
        <v>0.15865384615384615</v>
      </c>
      <c r="AE55" s="365">
        <f t="shared" si="145"/>
        <v>0.14701986754966886</v>
      </c>
      <c r="AF55" s="264">
        <f t="shared" ref="AF55:AJ55" si="146">-(AF54/((AF141+AF145)+(AE141+AE145))*0.5)</f>
        <v>0.1287001287001287</v>
      </c>
      <c r="AG55" s="264">
        <f t="shared" si="146"/>
        <v>0.125</v>
      </c>
      <c r="AH55" s="264">
        <f t="shared" si="146"/>
        <v>0.125</v>
      </c>
      <c r="AI55" s="264">
        <f t="shared" si="146"/>
        <v>0.125</v>
      </c>
      <c r="AJ55" s="264">
        <f t="shared" si="146"/>
        <v>0.125</v>
      </c>
    </row>
    <row r="56" spans="1:42">
      <c r="A56" s="229"/>
      <c r="B56" s="233" t="s">
        <v>248</v>
      </c>
      <c r="C56" s="233" t="s">
        <v>247</v>
      </c>
      <c r="D56" s="233">
        <f t="shared" ref="D56:U56" si="147">D54+D52</f>
        <v>0</v>
      </c>
      <c r="E56" s="233">
        <f t="shared" si="147"/>
        <v>-2600</v>
      </c>
      <c r="F56" s="233">
        <f t="shared" si="147"/>
        <v>-2424</v>
      </c>
      <c r="G56" s="233">
        <f t="shared" si="147"/>
        <v>-2640</v>
      </c>
      <c r="H56" s="233">
        <f t="shared" si="147"/>
        <v>-1990</v>
      </c>
      <c r="I56" s="233">
        <f t="shared" si="147"/>
        <v>-1993</v>
      </c>
      <c r="J56" s="233">
        <f t="shared" si="147"/>
        <v>-1106</v>
      </c>
      <c r="K56" s="233">
        <f t="shared" si="147"/>
        <v>-795</v>
      </c>
      <c r="L56" s="233">
        <f t="shared" si="147"/>
        <v>-699</v>
      </c>
      <c r="M56" s="233">
        <f t="shared" si="147"/>
        <v>-610</v>
      </c>
      <c r="N56" s="233">
        <f t="shared" si="147"/>
        <v>-390</v>
      </c>
      <c r="O56" s="233">
        <f t="shared" si="147"/>
        <v>-267</v>
      </c>
      <c r="P56" s="233">
        <f t="shared" si="147"/>
        <v>-179</v>
      </c>
      <c r="Q56" s="233">
        <f t="shared" si="147"/>
        <v>662</v>
      </c>
      <c r="R56" s="233">
        <f t="shared" si="147"/>
        <v>320</v>
      </c>
      <c r="S56" s="233">
        <f t="shared" si="147"/>
        <v>121</v>
      </c>
      <c r="T56" s="233">
        <f t="shared" si="147"/>
        <v>161</v>
      </c>
      <c r="U56" s="233">
        <f t="shared" si="147"/>
        <v>280</v>
      </c>
      <c r="V56" s="233">
        <f t="shared" ref="V56:W56" si="148">V54+V52</f>
        <v>263</v>
      </c>
      <c r="W56" s="233">
        <f t="shared" si="148"/>
        <v>76</v>
      </c>
      <c r="X56" s="233">
        <f t="shared" ref="X56:Y56" si="149">X54+X52</f>
        <v>175</v>
      </c>
      <c r="Y56" s="233">
        <f t="shared" si="149"/>
        <v>580</v>
      </c>
      <c r="Z56" s="233">
        <f t="shared" ref="Z56:AA56" si="150">Z54+Z52</f>
        <v>821</v>
      </c>
      <c r="AA56" s="233">
        <f t="shared" si="150"/>
        <v>1463</v>
      </c>
      <c r="AB56" s="233">
        <f t="shared" ref="AB56:AC56" si="151">AB54+AB52</f>
        <v>1710</v>
      </c>
      <c r="AC56" s="233">
        <f t="shared" si="151"/>
        <v>757</v>
      </c>
      <c r="AD56" s="233">
        <f t="shared" ref="AD56:AE56" si="152">AD54+AD52</f>
        <v>154</v>
      </c>
      <c r="AE56" s="244">
        <f t="shared" si="152"/>
        <v>2017</v>
      </c>
      <c r="AF56" s="233">
        <f t="shared" ref="AF56:AG56" si="153">AF52+AF54</f>
        <v>2100</v>
      </c>
      <c r="AG56" s="233">
        <f t="shared" si="153"/>
        <v>2100</v>
      </c>
      <c r="AH56" s="233">
        <f t="shared" ref="AH56:AI56" si="154">AH52+AH54</f>
        <v>2200</v>
      </c>
      <c r="AI56" s="233">
        <f t="shared" si="154"/>
        <v>2200</v>
      </c>
      <c r="AJ56" s="233">
        <f t="shared" ref="AJ56" si="155">AJ52+AJ54</f>
        <v>2300</v>
      </c>
    </row>
    <row r="57" spans="1:42">
      <c r="A57" s="229"/>
      <c r="B57" s="233" t="s">
        <v>246</v>
      </c>
      <c r="C57" s="233" t="s">
        <v>245</v>
      </c>
      <c r="D57" s="242">
        <f>'Raw Data'!D50</f>
        <v>0</v>
      </c>
      <c r="E57" s="242">
        <f>'Raw Data'!E50</f>
        <v>0</v>
      </c>
      <c r="F57" s="242">
        <f>'Raw Data'!F50</f>
        <v>0</v>
      </c>
      <c r="G57" s="242">
        <f>'Raw Data'!G50</f>
        <v>0</v>
      </c>
      <c r="H57" s="242">
        <f>'Raw Data'!H50</f>
        <v>0</v>
      </c>
      <c r="I57" s="242">
        <f>'Raw Data'!I50</f>
        <v>0</v>
      </c>
      <c r="J57" s="242">
        <f>'Raw Data'!J50</f>
        <v>0</v>
      </c>
      <c r="K57" s="242">
        <f>'Raw Data'!K50</f>
        <v>0</v>
      </c>
      <c r="L57" s="242">
        <f>'Raw Data'!L50</f>
        <v>0</v>
      </c>
      <c r="M57" s="242">
        <f>'Raw Data'!M50</f>
        <v>0</v>
      </c>
      <c r="N57" s="242">
        <f>'Raw Data'!N50</f>
        <v>0</v>
      </c>
      <c r="O57" s="242">
        <f>'Raw Data'!O50</f>
        <v>0</v>
      </c>
      <c r="P57" s="242">
        <f>'Raw Data'!P50</f>
        <v>0</v>
      </c>
      <c r="Q57" s="233">
        <f>'Raw Data'!Q50</f>
        <v>0</v>
      </c>
      <c r="R57" s="233">
        <f>'Raw Data'!R50</f>
        <v>0</v>
      </c>
      <c r="S57" s="233">
        <f>'Raw Data'!S50</f>
        <v>0</v>
      </c>
      <c r="T57" s="233">
        <f>'Raw Data'!T50</f>
        <v>0</v>
      </c>
      <c r="U57" s="233">
        <f>'Raw Data'!U50</f>
        <v>0</v>
      </c>
      <c r="V57" s="233">
        <f>'Raw Data'!V50</f>
        <v>0</v>
      </c>
      <c r="W57" s="233">
        <f>'Raw Data'!W50</f>
        <v>0</v>
      </c>
      <c r="X57" s="233">
        <f>'Raw Data'!X50</f>
        <v>0</v>
      </c>
      <c r="Y57" s="233">
        <f>'Raw Data'!Y50</f>
        <v>0</v>
      </c>
      <c r="Z57" s="233">
        <f>'Raw Data'!Z50</f>
        <v>0</v>
      </c>
      <c r="AA57" s="233">
        <f>'Raw Data'!AA50</f>
        <v>0</v>
      </c>
      <c r="AB57" s="233">
        <f>'Raw Data'!AB50</f>
        <v>0</v>
      </c>
      <c r="AC57" s="233">
        <f>'Raw Data'!AC50</f>
        <v>0</v>
      </c>
      <c r="AD57" s="233">
        <f>'Raw Data'!AD50</f>
        <v>0</v>
      </c>
      <c r="AE57" s="244">
        <f>'Raw Data'!AE50</f>
        <v>0</v>
      </c>
      <c r="AF57" s="251">
        <v>0</v>
      </c>
      <c r="AG57" s="251">
        <v>0</v>
      </c>
      <c r="AH57" s="251">
        <v>0</v>
      </c>
      <c r="AI57" s="251">
        <v>0</v>
      </c>
      <c r="AJ57" s="251">
        <v>0</v>
      </c>
    </row>
    <row r="58" spans="1:42">
      <c r="A58" s="229"/>
      <c r="B58" s="162" t="s">
        <v>244</v>
      </c>
      <c r="C58" s="162" t="s">
        <v>243</v>
      </c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33"/>
      <c r="R58" s="233"/>
      <c r="S58" s="233"/>
      <c r="T58" s="233"/>
      <c r="U58" s="233"/>
      <c r="V58" s="233"/>
      <c r="W58" s="233"/>
      <c r="X58" s="233"/>
      <c r="Y58" s="233"/>
      <c r="Z58" s="233"/>
      <c r="AA58" s="233"/>
      <c r="AB58" s="233"/>
      <c r="AC58" s="233"/>
      <c r="AD58" s="233"/>
      <c r="AE58" s="244"/>
      <c r="AF58" s="280"/>
      <c r="AG58" s="280"/>
      <c r="AH58" s="280"/>
      <c r="AI58" s="280"/>
      <c r="AJ58" s="280"/>
    </row>
    <row r="59" spans="1:42">
      <c r="A59" s="229"/>
      <c r="B59" s="233" t="s">
        <v>242</v>
      </c>
      <c r="C59" s="233" t="s">
        <v>241</v>
      </c>
      <c r="D59" s="242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33"/>
      <c r="R59" s="233"/>
      <c r="S59" s="233"/>
      <c r="T59" s="233"/>
      <c r="U59" s="233"/>
      <c r="V59" s="233"/>
      <c r="W59" s="233"/>
      <c r="X59" s="233"/>
      <c r="Y59" s="233"/>
      <c r="Z59" s="233"/>
      <c r="AA59" s="233"/>
      <c r="AB59" s="233"/>
      <c r="AC59" s="233"/>
      <c r="AD59" s="233"/>
      <c r="AE59" s="244"/>
      <c r="AF59" s="251"/>
      <c r="AG59" s="251"/>
      <c r="AH59" s="251"/>
      <c r="AI59" s="251"/>
      <c r="AJ59" s="251"/>
    </row>
    <row r="60" spans="1:42">
      <c r="A60" s="229"/>
      <c r="B60" s="233" t="s">
        <v>240</v>
      </c>
      <c r="C60" s="233" t="s">
        <v>239</v>
      </c>
      <c r="D60" s="242">
        <f>'Raw Data'!D54</f>
        <v>0</v>
      </c>
      <c r="E60" s="242">
        <f>'Raw Data'!E54</f>
        <v>0</v>
      </c>
      <c r="F60" s="242">
        <f>'Raw Data'!F54</f>
        <v>0</v>
      </c>
      <c r="G60" s="242">
        <f>'Raw Data'!G54</f>
        <v>0</v>
      </c>
      <c r="H60" s="242">
        <f>'Raw Data'!H54</f>
        <v>0</v>
      </c>
      <c r="I60" s="242">
        <f>'Raw Data'!I54</f>
        <v>0</v>
      </c>
      <c r="J60" s="242">
        <f>'Raw Data'!J54</f>
        <v>0</v>
      </c>
      <c r="K60" s="242">
        <f>'Raw Data'!K54</f>
        <v>0</v>
      </c>
      <c r="L60" s="242">
        <f>'Raw Data'!L54</f>
        <v>0</v>
      </c>
      <c r="M60" s="242">
        <f>'Raw Data'!M54</f>
        <v>37</v>
      </c>
      <c r="N60" s="242">
        <f>'Raw Data'!N54</f>
        <v>236</v>
      </c>
      <c r="O60" s="242">
        <f>'Raw Data'!O54</f>
        <v>179</v>
      </c>
      <c r="P60" s="242">
        <f>'Raw Data'!P54</f>
        <v>167</v>
      </c>
      <c r="Q60" s="233">
        <f>'Raw Data'!Q54</f>
        <v>160</v>
      </c>
      <c r="R60" s="233">
        <f>'Raw Data'!R54</f>
        <v>185</v>
      </c>
      <c r="S60" s="233">
        <f>'Raw Data'!S54</f>
        <v>67</v>
      </c>
      <c r="T60" s="233">
        <f>'Raw Data'!T54</f>
        <v>16</v>
      </c>
      <c r="U60" s="233">
        <f>'Raw Data'!U54</f>
        <v>17</v>
      </c>
      <c r="V60" s="233">
        <f>'Raw Data'!V54</f>
        <v>34</v>
      </c>
      <c r="W60" s="233">
        <f>'Raw Data'!W54</f>
        <v>84</v>
      </c>
      <c r="X60" s="233">
        <f>'Raw Data'!X54</f>
        <v>106</v>
      </c>
      <c r="Y60" s="233">
        <f>'Raw Data'!Y54</f>
        <v>116</v>
      </c>
      <c r="Z60" s="233">
        <f>'Raw Data'!Z54</f>
        <v>136</v>
      </c>
      <c r="AA60" s="233">
        <f>'Raw Data'!AA54</f>
        <v>142</v>
      </c>
      <c r="AB60" s="233">
        <f>'Raw Data'!AB54</f>
        <v>150</v>
      </c>
      <c r="AC60" s="233">
        <f>'Raw Data'!AC54</f>
        <v>40</v>
      </c>
      <c r="AD60" s="233">
        <f>'Raw Data'!AD54</f>
        <v>146</v>
      </c>
      <c r="AE60" s="244">
        <f>'Raw Data'!AE54</f>
        <v>93</v>
      </c>
      <c r="AF60" s="1656">
        <f>+ROUND(AE60,-2)</f>
        <v>100</v>
      </c>
      <c r="AG60" s="1656">
        <f t="shared" ref="AG60:AJ61" si="156">+ROUND(AF60,-2)</f>
        <v>100</v>
      </c>
      <c r="AH60" s="1656">
        <f t="shared" si="156"/>
        <v>100</v>
      </c>
      <c r="AI60" s="1656">
        <f t="shared" si="156"/>
        <v>100</v>
      </c>
      <c r="AJ60" s="1656">
        <f t="shared" si="156"/>
        <v>100</v>
      </c>
    </row>
    <row r="61" spans="1:42">
      <c r="A61" s="229"/>
      <c r="B61" s="233" t="s">
        <v>238</v>
      </c>
      <c r="C61" s="233" t="s">
        <v>237</v>
      </c>
      <c r="D61" s="242">
        <f>+'Raw Data'!D56</f>
        <v>0</v>
      </c>
      <c r="E61" s="242">
        <f>+'Raw Data'!E56</f>
        <v>3108</v>
      </c>
      <c r="F61" s="242">
        <f>+'Raw Data'!F56</f>
        <v>2135</v>
      </c>
      <c r="G61" s="242">
        <f>+'Raw Data'!G56</f>
        <v>1548</v>
      </c>
      <c r="H61" s="242">
        <f>+'Raw Data'!H56</f>
        <v>959</v>
      </c>
      <c r="I61" s="242">
        <f>+'Raw Data'!I56</f>
        <v>1849</v>
      </c>
      <c r="J61" s="242">
        <f>+'Raw Data'!J56</f>
        <v>827</v>
      </c>
      <c r="K61" s="242">
        <f>+'Raw Data'!K56</f>
        <v>371</v>
      </c>
      <c r="L61" s="242">
        <f>+'Raw Data'!L56</f>
        <v>173</v>
      </c>
      <c r="M61" s="242">
        <f>+'Raw Data'!M56</f>
        <v>587</v>
      </c>
      <c r="N61" s="242">
        <f t="shared" ref="N61:U61" si="157">N62-N56-N57-N58-N59-N60</f>
        <v>1370</v>
      </c>
      <c r="O61" s="242">
        <f t="shared" si="157"/>
        <v>2064</v>
      </c>
      <c r="P61" s="242">
        <f t="shared" si="157"/>
        <v>2413</v>
      </c>
      <c r="Q61" s="233">
        <f t="shared" si="157"/>
        <v>916</v>
      </c>
      <c r="R61" s="233">
        <f t="shared" si="157"/>
        <v>919</v>
      </c>
      <c r="S61" s="233">
        <f t="shared" si="157"/>
        <v>1192</v>
      </c>
      <c r="T61" s="233">
        <f t="shared" si="157"/>
        <v>1298</v>
      </c>
      <c r="U61" s="233">
        <f t="shared" si="157"/>
        <v>2077</v>
      </c>
      <c r="V61" s="233">
        <f t="shared" ref="V61:W61" si="158">V62-V56-V57-V58-V59-V60</f>
        <v>1351</v>
      </c>
      <c r="W61" s="233">
        <f t="shared" si="158"/>
        <v>1394</v>
      </c>
      <c r="X61" s="233">
        <f t="shared" ref="X61:Y61" si="159">X62-X56-X57-X58-X59-X60</f>
        <v>894</v>
      </c>
      <c r="Y61" s="233">
        <f t="shared" si="159"/>
        <v>964</v>
      </c>
      <c r="Z61" s="233">
        <f t="shared" ref="Z61:AA61" si="160">Z62-Z56-Z57-Z58-Z59-Z60</f>
        <v>961</v>
      </c>
      <c r="AA61" s="233">
        <f t="shared" si="160"/>
        <v>902</v>
      </c>
      <c r="AB61" s="233">
        <f t="shared" ref="AB61:AC61" si="161">AB62-AB56-AB57-AB58-AB59-AB60</f>
        <v>1141</v>
      </c>
      <c r="AC61" s="233">
        <f t="shared" si="161"/>
        <v>1440</v>
      </c>
      <c r="AD61" s="233">
        <f t="shared" ref="AD61:AE61" si="162">AD62-AD56-AD57-AD58-AD59-AD60</f>
        <v>1796</v>
      </c>
      <c r="AE61" s="244">
        <f t="shared" si="162"/>
        <v>1284</v>
      </c>
      <c r="AF61" s="1656">
        <f>+ROUND(AE61+1000,-2)</f>
        <v>2300</v>
      </c>
      <c r="AG61" s="1656">
        <f t="shared" si="156"/>
        <v>2300</v>
      </c>
      <c r="AH61" s="1656">
        <f t="shared" si="156"/>
        <v>2300</v>
      </c>
      <c r="AI61" s="1656">
        <f t="shared" si="156"/>
        <v>2300</v>
      </c>
      <c r="AJ61" s="1656">
        <f t="shared" si="156"/>
        <v>2300</v>
      </c>
    </row>
    <row r="62" spans="1:42" s="114" customFormat="1">
      <c r="A62" s="281"/>
      <c r="B62" s="124" t="s">
        <v>236</v>
      </c>
      <c r="C62" s="124" t="s">
        <v>235</v>
      </c>
      <c r="D62" s="169">
        <f t="shared" ref="D62:U62" si="163">+D64-D36</f>
        <v>0</v>
      </c>
      <c r="E62" s="169">
        <f t="shared" si="163"/>
        <v>507</v>
      </c>
      <c r="F62" s="169">
        <f t="shared" si="163"/>
        <v>-290</v>
      </c>
      <c r="G62" s="169">
        <f t="shared" si="163"/>
        <v>-1092</v>
      </c>
      <c r="H62" s="169">
        <f t="shared" si="163"/>
        <v>-1031</v>
      </c>
      <c r="I62" s="169">
        <f t="shared" si="163"/>
        <v>-144</v>
      </c>
      <c r="J62" s="169">
        <f t="shared" si="163"/>
        <v>-280</v>
      </c>
      <c r="K62" s="169">
        <f t="shared" si="163"/>
        <v>-424</v>
      </c>
      <c r="L62" s="169">
        <f t="shared" si="163"/>
        <v>-527</v>
      </c>
      <c r="M62" s="169">
        <f t="shared" si="163"/>
        <v>14</v>
      </c>
      <c r="N62" s="169">
        <f t="shared" si="163"/>
        <v>1216</v>
      </c>
      <c r="O62" s="169">
        <f t="shared" si="163"/>
        <v>1976</v>
      </c>
      <c r="P62" s="169">
        <f t="shared" si="163"/>
        <v>2401</v>
      </c>
      <c r="Q62" s="169">
        <f t="shared" si="163"/>
        <v>1738</v>
      </c>
      <c r="R62" s="169">
        <f t="shared" si="163"/>
        <v>1424</v>
      </c>
      <c r="S62" s="169">
        <f t="shared" si="163"/>
        <v>1380</v>
      </c>
      <c r="T62" s="169">
        <f t="shared" si="163"/>
        <v>1475</v>
      </c>
      <c r="U62" s="169">
        <f t="shared" si="163"/>
        <v>2374</v>
      </c>
      <c r="V62" s="169">
        <f t="shared" ref="V62:W62" si="164">+V64-V36</f>
        <v>1648</v>
      </c>
      <c r="W62" s="169">
        <f t="shared" si="164"/>
        <v>1554</v>
      </c>
      <c r="X62" s="169">
        <f t="shared" ref="X62:Y62" si="165">+X64-X36</f>
        <v>1175</v>
      </c>
      <c r="Y62" s="248">
        <f t="shared" si="165"/>
        <v>1660</v>
      </c>
      <c r="Z62" s="248">
        <f t="shared" ref="Z62:AA62" si="166">+Z64-Z36</f>
        <v>1918</v>
      </c>
      <c r="AA62" s="248">
        <f t="shared" si="166"/>
        <v>2507</v>
      </c>
      <c r="AB62" s="248">
        <f t="shared" ref="AB62:AC62" si="167">+AB64-AB36</f>
        <v>3001</v>
      </c>
      <c r="AC62" s="248">
        <f t="shared" si="167"/>
        <v>2237</v>
      </c>
      <c r="AD62" s="248">
        <f t="shared" ref="AD62:AE62" si="168">+AD64-AD36</f>
        <v>2096</v>
      </c>
      <c r="AE62" s="267">
        <f t="shared" si="168"/>
        <v>3394</v>
      </c>
      <c r="AF62" s="248">
        <f t="shared" ref="AF62:AG62" si="169">AF56+AF57+AF58+AF59+AF60+AF61</f>
        <v>4500</v>
      </c>
      <c r="AG62" s="248">
        <f t="shared" si="169"/>
        <v>4500</v>
      </c>
      <c r="AH62" s="248">
        <f t="shared" ref="AH62:AI62" si="170">AH56+AH57+AH58+AH59+AH60+AH61</f>
        <v>4600</v>
      </c>
      <c r="AI62" s="248">
        <f t="shared" si="170"/>
        <v>4600</v>
      </c>
      <c r="AJ62" s="248">
        <f>AJ56+AJ57+AJ58+AJ59+AJ60+AJ61</f>
        <v>4700</v>
      </c>
      <c r="AO62" s="114">
        <f>AO64-AO36</f>
        <v>3000</v>
      </c>
      <c r="AP62" s="114">
        <v>33500</v>
      </c>
    </row>
    <row r="63" spans="1:42" s="114" customFormat="1">
      <c r="A63" s="281"/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246"/>
      <c r="AF63" s="168"/>
      <c r="AG63" s="168"/>
      <c r="AH63" s="168"/>
      <c r="AI63" s="168"/>
      <c r="AJ63" s="168"/>
    </row>
    <row r="64" spans="1:42" s="114" customFormat="1">
      <c r="A64" s="281"/>
      <c r="B64" s="114" t="s">
        <v>234</v>
      </c>
      <c r="C64" s="114" t="s">
        <v>233</v>
      </c>
      <c r="D64" s="216">
        <f>+'Raw Data'!D58</f>
        <v>0</v>
      </c>
      <c r="E64" s="216">
        <f>+'Raw Data'!E58</f>
        <v>10206</v>
      </c>
      <c r="F64" s="216">
        <f>+'Raw Data'!F58</f>
        <v>8475</v>
      </c>
      <c r="G64" s="216">
        <f>+'Raw Data'!G58</f>
        <v>11050</v>
      </c>
      <c r="H64" s="216">
        <f>+'Raw Data'!H58</f>
        <v>14960</v>
      </c>
      <c r="I64" s="216">
        <f>+'Raw Data'!I58</f>
        <v>16152</v>
      </c>
      <c r="J64" s="216">
        <f>+'Raw Data'!J58</f>
        <v>16218</v>
      </c>
      <c r="K64" s="216">
        <f>+'Raw Data'!K58</f>
        <v>18971</v>
      </c>
      <c r="L64" s="216">
        <f>+'Raw Data'!L58</f>
        <v>18117</v>
      </c>
      <c r="M64" s="216">
        <f>+'Raw Data'!M58</f>
        <v>20259</v>
      </c>
      <c r="N64" s="216">
        <f>+'Raw Data'!N58</f>
        <v>21151</v>
      </c>
      <c r="O64" s="216">
        <f>+'Raw Data'!O58</f>
        <v>21546</v>
      </c>
      <c r="P64" s="216">
        <f>+'Raw Data'!P58</f>
        <v>22623</v>
      </c>
      <c r="Q64" s="233">
        <f>+'Raw Data'!Q58</f>
        <v>26716</v>
      </c>
      <c r="R64" s="233">
        <f>+'Raw Data'!R58</f>
        <v>32545</v>
      </c>
      <c r="S64" s="233">
        <f>+'Raw Data'!S58</f>
        <v>27191</v>
      </c>
      <c r="T64" s="233">
        <f>+'Raw Data'!T58</f>
        <v>26989</v>
      </c>
      <c r="U64" s="233">
        <f>+'Raw Data'!U58</f>
        <v>31997</v>
      </c>
      <c r="V64" s="233">
        <f>+'Raw Data'!V58</f>
        <v>32243</v>
      </c>
      <c r="W64" s="233">
        <f>+'Raw Data'!W58</f>
        <v>26630</v>
      </c>
      <c r="X64" s="233">
        <f>+'Raw Data'!X58</f>
        <v>29489</v>
      </c>
      <c r="Y64" s="233">
        <f>+'Raw Data'!Y58</f>
        <v>31147</v>
      </c>
      <c r="Z64" s="233">
        <f>+'Raw Data'!Z58</f>
        <v>28571</v>
      </c>
      <c r="AA64" s="233">
        <f>+'Raw Data'!AA58</f>
        <v>26169</v>
      </c>
      <c r="AB64" s="233">
        <f>+'Raw Data'!AB58</f>
        <v>31350</v>
      </c>
      <c r="AC64" s="233">
        <f>+'Raw Data'!AC58</f>
        <v>38697</v>
      </c>
      <c r="AD64" s="233">
        <f>+'Raw Data'!AD58</f>
        <v>31834</v>
      </c>
      <c r="AE64" s="244">
        <f>+'Raw Data'!AE58</f>
        <v>43724</v>
      </c>
      <c r="AF64" s="168">
        <f t="shared" ref="AF64:AG64" si="171">AF36+AF62</f>
        <v>64000</v>
      </c>
      <c r="AG64" s="168">
        <f t="shared" si="171"/>
        <v>68500</v>
      </c>
      <c r="AH64" s="168">
        <f t="shared" ref="AH64:AI64" si="172">AH36+AH62</f>
        <v>70700</v>
      </c>
      <c r="AI64" s="168">
        <f t="shared" si="172"/>
        <v>72600</v>
      </c>
      <c r="AJ64" s="168">
        <f t="shared" ref="AJ64" si="173">AJ36+AJ62</f>
        <v>74900</v>
      </c>
      <c r="AL64" s="282">
        <v>57000</v>
      </c>
      <c r="AM64" s="282">
        <v>55000</v>
      </c>
      <c r="AO64" s="282">
        <v>44000</v>
      </c>
      <c r="AP64" s="114">
        <v>33500</v>
      </c>
    </row>
    <row r="65" spans="1:46" s="114" customFormat="1">
      <c r="A65" s="281"/>
      <c r="B65" s="23" t="s">
        <v>232</v>
      </c>
      <c r="C65" s="23" t="s">
        <v>231</v>
      </c>
      <c r="D65" s="242">
        <f>'Raw Data'!D59</f>
        <v>0</v>
      </c>
      <c r="E65" s="242">
        <f>'Raw Data'!E59</f>
        <v>551</v>
      </c>
      <c r="F65" s="242">
        <f>'Raw Data'!F59</f>
        <v>116</v>
      </c>
      <c r="G65" s="242">
        <f>'Raw Data'!G59</f>
        <v>87</v>
      </c>
      <c r="H65" s="242">
        <f>'Raw Data'!H59</f>
        <v>172</v>
      </c>
      <c r="I65" s="242">
        <f>'Raw Data'!I59</f>
        <v>114</v>
      </c>
      <c r="J65" s="242">
        <f>'Raw Data'!J59</f>
        <v>1712</v>
      </c>
      <c r="K65" s="242">
        <f>'Raw Data'!K59</f>
        <v>343</v>
      </c>
      <c r="L65" s="242">
        <f>'Raw Data'!L59</f>
        <v>1137</v>
      </c>
      <c r="M65" s="242">
        <f>'Raw Data'!M59</f>
        <v>8359</v>
      </c>
      <c r="N65" s="242">
        <f>'Raw Data'!N59</f>
        <v>5694</v>
      </c>
      <c r="O65" s="242">
        <f>'Raw Data'!O59</f>
        <v>1390</v>
      </c>
      <c r="P65" s="242">
        <f>'Raw Data'!P59</f>
        <v>943</v>
      </c>
      <c r="Q65" s="233">
        <f>'Raw Data'!Q59</f>
        <v>49</v>
      </c>
      <c r="R65" s="233">
        <f>'Raw Data'!R59</f>
        <v>158</v>
      </c>
      <c r="S65" s="233">
        <f>'Raw Data'!S59</f>
        <v>501</v>
      </c>
      <c r="T65" s="233">
        <f>'Raw Data'!T59</f>
        <v>69</v>
      </c>
      <c r="U65" s="233">
        <f>'Raw Data'!U59</f>
        <v>133</v>
      </c>
      <c r="V65" s="233">
        <f>'Raw Data'!V59</f>
        <v>4383</v>
      </c>
      <c r="W65" s="233">
        <f>'Raw Data'!W59</f>
        <v>1217</v>
      </c>
      <c r="X65" s="233">
        <f>'Raw Data'!X59</f>
        <v>1082</v>
      </c>
      <c r="Y65" s="233">
        <f>'Raw Data'!Y59</f>
        <v>1479</v>
      </c>
      <c r="Z65" s="233">
        <f>'Raw Data'!Z59</f>
        <v>723</v>
      </c>
      <c r="AA65" s="233">
        <f>'Raw Data'!AA59</f>
        <v>1137</v>
      </c>
      <c r="AB65" s="233">
        <f>'Raw Data'!AB59</f>
        <v>1901</v>
      </c>
      <c r="AC65" s="233">
        <f>'Raw Data'!AC59</f>
        <v>2044</v>
      </c>
      <c r="AD65" s="233">
        <f>'Raw Data'!AD59</f>
        <v>430</v>
      </c>
      <c r="AE65" s="244">
        <f>'Raw Data'!AE59</f>
        <v>268</v>
      </c>
      <c r="AF65" s="1656">
        <f t="shared" ref="AF65:AJ65" si="174">+ROUND(AE65,-2)</f>
        <v>300</v>
      </c>
      <c r="AG65" s="1656">
        <f t="shared" si="174"/>
        <v>300</v>
      </c>
      <c r="AH65" s="1656">
        <f t="shared" si="174"/>
        <v>300</v>
      </c>
      <c r="AI65" s="1656">
        <f t="shared" si="174"/>
        <v>300</v>
      </c>
      <c r="AJ65" s="1656">
        <f t="shared" si="174"/>
        <v>300</v>
      </c>
    </row>
    <row r="66" spans="1:46" s="114" customFormat="1">
      <c r="A66" s="281"/>
      <c r="B66" s="23" t="s">
        <v>230</v>
      </c>
      <c r="C66" s="23" t="s">
        <v>229</v>
      </c>
      <c r="D66" s="242">
        <f>'Raw Data'!D60</f>
        <v>0</v>
      </c>
      <c r="E66" s="242">
        <f>'Raw Data'!E60</f>
        <v>-1316</v>
      </c>
      <c r="F66" s="242">
        <f>'Raw Data'!F60</f>
        <v>-2623</v>
      </c>
      <c r="G66" s="242">
        <f>'Raw Data'!G60</f>
        <v>-2577</v>
      </c>
      <c r="H66" s="242">
        <f>'Raw Data'!H60</f>
        <v>-5402</v>
      </c>
      <c r="I66" s="242">
        <f>'Raw Data'!I60</f>
        <v>-14674</v>
      </c>
      <c r="J66" s="242">
        <f>'Raw Data'!J60</f>
        <v>-5899</v>
      </c>
      <c r="K66" s="242">
        <f>'Raw Data'!K60</f>
        <v>-4622</v>
      </c>
      <c r="L66" s="242">
        <f>'Raw Data'!L60</f>
        <v>-1919</v>
      </c>
      <c r="M66" s="242">
        <f>'Raw Data'!M60</f>
        <v>-5538</v>
      </c>
      <c r="N66" s="242">
        <f>'Raw Data'!N60</f>
        <v>-2050</v>
      </c>
      <c r="O66" s="242">
        <f>'Raw Data'!O60</f>
        <v>-6040</v>
      </c>
      <c r="P66" s="242">
        <f>'Raw Data'!P60</f>
        <v>-2051</v>
      </c>
      <c r="Q66" s="233">
        <f>'Raw Data'!Q60</f>
        <v>-2293</v>
      </c>
      <c r="R66" s="233">
        <f>'Raw Data'!R60</f>
        <v>-1900</v>
      </c>
      <c r="S66" s="233">
        <f>'Raw Data'!S60</f>
        <v>-5965</v>
      </c>
      <c r="T66" s="233">
        <f>'Raw Data'!T60</f>
        <v>-629</v>
      </c>
      <c r="U66" s="233">
        <f>'Raw Data'!U60</f>
        <v>-3193</v>
      </c>
      <c r="V66" s="233">
        <f>'Raw Data'!V60</f>
        <v>-323</v>
      </c>
      <c r="W66" s="233">
        <f>'Raw Data'!W60</f>
        <v>-205</v>
      </c>
      <c r="X66" s="233">
        <f>'Raw Data'!X60</f>
        <v>-1765</v>
      </c>
      <c r="Y66" s="233">
        <f>'Raw Data'!Y60</f>
        <v>-2163</v>
      </c>
      <c r="Z66" s="233">
        <f>'Raw Data'!Z60</f>
        <v>-2008</v>
      </c>
      <c r="AA66" s="233">
        <f>'Raw Data'!AA60</f>
        <v>-1400</v>
      </c>
      <c r="AB66" s="233">
        <f>'Raw Data'!AB60</f>
        <v>-651</v>
      </c>
      <c r="AC66" s="233">
        <f>'Raw Data'!AC60</f>
        <v>-1832</v>
      </c>
      <c r="AD66" s="233">
        <f>'Raw Data'!AD60</f>
        <v>-678</v>
      </c>
      <c r="AE66" s="244">
        <f>'Raw Data'!AE60</f>
        <v>-445</v>
      </c>
      <c r="AF66" s="1656">
        <f t="shared" ref="AF66:AJ66" si="175">+ROUND(AE66,-2)</f>
        <v>-400</v>
      </c>
      <c r="AG66" s="1656">
        <f t="shared" si="175"/>
        <v>-400</v>
      </c>
      <c r="AH66" s="1656">
        <f t="shared" si="175"/>
        <v>-400</v>
      </c>
      <c r="AI66" s="1656">
        <f t="shared" si="175"/>
        <v>-400</v>
      </c>
      <c r="AJ66" s="1656">
        <f t="shared" si="175"/>
        <v>-400</v>
      </c>
      <c r="AL66" s="282">
        <v>0</v>
      </c>
      <c r="AM66" s="282">
        <v>0</v>
      </c>
      <c r="AO66" s="282">
        <v>0</v>
      </c>
      <c r="AP66" s="114">
        <v>-500</v>
      </c>
    </row>
    <row r="67" spans="1:46">
      <c r="A67" s="240"/>
      <c r="B67" s="283" t="s">
        <v>28</v>
      </c>
      <c r="C67" s="283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4"/>
      <c r="P67" s="284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6"/>
      <c r="AF67" s="168"/>
      <c r="AG67" s="168"/>
      <c r="AH67" s="168"/>
      <c r="AI67" s="168"/>
      <c r="AJ67" s="168"/>
      <c r="AK67" s="23"/>
      <c r="AL67" s="23"/>
      <c r="AM67" s="23"/>
      <c r="AN67" s="23"/>
      <c r="AO67" s="23"/>
      <c r="AP67" s="23"/>
      <c r="AQ67" s="23"/>
      <c r="AR67" s="23"/>
      <c r="AS67" s="23"/>
      <c r="AT67" s="23"/>
    </row>
    <row r="68" spans="1:46" s="114" customFormat="1">
      <c r="A68" s="281"/>
      <c r="B68" s="114" t="s">
        <v>228</v>
      </c>
      <c r="C68" s="114" t="s">
        <v>188</v>
      </c>
      <c r="D68" s="216">
        <f>+'Raw Data'!D62</f>
        <v>0</v>
      </c>
      <c r="E68" s="216">
        <f>+'Raw Data'!E62</f>
        <v>9442</v>
      </c>
      <c r="F68" s="216">
        <f>+'Raw Data'!F62</f>
        <v>5969</v>
      </c>
      <c r="G68" s="216">
        <f>+'Raw Data'!G62</f>
        <v>8560</v>
      </c>
      <c r="H68" s="216">
        <f>+'Raw Data'!H62</f>
        <v>9730</v>
      </c>
      <c r="I68" s="216">
        <f>+'Raw Data'!I62</f>
        <v>1592</v>
      </c>
      <c r="J68" s="216">
        <f>+'Raw Data'!J62</f>
        <v>12032</v>
      </c>
      <c r="K68" s="216">
        <f>+'Raw Data'!K62</f>
        <v>14692</v>
      </c>
      <c r="L68" s="216">
        <f>+'Raw Data'!L62</f>
        <v>17336</v>
      </c>
      <c r="M68" s="216">
        <f>+'Raw Data'!M62</f>
        <v>23080</v>
      </c>
      <c r="N68" s="216">
        <f>+'Raw Data'!N62</f>
        <v>24795</v>
      </c>
      <c r="O68" s="216">
        <f>+'Raw Data'!O62</f>
        <v>16896</v>
      </c>
      <c r="P68" s="216">
        <f>+'Raw Data'!P62</f>
        <v>21515</v>
      </c>
      <c r="Q68" s="233">
        <f>+'Raw Data'!Q62</f>
        <v>24473</v>
      </c>
      <c r="R68" s="233">
        <f>+'Raw Data'!R62</f>
        <v>30802</v>
      </c>
      <c r="S68" s="233">
        <f>+'Raw Data'!S62</f>
        <v>21727</v>
      </c>
      <c r="T68" s="233">
        <f>+'Raw Data'!T62</f>
        <v>26429</v>
      </c>
      <c r="U68" s="233">
        <f>+'Raw Data'!U62</f>
        <v>28937</v>
      </c>
      <c r="V68" s="233">
        <f>+'Raw Data'!V62</f>
        <v>36303</v>
      </c>
      <c r="W68" s="233">
        <f>+'Raw Data'!W62</f>
        <v>27640</v>
      </c>
      <c r="X68" s="233">
        <f>+'Raw Data'!X62</f>
        <v>28805</v>
      </c>
      <c r="Y68" s="233">
        <f>+'Raw Data'!Y62</f>
        <v>30463</v>
      </c>
      <c r="Z68" s="233">
        <f>+'Raw Data'!Z62</f>
        <v>27287</v>
      </c>
      <c r="AA68" s="233">
        <f>+'Raw Data'!AA62</f>
        <v>25906</v>
      </c>
      <c r="AB68" s="233">
        <f>+'Raw Data'!AB62</f>
        <v>32600</v>
      </c>
      <c r="AC68" s="233">
        <f>+'Raw Data'!AC62</f>
        <v>38909</v>
      </c>
      <c r="AD68" s="233">
        <f>+'Raw Data'!AD62</f>
        <v>31586</v>
      </c>
      <c r="AE68" s="244">
        <f>+'Raw Data'!AE62</f>
        <v>43547</v>
      </c>
      <c r="AF68" s="248">
        <f t="shared" ref="AF68:AG68" si="176">AF64+AF65+AF66</f>
        <v>63900</v>
      </c>
      <c r="AG68" s="248">
        <f t="shared" si="176"/>
        <v>68400</v>
      </c>
      <c r="AH68" s="248">
        <f t="shared" ref="AH68:AI68" si="177">AH64+AH65+AH66</f>
        <v>70600</v>
      </c>
      <c r="AI68" s="248">
        <f t="shared" si="177"/>
        <v>72500</v>
      </c>
      <c r="AJ68" s="248">
        <f t="shared" ref="AJ68" si="178">AJ64+AJ65+AJ66</f>
        <v>74800</v>
      </c>
      <c r="AO68" s="114">
        <v>44000</v>
      </c>
      <c r="AP68" s="114">
        <v>33000</v>
      </c>
    </row>
    <row r="69" spans="1:46" s="239" customFormat="1" outlineLevel="1">
      <c r="A69" s="231"/>
      <c r="B69" s="232" t="s">
        <v>220</v>
      </c>
      <c r="C69" s="232" t="s">
        <v>220</v>
      </c>
      <c r="D69" s="234" t="str">
        <f>IF(ISERROR(D68/#REF!-1)," ",(D68/#REF!-1))</f>
        <v xml:space="preserve"> </v>
      </c>
      <c r="E69" s="234" t="str">
        <f t="shared" ref="E69:AI69" si="179">IF(ISERROR(E68/D68-1)," ",(E68/D68-1))</f>
        <v xml:space="preserve"> </v>
      </c>
      <c r="F69" s="234">
        <f t="shared" si="179"/>
        <v>-0.36782461342935824</v>
      </c>
      <c r="G69" s="234">
        <f t="shared" si="179"/>
        <v>0.43407605964148099</v>
      </c>
      <c r="H69" s="234">
        <f t="shared" si="179"/>
        <v>0.13668224299065423</v>
      </c>
      <c r="I69" s="234">
        <f t="shared" si="179"/>
        <v>-0.83638232271325796</v>
      </c>
      <c r="J69" s="234">
        <f t="shared" si="179"/>
        <v>6.557788944723618</v>
      </c>
      <c r="K69" s="234">
        <f t="shared" si="179"/>
        <v>0.22107712765957444</v>
      </c>
      <c r="L69" s="234">
        <f t="shared" si="179"/>
        <v>0.17996188401851354</v>
      </c>
      <c r="M69" s="234">
        <f t="shared" si="179"/>
        <v>0.33133364097831097</v>
      </c>
      <c r="N69" s="234">
        <f t="shared" si="179"/>
        <v>7.4306759098786923E-2</v>
      </c>
      <c r="O69" s="234">
        <f t="shared" si="179"/>
        <v>-0.31857229280096788</v>
      </c>
      <c r="P69" s="234">
        <f t="shared" si="179"/>
        <v>0.27337831439393945</v>
      </c>
      <c r="Q69" s="234">
        <f t="shared" si="179"/>
        <v>0.13748547524982579</v>
      </c>
      <c r="R69" s="234">
        <f t="shared" si="179"/>
        <v>0.2586115310750623</v>
      </c>
      <c r="S69" s="234">
        <f t="shared" si="179"/>
        <v>-0.29462372573209528</v>
      </c>
      <c r="T69" s="234">
        <f t="shared" si="179"/>
        <v>0.21641275831914197</v>
      </c>
      <c r="U69" s="234">
        <f t="shared" si="179"/>
        <v>9.4895758447160361E-2</v>
      </c>
      <c r="V69" s="234">
        <f t="shared" si="179"/>
        <v>0.25455299443618906</v>
      </c>
      <c r="W69" s="234">
        <f t="shared" si="179"/>
        <v>-0.23863041621904524</v>
      </c>
      <c r="X69" s="234">
        <f t="shared" si="179"/>
        <v>4.2149059334298133E-2</v>
      </c>
      <c r="Y69" s="234">
        <f t="shared" si="179"/>
        <v>5.7559451484117341E-2</v>
      </c>
      <c r="Z69" s="234">
        <f t="shared" si="179"/>
        <v>-0.10425762400288874</v>
      </c>
      <c r="AA69" s="234">
        <f t="shared" si="179"/>
        <v>-5.0610180672114979E-2</v>
      </c>
      <c r="AB69" s="234">
        <f t="shared" si="179"/>
        <v>0.25839573843897168</v>
      </c>
      <c r="AC69" s="234">
        <f t="shared" si="179"/>
        <v>0.19352760736196317</v>
      </c>
      <c r="AD69" s="234">
        <f t="shared" si="179"/>
        <v>-0.18820838366444781</v>
      </c>
      <c r="AE69" s="256">
        <f t="shared" si="179"/>
        <v>0.37868042803773827</v>
      </c>
      <c r="AF69" s="234">
        <f t="shared" si="179"/>
        <v>0.46738007210600041</v>
      </c>
      <c r="AG69" s="234">
        <f t="shared" si="179"/>
        <v>7.0422535211267512E-2</v>
      </c>
      <c r="AH69" s="234">
        <f t="shared" si="179"/>
        <v>3.2163742690058506E-2</v>
      </c>
      <c r="AI69" s="234">
        <f t="shared" si="179"/>
        <v>2.6912181303116123E-2</v>
      </c>
      <c r="AJ69" s="234">
        <f>IF(ISERROR(AJ68/AI68-1)," ",(AJ68/AI68-1))</f>
        <v>3.1724137931034457E-2</v>
      </c>
      <c r="AL69" s="2269"/>
      <c r="AM69" s="2269"/>
    </row>
    <row r="70" spans="1:46">
      <c r="A70" s="240"/>
      <c r="B70" s="218"/>
      <c r="C70" s="218"/>
      <c r="D70" s="168"/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  <c r="AC70" s="168"/>
      <c r="AD70" s="168"/>
      <c r="AE70" s="246"/>
      <c r="AF70" s="168"/>
      <c r="AG70" s="168"/>
      <c r="AH70" s="168"/>
      <c r="AI70" s="168"/>
      <c r="AJ70" s="168"/>
      <c r="AK70" s="23"/>
      <c r="AL70" s="23"/>
      <c r="AM70" s="23"/>
      <c r="AN70" s="23"/>
      <c r="AO70" s="23"/>
      <c r="AP70" s="23"/>
      <c r="AQ70" s="23"/>
      <c r="AR70" s="23"/>
      <c r="AS70" s="23"/>
      <c r="AT70" s="23"/>
    </row>
    <row r="71" spans="1:46">
      <c r="A71" s="229"/>
      <c r="B71" s="23" t="s">
        <v>227</v>
      </c>
      <c r="C71" s="23" t="s">
        <v>186</v>
      </c>
      <c r="D71" s="242">
        <f>'Raw Data'!D65</f>
        <v>0</v>
      </c>
      <c r="E71" s="242">
        <f>'Raw Data'!E65</f>
        <v>-5154</v>
      </c>
      <c r="F71" s="242">
        <f>'Raw Data'!F65</f>
        <v>-4012</v>
      </c>
      <c r="G71" s="242">
        <f>'Raw Data'!G65</f>
        <v>-5120</v>
      </c>
      <c r="H71" s="242">
        <f>'Raw Data'!H65</f>
        <v>-5440</v>
      </c>
      <c r="I71" s="242">
        <f>'Raw Data'!I65</f>
        <v>-1062</v>
      </c>
      <c r="J71" s="242">
        <f>'Raw Data'!J65</f>
        <v>-6314</v>
      </c>
      <c r="K71" s="242">
        <f>'Raw Data'!K65</f>
        <v>-7963</v>
      </c>
      <c r="L71" s="242">
        <f>'Raw Data'!L65</f>
        <v>-9107</v>
      </c>
      <c r="M71" s="242">
        <f>'Raw Data'!M65</f>
        <v>-9655</v>
      </c>
      <c r="N71" s="242">
        <f>'Raw Data'!N65</f>
        <v>-9825</v>
      </c>
      <c r="O71" s="242">
        <f>'Raw Data'!O65</f>
        <v>-9805</v>
      </c>
      <c r="P71" s="242">
        <f>'Raw Data'!P65</f>
        <v>-8983</v>
      </c>
      <c r="Q71" s="233">
        <f>'Raw Data'!Q65</f>
        <v>-10057</v>
      </c>
      <c r="R71" s="233">
        <f>'Raw Data'!R65</f>
        <v>-11500</v>
      </c>
      <c r="S71" s="233">
        <f>'Raw Data'!S65</f>
        <v>-8664</v>
      </c>
      <c r="T71" s="233">
        <f>'Raw Data'!T65</f>
        <v>-9787</v>
      </c>
      <c r="U71" s="233">
        <f>'Raw Data'!U65</f>
        <v>-11171</v>
      </c>
      <c r="V71" s="233">
        <f>'Raw Data'!V65</f>
        <v>-13024</v>
      </c>
      <c r="W71" s="233">
        <f>'Raw Data'!W65</f>
        <v>-10256</v>
      </c>
      <c r="X71" s="233">
        <f>'Raw Data'!X65</f>
        <v>-9586</v>
      </c>
      <c r="Y71" s="233">
        <f>'Raw Data'!Y65</f>
        <v>-9238</v>
      </c>
      <c r="Z71" s="233">
        <f>'Raw Data'!Z65</f>
        <v>-8475</v>
      </c>
      <c r="AA71" s="233">
        <f>'Raw Data'!AA65</f>
        <v>-6954</v>
      </c>
      <c r="AB71" s="233">
        <f>'Raw Data'!AB65</f>
        <v>-8724</v>
      </c>
      <c r="AC71" s="233">
        <f>'Raw Data'!AC65</f>
        <v>-9298</v>
      </c>
      <c r="AD71" s="233">
        <f>'Raw Data'!AD65</f>
        <v>-8571</v>
      </c>
      <c r="AE71" s="244">
        <f>'Raw Data'!AE65</f>
        <v>-10053</v>
      </c>
      <c r="AF71" s="233">
        <f t="shared" ref="AF71:AG71" si="180">-ROUND(AF68*AF72,-2)</f>
        <v>-14700</v>
      </c>
      <c r="AG71" s="233">
        <f t="shared" si="180"/>
        <v>-15700</v>
      </c>
      <c r="AH71" s="233">
        <f>-ROUND(AH68*AH72,-2)</f>
        <v>-16200</v>
      </c>
      <c r="AI71" s="233">
        <f t="shared" ref="AI71" si="181">-ROUND(AI68*AI72,-2)</f>
        <v>-16700</v>
      </c>
      <c r="AJ71" s="233">
        <f t="shared" ref="AJ71" si="182">-ROUND(AJ68*AJ72,-2)</f>
        <v>-17200</v>
      </c>
      <c r="AK71" s="23"/>
      <c r="AL71" s="23">
        <f>-13000-AL73</f>
        <v>-12600</v>
      </c>
      <c r="AM71" s="23">
        <f>-13000-AM73</f>
        <v>-12600</v>
      </c>
      <c r="AN71" s="23"/>
      <c r="AO71" s="23">
        <v>-12500</v>
      </c>
      <c r="AP71" s="23">
        <v>-32500</v>
      </c>
      <c r="AQ71" s="23"/>
      <c r="AR71" s="23"/>
      <c r="AS71" s="23"/>
      <c r="AT71" s="23"/>
    </row>
    <row r="72" spans="1:46">
      <c r="A72" s="229"/>
      <c r="B72" s="132" t="s">
        <v>1097</v>
      </c>
      <c r="C72" s="23" t="s">
        <v>226</v>
      </c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87">
        <f t="shared" ref="O72:U72" si="183">-O71/O68</f>
        <v>0.58031486742424243</v>
      </c>
      <c r="P72" s="287">
        <f t="shared" si="183"/>
        <v>0.41752265861027188</v>
      </c>
      <c r="Q72" s="253">
        <f t="shared" si="183"/>
        <v>0.41094267151554775</v>
      </c>
      <c r="R72" s="253">
        <f t="shared" si="183"/>
        <v>0.37335237971560287</v>
      </c>
      <c r="S72" s="253">
        <f t="shared" si="183"/>
        <v>0.39876651171353616</v>
      </c>
      <c r="T72" s="253">
        <f t="shared" si="183"/>
        <v>0.37031291384464038</v>
      </c>
      <c r="U72" s="253">
        <f t="shared" si="183"/>
        <v>0.38604554722327816</v>
      </c>
      <c r="V72" s="252">
        <f t="shared" ref="V72:W72" si="184">-V71/V68</f>
        <v>0.35875822934743684</v>
      </c>
      <c r="W72" s="252">
        <f t="shared" si="184"/>
        <v>0.3710564399421129</v>
      </c>
      <c r="X72" s="252">
        <f t="shared" ref="X72:Y72" si="185">-X71/X68</f>
        <v>0.33278944627668805</v>
      </c>
      <c r="Y72" s="253">
        <f t="shared" si="185"/>
        <v>0.30325312674391885</v>
      </c>
      <c r="Z72" s="253">
        <f t="shared" ref="Z72:AA72" si="186">-Z71/Z68</f>
        <v>0.31058745922966979</v>
      </c>
      <c r="AA72" s="253">
        <f t="shared" si="186"/>
        <v>0.26843202346946654</v>
      </c>
      <c r="AB72" s="253">
        <f t="shared" ref="AB72:AC72" si="187">-AB71/AB68</f>
        <v>0.26760736196319018</v>
      </c>
      <c r="AC72" s="253">
        <f t="shared" si="187"/>
        <v>0.23896784805571974</v>
      </c>
      <c r="AD72" s="253">
        <f t="shared" ref="AD72:AE72" si="188">-AD71/AD68</f>
        <v>0.27135439751788765</v>
      </c>
      <c r="AE72" s="254">
        <f t="shared" si="188"/>
        <v>0.23085401979470457</v>
      </c>
      <c r="AF72" s="1657">
        <v>0.23</v>
      </c>
      <c r="AG72" s="1657">
        <f>AF72</f>
        <v>0.23</v>
      </c>
      <c r="AH72" s="1657">
        <f t="shared" ref="AF72:AJ75" si="189">AG72</f>
        <v>0.23</v>
      </c>
      <c r="AI72" s="1657">
        <f t="shared" si="189"/>
        <v>0.23</v>
      </c>
      <c r="AJ72" s="1657">
        <f t="shared" si="189"/>
        <v>0.23</v>
      </c>
      <c r="AK72" s="23"/>
      <c r="AL72" s="342">
        <f>-AL71/AL64</f>
        <v>0.22105263157894736</v>
      </c>
      <c r="AM72" s="342">
        <f>-AM71/AM64</f>
        <v>0.2290909090909091</v>
      </c>
      <c r="AN72" s="23"/>
      <c r="AO72" s="288">
        <f t="shared" ref="AO72" si="190">-AO71/AO68</f>
        <v>0.28409090909090912</v>
      </c>
      <c r="AP72" s="288">
        <v>0.98484848484848486</v>
      </c>
      <c r="AQ72" s="23"/>
      <c r="AR72" s="23"/>
      <c r="AS72" s="23"/>
      <c r="AT72" s="23"/>
    </row>
    <row r="73" spans="1:46">
      <c r="A73" s="229"/>
      <c r="B73" s="233" t="s">
        <v>183</v>
      </c>
      <c r="C73" s="233" t="s">
        <v>73</v>
      </c>
      <c r="D73" s="242">
        <f>'Raw Data'!D67</f>
        <v>0</v>
      </c>
      <c r="E73" s="242">
        <f>'Raw Data'!E67</f>
        <v>110</v>
      </c>
      <c r="F73" s="242">
        <f>'Raw Data'!F67</f>
        <v>110</v>
      </c>
      <c r="G73" s="242">
        <f>'Raw Data'!G67</f>
        <v>24</v>
      </c>
      <c r="H73" s="242">
        <f>'Raw Data'!H67</f>
        <v>491</v>
      </c>
      <c r="I73" s="242">
        <f>'Raw Data'!I67</f>
        <v>312</v>
      </c>
      <c r="J73" s="242">
        <f>'Raw Data'!J67</f>
        <v>756</v>
      </c>
      <c r="K73" s="242">
        <f>'Raw Data'!K67</f>
        <v>667</v>
      </c>
      <c r="L73" s="242">
        <f>'Raw Data'!L67</f>
        <v>852</v>
      </c>
      <c r="M73" s="242">
        <f>'Raw Data'!M67</f>
        <v>-1458</v>
      </c>
      <c r="N73" s="242">
        <f>'Raw Data'!N67</f>
        <v>-1157</v>
      </c>
      <c r="O73" s="242">
        <f>'Raw Data'!O67</f>
        <v>-915</v>
      </c>
      <c r="P73" s="242">
        <f>'Raw Data'!P67</f>
        <v>-1150</v>
      </c>
      <c r="Q73" s="233">
        <f>'Raw Data'!Q67</f>
        <v>-587</v>
      </c>
      <c r="R73" s="233">
        <f>'Raw Data'!R67</f>
        <v>-796</v>
      </c>
      <c r="S73" s="233">
        <f>'Raw Data'!S67</f>
        <v>-648</v>
      </c>
      <c r="T73" s="233">
        <f>'Raw Data'!T67</f>
        <v>-523</v>
      </c>
      <c r="U73" s="233">
        <f>'Raw Data'!U67</f>
        <v>-486</v>
      </c>
      <c r="V73" s="233">
        <f>'Raw Data'!V67</f>
        <v>-556</v>
      </c>
      <c r="W73" s="233">
        <f>'Raw Data'!W67</f>
        <v>-483</v>
      </c>
      <c r="X73" s="233">
        <f>'Raw Data'!X67</f>
        <v>-856</v>
      </c>
      <c r="Y73" s="233">
        <f>'Raw Data'!Y67</f>
        <v>-387</v>
      </c>
      <c r="Z73" s="233">
        <f>'Raw Data'!Z67</f>
        <v>-380</v>
      </c>
      <c r="AA73" s="233">
        <f>'Raw Data'!AA67</f>
        <v>-513</v>
      </c>
      <c r="AB73" s="233">
        <f>'Raw Data'!AB67</f>
        <v>-496</v>
      </c>
      <c r="AC73" s="233">
        <f>'Raw Data'!AC67</f>
        <v>-540</v>
      </c>
      <c r="AD73" s="233">
        <f>'Raw Data'!AD67</f>
        <v>-600</v>
      </c>
      <c r="AE73" s="244">
        <f>'Raw Data'!AE67</f>
        <v>-368</v>
      </c>
      <c r="AF73" s="1656">
        <f t="shared" ref="AF73:AJ73" si="191">+ROUND(AE73,-2)</f>
        <v>-400</v>
      </c>
      <c r="AG73" s="1656">
        <f t="shared" si="191"/>
        <v>-400</v>
      </c>
      <c r="AH73" s="1656">
        <f t="shared" si="191"/>
        <v>-400</v>
      </c>
      <c r="AI73" s="1656">
        <f t="shared" si="191"/>
        <v>-400</v>
      </c>
      <c r="AJ73" s="1656">
        <f t="shared" si="191"/>
        <v>-400</v>
      </c>
      <c r="AK73" s="23"/>
      <c r="AL73" s="289">
        <v>-400</v>
      </c>
      <c r="AM73" s="289">
        <v>-400</v>
      </c>
      <c r="AN73" s="23"/>
      <c r="AO73" s="289">
        <v>-600</v>
      </c>
      <c r="AP73" s="290">
        <v>-500</v>
      </c>
      <c r="AQ73" s="23"/>
      <c r="AR73" s="23"/>
      <c r="AS73" s="23"/>
      <c r="AT73" s="23"/>
    </row>
    <row r="74" spans="1:46">
      <c r="A74" s="229"/>
      <c r="B74" s="233" t="s">
        <v>225</v>
      </c>
      <c r="C74" s="233" t="s">
        <v>224</v>
      </c>
      <c r="D74" s="242">
        <f>'Raw Data'!D69</f>
        <v>0</v>
      </c>
      <c r="E74" s="242">
        <f>'Raw Data'!E69</f>
        <v>0</v>
      </c>
      <c r="F74" s="242">
        <f>'Raw Data'!F69</f>
        <v>0</v>
      </c>
      <c r="G74" s="242">
        <f>'Raw Data'!G69</f>
        <v>0</v>
      </c>
      <c r="H74" s="242">
        <f>'Raw Data'!H69</f>
        <v>0</v>
      </c>
      <c r="I74" s="242">
        <f>'Raw Data'!I69</f>
        <v>0</v>
      </c>
      <c r="J74" s="242">
        <f>'Raw Data'!J69</f>
        <v>0</v>
      </c>
      <c r="K74" s="242">
        <f>'Raw Data'!K69</f>
        <v>0</v>
      </c>
      <c r="L74" s="242">
        <f>'Raw Data'!L69</f>
        <v>0</v>
      </c>
      <c r="M74" s="242">
        <f>'Raw Data'!M69</f>
        <v>0</v>
      </c>
      <c r="N74" s="242">
        <f>'Raw Data'!N69</f>
        <v>0</v>
      </c>
      <c r="O74" s="242">
        <f>'Raw Data'!O69</f>
        <v>0</v>
      </c>
      <c r="P74" s="242">
        <f>'Raw Data'!P69</f>
        <v>0</v>
      </c>
      <c r="Q74" s="233">
        <f>'Raw Data'!Q69</f>
        <v>0</v>
      </c>
      <c r="R74" s="233">
        <f>'Raw Data'!R69</f>
        <v>0</v>
      </c>
      <c r="S74" s="233">
        <f>'Raw Data'!S69</f>
        <v>0</v>
      </c>
      <c r="T74" s="233">
        <f>'Raw Data'!T69</f>
        <v>0</v>
      </c>
      <c r="U74" s="233">
        <f>'Raw Data'!U69</f>
        <v>0</v>
      </c>
      <c r="V74" s="233">
        <f>'Raw Data'!V69</f>
        <v>0</v>
      </c>
      <c r="W74" s="233">
        <f>'Raw Data'!W69</f>
        <v>0</v>
      </c>
      <c r="X74" s="233">
        <f>'Raw Data'!X69</f>
        <v>0</v>
      </c>
      <c r="Y74" s="233">
        <f>'Raw Data'!Y69</f>
        <v>0</v>
      </c>
      <c r="Z74" s="233">
        <f>'Raw Data'!Z69</f>
        <v>0</v>
      </c>
      <c r="AA74" s="233">
        <f>'Raw Data'!AA69</f>
        <v>0</v>
      </c>
      <c r="AB74" s="233">
        <f>'Raw Data'!AB69</f>
        <v>0</v>
      </c>
      <c r="AC74" s="233">
        <f>'Raw Data'!AC69</f>
        <v>0</v>
      </c>
      <c r="AD74" s="233">
        <f>'Raw Data'!AD69</f>
        <v>0</v>
      </c>
      <c r="AE74" s="244">
        <f>'Raw Data'!AE69</f>
        <v>0</v>
      </c>
      <c r="AF74" s="280">
        <f t="shared" si="189"/>
        <v>0</v>
      </c>
      <c r="AG74" s="280">
        <f t="shared" si="189"/>
        <v>0</v>
      </c>
      <c r="AH74" s="280">
        <f t="shared" si="189"/>
        <v>0</v>
      </c>
      <c r="AI74" s="280">
        <f t="shared" si="189"/>
        <v>0</v>
      </c>
      <c r="AJ74" s="280">
        <f t="shared" si="189"/>
        <v>0</v>
      </c>
      <c r="AK74" s="23"/>
      <c r="AL74" s="23"/>
      <c r="AM74" s="23"/>
      <c r="AN74" s="23"/>
      <c r="AO74" s="23"/>
      <c r="AP74" s="23"/>
      <c r="AQ74" s="23"/>
      <c r="AR74" s="23"/>
      <c r="AS74" s="23"/>
      <c r="AT74" s="23"/>
    </row>
    <row r="75" spans="1:46">
      <c r="A75" s="229"/>
      <c r="B75" s="123" t="s">
        <v>223</v>
      </c>
      <c r="C75" s="123" t="s">
        <v>222</v>
      </c>
      <c r="D75" s="291">
        <f>'Raw Data'!D72</f>
        <v>0</v>
      </c>
      <c r="E75" s="291">
        <f>'Raw Data'!E72</f>
        <v>0</v>
      </c>
      <c r="F75" s="291">
        <f>'Raw Data'!F72</f>
        <v>0</v>
      </c>
      <c r="G75" s="291">
        <f>'Raw Data'!G72</f>
        <v>0</v>
      </c>
      <c r="H75" s="291">
        <f>'Raw Data'!H72</f>
        <v>0</v>
      </c>
      <c r="I75" s="291">
        <f>'Raw Data'!I72</f>
        <v>0</v>
      </c>
      <c r="J75" s="291">
        <f>'Raw Data'!J72</f>
        <v>0</v>
      </c>
      <c r="K75" s="291">
        <f>'Raw Data'!K72</f>
        <v>0</v>
      </c>
      <c r="L75" s="291">
        <f>'Raw Data'!L72</f>
        <v>0</v>
      </c>
      <c r="M75" s="291">
        <f>'Raw Data'!M72</f>
        <v>0</v>
      </c>
      <c r="N75" s="291">
        <f>'Raw Data'!N72</f>
        <v>0</v>
      </c>
      <c r="O75" s="291">
        <f>'Raw Data'!O72</f>
        <v>0</v>
      </c>
      <c r="P75" s="291">
        <f>'Raw Data'!P72</f>
        <v>0</v>
      </c>
      <c r="Q75" s="347">
        <f>'Raw Data'!Q72</f>
        <v>0</v>
      </c>
      <c r="R75" s="347">
        <f>'Raw Data'!R72</f>
        <v>0</v>
      </c>
      <c r="S75" s="347">
        <f>'Raw Data'!S72</f>
        <v>0</v>
      </c>
      <c r="T75" s="347">
        <f>'Raw Data'!T72</f>
        <v>0</v>
      </c>
      <c r="U75" s="347">
        <f>'Raw Data'!U72</f>
        <v>0</v>
      </c>
      <c r="V75" s="347">
        <f>'Raw Data'!V72</f>
        <v>0</v>
      </c>
      <c r="W75" s="347">
        <f>'Raw Data'!W72</f>
        <v>0</v>
      </c>
      <c r="X75" s="347">
        <f>'Raw Data'!X72</f>
        <v>0</v>
      </c>
      <c r="Y75" s="347">
        <f>'Raw Data'!Y72</f>
        <v>0</v>
      </c>
      <c r="Z75" s="347">
        <f>'Raw Data'!Z72</f>
        <v>0</v>
      </c>
      <c r="AA75" s="347">
        <f>'Raw Data'!AA72</f>
        <v>0</v>
      </c>
      <c r="AB75" s="347">
        <f>'Raw Data'!AB72</f>
        <v>0</v>
      </c>
      <c r="AC75" s="347">
        <f>'Raw Data'!AC72</f>
        <v>0</v>
      </c>
      <c r="AD75" s="347">
        <f>'Raw Data'!AD72</f>
        <v>0</v>
      </c>
      <c r="AE75" s="348">
        <f>'Raw Data'!AE72</f>
        <v>0</v>
      </c>
      <c r="AF75" s="292">
        <f t="shared" si="189"/>
        <v>0</v>
      </c>
      <c r="AG75" s="292">
        <f t="shared" si="189"/>
        <v>0</v>
      </c>
      <c r="AH75" s="292">
        <f t="shared" si="189"/>
        <v>0</v>
      </c>
      <c r="AI75" s="292">
        <f t="shared" si="189"/>
        <v>0</v>
      </c>
      <c r="AJ75" s="292">
        <f t="shared" si="189"/>
        <v>0</v>
      </c>
      <c r="AK75" s="23"/>
      <c r="AL75" s="23"/>
      <c r="AM75" s="23"/>
      <c r="AN75" s="23"/>
      <c r="AO75" s="23"/>
      <c r="AP75" s="23"/>
      <c r="AQ75" s="23"/>
      <c r="AR75" s="23"/>
      <c r="AS75" s="23"/>
      <c r="AT75" s="23"/>
    </row>
    <row r="76" spans="1:46">
      <c r="A76" s="229"/>
      <c r="B76" s="168" t="s">
        <v>221</v>
      </c>
      <c r="C76" s="168" t="s">
        <v>184</v>
      </c>
      <c r="D76" s="216">
        <f>+'Raw Data'!D74</f>
        <v>0</v>
      </c>
      <c r="E76" s="216">
        <f>+'Raw Data'!E74</f>
        <v>4398</v>
      </c>
      <c r="F76" s="216">
        <f>+'Raw Data'!F74</f>
        <v>2067</v>
      </c>
      <c r="G76" s="216">
        <f>+'Raw Data'!G74</f>
        <v>3464</v>
      </c>
      <c r="H76" s="216">
        <f>+'Raw Data'!H74</f>
        <v>4781</v>
      </c>
      <c r="I76" s="216">
        <f>+'Raw Data'!I74</f>
        <v>842</v>
      </c>
      <c r="J76" s="216">
        <f>+'Raw Data'!J74</f>
        <v>6474</v>
      </c>
      <c r="K76" s="216">
        <f>+'Raw Data'!K74</f>
        <v>7396</v>
      </c>
      <c r="L76" s="216">
        <f>+'Raw Data'!L74</f>
        <v>9081</v>
      </c>
      <c r="M76" s="216">
        <f>+'Raw Data'!M74</f>
        <v>11967</v>
      </c>
      <c r="N76" s="216">
        <f>+'Raw Data'!N74</f>
        <v>13813</v>
      </c>
      <c r="O76" s="216">
        <f>+'Raw Data'!O74</f>
        <v>6176</v>
      </c>
      <c r="P76" s="216">
        <f>+'Raw Data'!P74</f>
        <v>11382</v>
      </c>
      <c r="Q76" s="233">
        <f>+'Raw Data'!Q74</f>
        <v>13829</v>
      </c>
      <c r="R76" s="233">
        <f>+'Raw Data'!R74</f>
        <v>18506</v>
      </c>
      <c r="S76" s="233">
        <f>+'Raw Data'!S74</f>
        <v>12415</v>
      </c>
      <c r="T76" s="233">
        <f>+'Raw Data'!T74</f>
        <v>16119</v>
      </c>
      <c r="U76" s="233">
        <f>+'Raw Data'!U74</f>
        <v>17280</v>
      </c>
      <c r="V76" s="233">
        <f>+'Raw Data'!V74</f>
        <v>22723</v>
      </c>
      <c r="W76" s="233">
        <f>+'Raw Data'!W74</f>
        <v>16901</v>
      </c>
      <c r="X76" s="233">
        <f>+'Raw Data'!X74</f>
        <v>18363</v>
      </c>
      <c r="Y76" s="233">
        <f>+'Raw Data'!Y74</f>
        <v>20837</v>
      </c>
      <c r="Z76" s="233">
        <f>+'Raw Data'!Z74</f>
        <v>18431</v>
      </c>
      <c r="AA76" s="233">
        <f>+'Raw Data'!AA74</f>
        <v>18438</v>
      </c>
      <c r="AB76" s="233">
        <f>+'Raw Data'!AB74</f>
        <v>23379</v>
      </c>
      <c r="AC76" s="233">
        <f>+'Raw Data'!AC74</f>
        <v>29070</v>
      </c>
      <c r="AD76" s="233">
        <f>+'Raw Data'!AD74</f>
        <v>22414</v>
      </c>
      <c r="AE76" s="244">
        <f>+'Raw Data'!AE74</f>
        <v>33126</v>
      </c>
      <c r="AF76" s="168">
        <f t="shared" ref="AF76" si="192">+AF68+AF71+AF73+AF74+AF75</f>
        <v>48800</v>
      </c>
      <c r="AG76" s="168">
        <f t="shared" ref="AG76:AH76" si="193">+AG68+AG71+AG73+AG74+AG75</f>
        <v>52300</v>
      </c>
      <c r="AH76" s="168">
        <f t="shared" si="193"/>
        <v>54000</v>
      </c>
      <c r="AI76" s="168">
        <f t="shared" ref="AI76:AJ76" si="194">+AI68+AI71+AI73+AI74+AI75</f>
        <v>55400</v>
      </c>
      <c r="AJ76" s="168">
        <f t="shared" si="194"/>
        <v>57200</v>
      </c>
      <c r="AK76" s="23"/>
      <c r="AL76" s="23">
        <v>43000</v>
      </c>
      <c r="AM76" s="23">
        <v>42000</v>
      </c>
      <c r="AN76" s="23"/>
      <c r="AO76" s="23">
        <f>Quarterly!KM164</f>
        <v>31000</v>
      </c>
      <c r="AP76" s="23">
        <v>0</v>
      </c>
      <c r="AQ76" s="23"/>
      <c r="AR76" s="23"/>
      <c r="AS76" s="23"/>
      <c r="AT76" s="23"/>
    </row>
    <row r="77" spans="1:46" s="239" customFormat="1" outlineLevel="1">
      <c r="A77" s="231"/>
      <c r="B77" s="232" t="s">
        <v>220</v>
      </c>
      <c r="C77" s="232" t="s">
        <v>220</v>
      </c>
      <c r="D77" s="234" t="str">
        <f>IF(ISERROR(D76/#REF!-1)," ",(D76/#REF!-1))</f>
        <v xml:space="preserve"> </v>
      </c>
      <c r="E77" s="234" t="str">
        <f t="shared" ref="E77:AJ77" si="195">IF(ISERROR(E76/D76-1)," ",(E76/D76-1))</f>
        <v xml:space="preserve"> </v>
      </c>
      <c r="F77" s="234">
        <f t="shared" si="195"/>
        <v>-0.5300136425648021</v>
      </c>
      <c r="G77" s="234">
        <f t="shared" si="195"/>
        <v>0.67585873246250605</v>
      </c>
      <c r="H77" s="234">
        <f t="shared" si="195"/>
        <v>0.38019630484988443</v>
      </c>
      <c r="I77" s="234">
        <f t="shared" si="195"/>
        <v>-0.82388621627274627</v>
      </c>
      <c r="J77" s="234">
        <f t="shared" si="195"/>
        <v>6.6888361045130642</v>
      </c>
      <c r="K77" s="234">
        <f t="shared" si="195"/>
        <v>0.14241581711461238</v>
      </c>
      <c r="L77" s="234">
        <f t="shared" si="195"/>
        <v>0.22782585181179016</v>
      </c>
      <c r="M77" s="234">
        <f t="shared" si="195"/>
        <v>0.3178064089857946</v>
      </c>
      <c r="N77" s="234">
        <f t="shared" si="195"/>
        <v>0.15425754157265814</v>
      </c>
      <c r="O77" s="234">
        <f t="shared" si="195"/>
        <v>-0.55288496344023752</v>
      </c>
      <c r="P77" s="234">
        <f t="shared" si="195"/>
        <v>0.84294041450777213</v>
      </c>
      <c r="Q77" s="234">
        <f t="shared" si="195"/>
        <v>0.2149885784572132</v>
      </c>
      <c r="R77" s="234">
        <f t="shared" si="195"/>
        <v>0.33820232844023423</v>
      </c>
      <c r="S77" s="234">
        <f t="shared" si="195"/>
        <v>-0.32913649627147956</v>
      </c>
      <c r="T77" s="234">
        <f t="shared" si="195"/>
        <v>0.29834877164720086</v>
      </c>
      <c r="U77" s="234">
        <f t="shared" si="195"/>
        <v>7.2026800670016655E-2</v>
      </c>
      <c r="V77" s="234">
        <f t="shared" si="195"/>
        <v>0.31498842592592591</v>
      </c>
      <c r="W77" s="234">
        <f t="shared" si="195"/>
        <v>-0.25621616863970431</v>
      </c>
      <c r="X77" s="234">
        <f t="shared" si="195"/>
        <v>8.6503757174131612E-2</v>
      </c>
      <c r="Y77" s="234">
        <f t="shared" si="195"/>
        <v>0.13472744104993728</v>
      </c>
      <c r="Z77" s="234">
        <f t="shared" si="195"/>
        <v>-0.11546767768872679</v>
      </c>
      <c r="AA77" s="234">
        <f t="shared" si="195"/>
        <v>3.7979491074824345E-4</v>
      </c>
      <c r="AB77" s="234">
        <f t="shared" si="195"/>
        <v>0.26797917344614386</v>
      </c>
      <c r="AC77" s="234">
        <f t="shared" si="195"/>
        <v>0.2434235852688309</v>
      </c>
      <c r="AD77" s="234">
        <f t="shared" si="195"/>
        <v>-0.22896456828345368</v>
      </c>
      <c r="AE77" s="256">
        <f t="shared" si="195"/>
        <v>0.47791558847149096</v>
      </c>
      <c r="AF77" s="234">
        <f t="shared" si="195"/>
        <v>0.47316307432228455</v>
      </c>
      <c r="AG77" s="234">
        <f t="shared" si="195"/>
        <v>7.1721311475409832E-2</v>
      </c>
      <c r="AH77" s="234">
        <f t="shared" si="195"/>
        <v>3.2504780114722687E-2</v>
      </c>
      <c r="AI77" s="234">
        <f t="shared" si="195"/>
        <v>2.5925925925925908E-2</v>
      </c>
      <c r="AJ77" s="234">
        <f t="shared" si="195"/>
        <v>3.2490974729241895E-2</v>
      </c>
    </row>
    <row r="78" spans="1:46" s="114" customFormat="1">
      <c r="A78" s="281"/>
      <c r="D78" s="168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293"/>
      <c r="AB78" s="293"/>
      <c r="AC78" s="293"/>
      <c r="AD78" s="293"/>
      <c r="AE78" s="294"/>
      <c r="AF78" s="293"/>
      <c r="AG78" s="293"/>
      <c r="AH78" s="293"/>
      <c r="AI78" s="293"/>
      <c r="AJ78" s="293"/>
    </row>
    <row r="79" spans="1:46" s="114" customFormat="1">
      <c r="A79" s="281"/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246"/>
      <c r="AF79" s="168"/>
      <c r="AG79" s="168"/>
      <c r="AH79" s="168"/>
      <c r="AI79" s="168"/>
      <c r="AJ79" s="168"/>
    </row>
    <row r="80" spans="1:46" s="147" customFormat="1">
      <c r="A80" s="295"/>
      <c r="B80" s="296" t="s">
        <v>219</v>
      </c>
      <c r="C80" s="296" t="s">
        <v>218</v>
      </c>
      <c r="D80" s="297">
        <f>'Raw Data'!D78</f>
        <v>0</v>
      </c>
      <c r="E80" s="297">
        <f>'Raw Data'!E78</f>
        <v>39.664128703550091</v>
      </c>
      <c r="F80" s="297">
        <f>'Raw Data'!F78</f>
        <v>18.64159937022238</v>
      </c>
      <c r="G80" s="297">
        <f>'Raw Data'!G78</f>
        <v>31.240687091654731</v>
      </c>
      <c r="H80" s="297">
        <f>'Raw Data'!H78</f>
        <v>43.11828088487335</v>
      </c>
      <c r="I80" s="297">
        <f>'Raw Data'!I78</f>
        <v>7.5937235944495622</v>
      </c>
      <c r="J80" s="297">
        <f>'Raw Data'!J78</f>
        <v>58.394136355593993</v>
      </c>
      <c r="K80" s="297">
        <f>'Raw Data'!K78</f>
        <v>66.754229996500641</v>
      </c>
      <c r="L80" s="297">
        <f>'Raw Data'!L78</f>
        <v>83.062104751842071</v>
      </c>
      <c r="M80" s="297">
        <f>'Raw Data'!M78</f>
        <v>109.51075413999288</v>
      </c>
      <c r="N80" s="297">
        <f>'Raw Data'!N78</f>
        <v>126.45278346625599</v>
      </c>
      <c r="O80" s="297">
        <f>'Raw Data'!O78</f>
        <v>60.525073040709501</v>
      </c>
      <c r="P80" s="297">
        <f>'Raw Data'!P78</f>
        <v>111.59691578362576</v>
      </c>
      <c r="Q80" s="233">
        <f>'Raw Data'!Q78</f>
        <v>135.67186273190077</v>
      </c>
      <c r="R80" s="233">
        <f>'Raw Data'!R78</f>
        <v>181.10306287986222</v>
      </c>
      <c r="S80" s="233">
        <f>'Raw Data'!S78</f>
        <v>121.50312846333462</v>
      </c>
      <c r="T80" s="233">
        <f>'Raw Data'!T78</f>
        <v>157.77033894724227</v>
      </c>
      <c r="U80" s="233">
        <f>'Raw Data'!U78</f>
        <v>169.1454402353659</v>
      </c>
      <c r="V80" s="233">
        <f>'Raw Data'!V78</f>
        <v>222.46038919143066</v>
      </c>
      <c r="W80" s="233">
        <f>'Raw Data'!W78</f>
        <v>165.48108281280048</v>
      </c>
      <c r="X80" s="233">
        <f>'Raw Data'!X78</f>
        <v>179.80039717842135</v>
      </c>
      <c r="Y80" s="233">
        <f>'Raw Data'!Y78</f>
        <v>204.02444459003243</v>
      </c>
      <c r="Z80" s="233">
        <f>'Raw Data'!Z78</f>
        <v>180.46734845222346</v>
      </c>
      <c r="AA80" s="233">
        <f>'Raw Data'!AA78</f>
        <v>180.53632035724533</v>
      </c>
      <c r="AB80" s="233">
        <f>'Raw Data'!AB78</f>
        <v>228.91738809245359</v>
      </c>
      <c r="AC80" s="233">
        <f>'Raw Data'!AC78</f>
        <v>284.64262281521366</v>
      </c>
      <c r="AD80" s="233">
        <f>'Raw Data'!AD78</f>
        <v>219.47006117089049</v>
      </c>
      <c r="AE80" s="244">
        <f>'Raw Data'!AE78</f>
        <v>324.35913929854195</v>
      </c>
      <c r="AF80" s="298">
        <f t="shared" ref="AF80:AG80" si="196">IF(ISNUMBER(AF87),AF76/AF87," ")</f>
        <v>477.83467883614981</v>
      </c>
      <c r="AG80" s="298">
        <f t="shared" si="196"/>
        <v>512.10560867070967</v>
      </c>
      <c r="AH80" s="298">
        <f t="shared" ref="AH80:AI80" si="197">IF(ISNUMBER(AH87),AH76/AH87," ")</f>
        <v>528.75148887606736</v>
      </c>
      <c r="AI80" s="298">
        <f t="shared" si="197"/>
        <v>542.45986080989132</v>
      </c>
      <c r="AJ80" s="298">
        <f t="shared" ref="AJ80" si="198">IF(ISNUMBER(AJ87),AJ76/AJ87," ")</f>
        <v>560.08491043909362</v>
      </c>
      <c r="AK80" s="80"/>
      <c r="AL80" s="299">
        <v>421.04</v>
      </c>
      <c r="AM80" s="299">
        <v>406.35</v>
      </c>
      <c r="AN80" s="80"/>
      <c r="AO80" s="299">
        <v>303.54000000000002</v>
      </c>
      <c r="AP80" s="300">
        <v>244.79</v>
      </c>
    </row>
    <row r="81" spans="1:51" s="147" customFormat="1">
      <c r="A81" s="301"/>
      <c r="B81" s="147" t="s">
        <v>217</v>
      </c>
      <c r="C81" s="147" t="s">
        <v>216</v>
      </c>
      <c r="D81" s="302">
        <f>'Raw Data'!D79</f>
        <v>0</v>
      </c>
      <c r="E81" s="302">
        <f>'Raw Data'!E79</f>
        <v>39.664128703550084</v>
      </c>
      <c r="F81" s="302">
        <f>'Raw Data'!F79</f>
        <v>18.64159937022238</v>
      </c>
      <c r="G81" s="302">
        <f>'Raw Data'!G79</f>
        <v>31.240687091654731</v>
      </c>
      <c r="H81" s="302">
        <f>'Raw Data'!H79</f>
        <v>43.11828088487335</v>
      </c>
      <c r="I81" s="302">
        <f>'Raw Data'!I79</f>
        <v>7.5937235944495622</v>
      </c>
      <c r="J81" s="302">
        <f>'Raw Data'!J79</f>
        <v>58.386896140696514</v>
      </c>
      <c r="K81" s="302">
        <f>'Raw Data'!K79</f>
        <v>66.70211366335981</v>
      </c>
      <c r="L81" s="302">
        <f>'Raw Data'!L79</f>
        <v>81.898579526361601</v>
      </c>
      <c r="M81" s="302">
        <f>'Raw Data'!M79</f>
        <v>109.51075413999288</v>
      </c>
      <c r="N81" s="302">
        <f>'Raw Data'!N79</f>
        <v>126.45278346625599</v>
      </c>
      <c r="O81" s="302">
        <f>'Raw Data'!O79</f>
        <v>55.699331258100344</v>
      </c>
      <c r="P81" s="302">
        <f>'Raw Data'!P79</f>
        <v>102.65054863660917</v>
      </c>
      <c r="Q81" s="233">
        <f>'Raw Data'!Q79</f>
        <v>124.71924416584677</v>
      </c>
      <c r="R81" s="233">
        <f>'Raw Data'!R79</f>
        <v>166.89958294404229</v>
      </c>
      <c r="S81" s="233">
        <f>'Raw Data'!S79</f>
        <v>111.96683898466901</v>
      </c>
      <c r="T81" s="233">
        <f>'Raw Data'!T79</f>
        <v>145.37200786096494</v>
      </c>
      <c r="U81" s="233">
        <f>'Raw Data'!U79</f>
        <v>155.84268849416677</v>
      </c>
      <c r="V81" s="233">
        <f>'Raw Data'!V79</f>
        <v>204.93133163500877</v>
      </c>
      <c r="W81" s="233">
        <f>'Raw Data'!W79</f>
        <v>152.42461100925419</v>
      </c>
      <c r="X81" s="233">
        <f>'Raw Data'!X79</f>
        <v>165.60991254736021</v>
      </c>
      <c r="Y81" s="233">
        <f>'Raw Data'!Y79</f>
        <v>187.92211227736996</v>
      </c>
      <c r="Z81" s="233">
        <f>'Raw Data'!Z79</f>
        <v>166.22318238634188</v>
      </c>
      <c r="AA81" s="233">
        <f>'Raw Data'!AA79</f>
        <v>166.2861061491931</v>
      </c>
      <c r="AB81" s="233">
        <f>'Raw Data'!AB79</f>
        <v>210.8472167463934</v>
      </c>
      <c r="AC81" s="233">
        <f>'Raw Data'!AC79</f>
        <v>262.17242110630303</v>
      </c>
      <c r="AD81" s="233">
        <f>'Raw Data'!AD79</f>
        <v>202.14456133728322</v>
      </c>
      <c r="AE81" s="244">
        <f>'Raw Data'!AE79</f>
        <v>298.75259832510233</v>
      </c>
      <c r="AF81" s="148">
        <f t="shared" ref="AF81:AG81" si="199">IF(ISNUMBER(AF89),AF76/AF89," ")</f>
        <v>440.11129621037838</v>
      </c>
      <c r="AG81" s="148">
        <f t="shared" si="199"/>
        <v>471.67665556972929</v>
      </c>
      <c r="AH81" s="148">
        <f t="shared" ref="AH81:AI81" si="200">IF(ISNUMBER(AH89),AH76/AH89," ")</f>
        <v>487.00840154427118</v>
      </c>
      <c r="AI81" s="148">
        <f t="shared" si="200"/>
        <v>499.63454528801151</v>
      </c>
      <c r="AJ81" s="148">
        <f t="shared" ref="AJ81" si="201">IF(ISNUMBER(AJ89),AJ76/AJ89," ")</f>
        <v>515.86815867282053</v>
      </c>
      <c r="AK81" s="239"/>
      <c r="AL81" s="239"/>
      <c r="AM81" s="239"/>
      <c r="AN81" s="239"/>
      <c r="AO81" s="239"/>
      <c r="AP81" s="239"/>
    </row>
    <row r="82" spans="1:51">
      <c r="A82" s="303"/>
      <c r="B82" s="218"/>
      <c r="C82" s="218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246"/>
      <c r="AF82" s="168"/>
      <c r="AG82" s="168"/>
      <c r="AH82" s="168"/>
      <c r="AI82" s="168"/>
      <c r="AJ82" s="168"/>
      <c r="AK82" s="23"/>
      <c r="AL82" s="23"/>
      <c r="AM82" s="23"/>
      <c r="AN82" s="23"/>
      <c r="AO82" s="23"/>
      <c r="AP82" s="23"/>
      <c r="AQ82" s="23"/>
      <c r="AR82" s="23"/>
      <c r="AS82" s="23"/>
      <c r="AT82" s="23"/>
    </row>
    <row r="83" spans="1:51">
      <c r="A83" s="229"/>
      <c r="B83" s="233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33"/>
      <c r="R83" s="233"/>
      <c r="S83" s="233"/>
      <c r="T83" s="233"/>
      <c r="U83" s="233"/>
      <c r="V83" s="233"/>
      <c r="W83" s="233"/>
      <c r="X83" s="233"/>
      <c r="Y83" s="233"/>
      <c r="Z83" s="233"/>
      <c r="AA83" s="233"/>
      <c r="AB83" s="233"/>
      <c r="AC83" s="233"/>
      <c r="AD83" s="233"/>
      <c r="AE83" s="244"/>
      <c r="AF83" s="242"/>
      <c r="AG83" s="242"/>
      <c r="AH83" s="242"/>
      <c r="AI83" s="242"/>
      <c r="AJ83" s="242"/>
      <c r="AK83" s="23"/>
      <c r="AL83" s="23"/>
      <c r="AM83" s="23"/>
      <c r="AN83" s="23"/>
      <c r="AO83" s="23"/>
      <c r="AP83" s="23"/>
      <c r="AQ83" s="23"/>
      <c r="AR83" s="23"/>
      <c r="AS83" s="23"/>
      <c r="AT83" s="23"/>
    </row>
    <row r="84" spans="1:51">
      <c r="A84" s="229"/>
      <c r="B84" s="233" t="s">
        <v>215</v>
      </c>
      <c r="C84" s="1" t="s">
        <v>214</v>
      </c>
      <c r="D84" s="242">
        <f>'Raw Data'!D82</f>
        <v>0</v>
      </c>
      <c r="E84" s="242">
        <f>'Raw Data'!E82</f>
        <v>0</v>
      </c>
      <c r="F84" s="242">
        <f>'Raw Data'!F82</f>
        <v>0</v>
      </c>
      <c r="G84" s="242">
        <f>'Raw Data'!G82</f>
        <v>0</v>
      </c>
      <c r="H84" s="242">
        <f>'Raw Data'!H82</f>
        <v>-1432</v>
      </c>
      <c r="I84" s="242">
        <f>'Raw Data'!I82</f>
        <v>-1431</v>
      </c>
      <c r="J84" s="242">
        <f>'Raw Data'!J82</f>
        <v>-1370</v>
      </c>
      <c r="K84" s="242">
        <f>'Raw Data'!K82</f>
        <v>-1376</v>
      </c>
      <c r="L84" s="242">
        <f>'Raw Data'!L82</f>
        <v>-1881</v>
      </c>
      <c r="M84" s="242">
        <f>'Raw Data'!M82</f>
        <v>-1385</v>
      </c>
      <c r="N84" s="242">
        <f>'Raw Data'!N82</f>
        <v>-1706</v>
      </c>
      <c r="O84" s="242">
        <f>'Raw Data'!O82</f>
        <v>-3042</v>
      </c>
      <c r="P84" s="242">
        <f>'Raw Data'!P82</f>
        <v>-2512</v>
      </c>
      <c r="Q84" s="233">
        <f>'Raw Data'!Q82</f>
        <v>-3256</v>
      </c>
      <c r="R84" s="233">
        <f>'Raw Data'!R82</f>
        <v>-3261</v>
      </c>
      <c r="S84" s="233">
        <f>'Raw Data'!S82</f>
        <v>-4598</v>
      </c>
      <c r="T84" s="233">
        <f>'Raw Data'!T82</f>
        <v>-4086</v>
      </c>
      <c r="U84" s="233">
        <f>'Raw Data'!U82</f>
        <v>-4086</v>
      </c>
      <c r="V84" s="233">
        <f>'Raw Data'!V82</f>
        <v>-5109</v>
      </c>
      <c r="W84" s="233">
        <f>'Raw Data'!W82</f>
        <v>-5109</v>
      </c>
      <c r="X84" s="233">
        <f>'Raw Data'!X82</f>
        <v>-6130</v>
      </c>
      <c r="Y84" s="233">
        <f>'Raw Data'!Y82</f>
        <v>-6130</v>
      </c>
      <c r="Z84" s="233">
        <f>'Raw Data'!Z82</f>
        <v>-6130</v>
      </c>
      <c r="AA84" s="233">
        <f>'Raw Data'!AA82</f>
        <v>-7152</v>
      </c>
      <c r="AB84" s="233">
        <f>'Raw Data'!AB82</f>
        <v>-8174</v>
      </c>
      <c r="AC84" s="233">
        <f>'Raw Data'!AC82</f>
        <v>-9195</v>
      </c>
      <c r="AD84" s="233">
        <f>'Raw Data'!AD82</f>
        <v>-9195</v>
      </c>
      <c r="AE84" s="244">
        <f>'Raw Data'!AE82</f>
        <v>-10217</v>
      </c>
      <c r="AF84" s="233">
        <f>ROUND(-AF85*AF87,-2)</f>
        <v>-13300</v>
      </c>
      <c r="AG84" s="233">
        <f t="shared" ref="AG84:AJ84" si="202">ROUND(-AG85*AG87,-2)</f>
        <v>-14300</v>
      </c>
      <c r="AH84" s="233">
        <f t="shared" si="202"/>
        <v>-16300</v>
      </c>
      <c r="AI84" s="233">
        <f t="shared" si="202"/>
        <v>-18400</v>
      </c>
      <c r="AJ84" s="233">
        <f t="shared" si="202"/>
        <v>-19400</v>
      </c>
    </row>
    <row r="85" spans="1:51" s="310" customFormat="1">
      <c r="A85" s="304"/>
      <c r="B85" s="305" t="s">
        <v>213</v>
      </c>
      <c r="C85" s="305" t="s">
        <v>1290</v>
      </c>
      <c r="D85" s="306">
        <f>'Raw Data'!D83</f>
        <v>0</v>
      </c>
      <c r="E85" s="306">
        <f>'Raw Data'!E83</f>
        <v>12</v>
      </c>
      <c r="F85" s="306">
        <f>'Raw Data'!F83</f>
        <v>12</v>
      </c>
      <c r="G85" s="306">
        <f>'Raw Data'!G83</f>
        <v>12</v>
      </c>
      <c r="H85" s="306">
        <f>'Raw Data'!H83</f>
        <v>12</v>
      </c>
      <c r="I85" s="306">
        <f>'Raw Data'!I83</f>
        <v>12</v>
      </c>
      <c r="J85" s="306">
        <f>'Raw Data'!J83</f>
        <v>12</v>
      </c>
      <c r="K85" s="306">
        <f>'Raw Data'!K83</f>
        <v>17</v>
      </c>
      <c r="L85" s="306">
        <f>'Raw Data'!L83</f>
        <v>12</v>
      </c>
      <c r="M85" s="306">
        <f>'Raw Data'!M83</f>
        <v>15</v>
      </c>
      <c r="N85" s="306">
        <f>'Raw Data'!N83</f>
        <v>20</v>
      </c>
      <c r="O85" s="306">
        <f>'Raw Data'!O83</f>
        <v>20</v>
      </c>
      <c r="P85" s="306">
        <f>'Raw Data'!P83</f>
        <v>25</v>
      </c>
      <c r="Q85" s="347">
        <f>'Raw Data'!Q83</f>
        <v>30</v>
      </c>
      <c r="R85" s="347">
        <f>'Raw Data'!R83</f>
        <v>40</v>
      </c>
      <c r="S85" s="347">
        <f>'Raw Data'!S83</f>
        <v>40</v>
      </c>
      <c r="T85" s="347">
        <f>'Raw Data'!T83</f>
        <v>40</v>
      </c>
      <c r="U85" s="347">
        <f>'Raw Data'!U83</f>
        <v>50</v>
      </c>
      <c r="V85" s="347">
        <f>'Raw Data'!V83</f>
        <v>50</v>
      </c>
      <c r="W85" s="347">
        <f>'Raw Data'!W83</f>
        <v>50</v>
      </c>
      <c r="X85" s="347">
        <f>'Raw Data'!X83</f>
        <v>60</v>
      </c>
      <c r="Y85" s="347">
        <f>'Raw Data'!Y83</f>
        <v>60</v>
      </c>
      <c r="Z85" s="347">
        <f>'Raw Data'!Z83</f>
        <v>60</v>
      </c>
      <c r="AA85" s="347">
        <f>'Raw Data'!AA83</f>
        <v>70</v>
      </c>
      <c r="AB85" s="347">
        <f>'Raw Data'!AB83</f>
        <v>80</v>
      </c>
      <c r="AC85" s="347">
        <f>'Raw Data'!AC83</f>
        <v>90</v>
      </c>
      <c r="AD85" s="347">
        <f>'Raw Data'!AD83</f>
        <v>90</v>
      </c>
      <c r="AE85" s="348">
        <f>'Raw Data'!AE83</f>
        <v>100</v>
      </c>
      <c r="AF85" s="2230">
        <f>AE85+30</f>
        <v>130</v>
      </c>
      <c r="AG85" s="2230">
        <f>AF85+10</f>
        <v>140</v>
      </c>
      <c r="AH85" s="2230">
        <f>AG85+20</f>
        <v>160</v>
      </c>
      <c r="AI85" s="2230">
        <f>AH85+20</f>
        <v>180</v>
      </c>
      <c r="AJ85" s="2230">
        <f>AI85+10</f>
        <v>190</v>
      </c>
      <c r="AK85" s="307"/>
      <c r="AL85" s="308">
        <v>120</v>
      </c>
      <c r="AM85" s="308">
        <v>100</v>
      </c>
      <c r="AN85" s="80"/>
      <c r="AO85" s="308">
        <v>90</v>
      </c>
      <c r="AP85" s="309">
        <v>90</v>
      </c>
    </row>
    <row r="86" spans="1:51" s="147" customFormat="1">
      <c r="A86" s="301"/>
      <c r="B86" s="148" t="s">
        <v>1128</v>
      </c>
      <c r="C86" s="148" t="s">
        <v>212</v>
      </c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287">
        <f t="shared" ref="N86:U86" si="203">N85/N80</f>
        <v>0.15816180120176646</v>
      </c>
      <c r="O86" s="287">
        <f t="shared" si="203"/>
        <v>0.33044156735751296</v>
      </c>
      <c r="P86" s="287">
        <f t="shared" si="203"/>
        <v>0.22402052802670883</v>
      </c>
      <c r="Q86" s="253">
        <f t="shared" si="203"/>
        <v>0.22112175211512036</v>
      </c>
      <c r="R86" s="253">
        <f t="shared" si="203"/>
        <v>0.2208687106884254</v>
      </c>
      <c r="S86" s="253">
        <f t="shared" si="203"/>
        <v>0.32920963028594441</v>
      </c>
      <c r="T86" s="253">
        <f t="shared" si="203"/>
        <v>0.25353308021589427</v>
      </c>
      <c r="U86" s="253">
        <f t="shared" si="203"/>
        <v>0.29560359374999995</v>
      </c>
      <c r="V86" s="253">
        <f t="shared" ref="V86:W86" si="204">V85/V80</f>
        <v>0.22475911411345331</v>
      </c>
      <c r="W86" s="253">
        <f t="shared" si="204"/>
        <v>0.30214934027572332</v>
      </c>
      <c r="X86" s="253">
        <f t="shared" ref="X86:Y86" si="205">X85/X80</f>
        <v>0.33370337853291943</v>
      </c>
      <c r="Y86" s="253">
        <f t="shared" si="205"/>
        <v>0.29408240821615395</v>
      </c>
      <c r="Z86" s="253">
        <f t="shared" ref="Z86" si="206">Z85/Z80</f>
        <v>0.33247011448103742</v>
      </c>
      <c r="AA86" s="253">
        <f t="shared" ref="AA86:AB86" si="207">AA85/AA80</f>
        <v>0.38773361427486713</v>
      </c>
      <c r="AB86" s="253">
        <f t="shared" si="207"/>
        <v>0.34947105008768553</v>
      </c>
      <c r="AC86" s="253">
        <f t="shared" ref="AC86:AD86" si="208">AC85/AC80</f>
        <v>0.31618595665634674</v>
      </c>
      <c r="AD86" s="253">
        <f t="shared" si="208"/>
        <v>0.4100787119657357</v>
      </c>
      <c r="AE86" s="254">
        <f t="shared" ref="AE86" si="209">AE85/AE80</f>
        <v>0.30830023848336657</v>
      </c>
      <c r="AF86" s="253">
        <f t="shared" ref="AF86:AG86" si="210">AF85/AF80</f>
        <v>0.27206062213114757</v>
      </c>
      <c r="AG86" s="253">
        <f t="shared" si="210"/>
        <v>0.27338111051625241</v>
      </c>
      <c r="AH86" s="253">
        <f t="shared" ref="AH86:AI86" si="211">AH85/AH80</f>
        <v>0.30259962074074076</v>
      </c>
      <c r="AI86" s="253">
        <f t="shared" si="211"/>
        <v>0.33182178628158848</v>
      </c>
      <c r="AJ86" s="253">
        <f t="shared" ref="AJ86" si="212">AJ85/AJ80</f>
        <v>0.33923427762237762</v>
      </c>
      <c r="AL86" s="312">
        <f t="shared" ref="AL86:AM86" si="213">AL85/AL80</f>
        <v>0.28500855025650768</v>
      </c>
      <c r="AM86" s="312">
        <f t="shared" si="213"/>
        <v>0.24609326934908329</v>
      </c>
      <c r="AO86" s="312">
        <f t="shared" ref="AO86" si="214">AO85/AO80</f>
        <v>0.29650128483890092</v>
      </c>
      <c r="AP86" s="312">
        <v>0.36766207769925241</v>
      </c>
    </row>
    <row r="87" spans="1:51" s="1319" customFormat="1">
      <c r="A87" s="1316"/>
      <c r="B87" s="1313" t="s">
        <v>211</v>
      </c>
      <c r="C87" s="1313" t="s">
        <v>210</v>
      </c>
      <c r="D87" s="1317">
        <f>'Raw Data'!D86</f>
        <v>0</v>
      </c>
      <c r="E87" s="1317">
        <f>'Raw Data'!E86</f>
        <v>110.88104399999999</v>
      </c>
      <c r="F87" s="1317">
        <f>'Raw Data'!F86</f>
        <v>110.88104399999999</v>
      </c>
      <c r="G87" s="1317">
        <f>'Raw Data'!G86</f>
        <v>110.88104399999999</v>
      </c>
      <c r="H87" s="1317">
        <f>'Raw Data'!H86</f>
        <v>110.88104399999999</v>
      </c>
      <c r="I87" s="1317">
        <f>'Raw Data'!I86</f>
        <v>110.88104399999999</v>
      </c>
      <c r="J87" s="1317">
        <f>'Raw Data'!J86</f>
        <v>110.867296</v>
      </c>
      <c r="K87" s="1317">
        <f>'Raw Data'!K86</f>
        <v>110.794477</v>
      </c>
      <c r="L87" s="1317">
        <f>'Raw Data'!L86</f>
        <v>109.327834</v>
      </c>
      <c r="M87" s="1317">
        <f>'Raw Data'!M86</f>
        <v>109.276939</v>
      </c>
      <c r="N87" s="1317">
        <f>'Raw Data'!N86</f>
        <v>109.234448</v>
      </c>
      <c r="O87" s="1317">
        <f>'Raw Data'!O86</f>
        <v>102.040356</v>
      </c>
      <c r="P87" s="1317">
        <f>'Raw Data'!P86</f>
        <v>101.99206599999999</v>
      </c>
      <c r="Q87" s="1308">
        <f>'Raw Data'!Q86</f>
        <v>101.929757</v>
      </c>
      <c r="R87" s="1308">
        <f>'Raw Data'!R86</f>
        <v>102.184909</v>
      </c>
      <c r="S87" s="1308">
        <f>'Raw Data'!S86</f>
        <v>102.178439</v>
      </c>
      <c r="T87" s="1308">
        <f>'Raw Data'!T86</f>
        <v>102.16749299999999</v>
      </c>
      <c r="U87" s="1308">
        <f>'Raw Data'!U86</f>
        <v>102.160602</v>
      </c>
      <c r="V87" s="1308">
        <f>'Raw Data'!V86</f>
        <v>102.14402699999999</v>
      </c>
      <c r="W87" s="1308">
        <f>'Raw Data'!W86</f>
        <v>102.13252</v>
      </c>
      <c r="X87" s="1308">
        <f>'Raw Data'!X86</f>
        <v>102.129919</v>
      </c>
      <c r="Y87" s="1308">
        <f>'Raw Data'!Y86</f>
        <v>102.129919</v>
      </c>
      <c r="Z87" s="1308">
        <f>'Raw Data'!Z86</f>
        <v>102.129278</v>
      </c>
      <c r="AA87" s="1308">
        <f>'Raw Data'!AA86</f>
        <v>102.129034</v>
      </c>
      <c r="AB87" s="1308">
        <f>'Raw Data'!AB86</f>
        <v>102.128546</v>
      </c>
      <c r="AC87" s="1308">
        <f>'Raw Data'!AC86</f>
        <v>102.12806399999999</v>
      </c>
      <c r="AD87" s="1308">
        <f>'Raw Data'!AD86</f>
        <v>102.127825</v>
      </c>
      <c r="AE87" s="2229">
        <f>'Raw Data'!AE86</f>
        <v>102.127537</v>
      </c>
      <c r="AF87" s="1318">
        <f t="shared" ref="AF87:AJ87" si="215">+AVERAGE(AE90:AF90)</f>
        <v>102.12737200000001</v>
      </c>
      <c r="AG87" s="1318">
        <f t="shared" si="215"/>
        <v>102.12737200000001</v>
      </c>
      <c r="AH87" s="1318">
        <f t="shared" si="215"/>
        <v>102.12737200000001</v>
      </c>
      <c r="AI87" s="1318">
        <f t="shared" si="215"/>
        <v>102.12737200000001</v>
      </c>
      <c r="AJ87" s="1318">
        <f t="shared" si="215"/>
        <v>102.12737200000001</v>
      </c>
      <c r="AL87" s="1320"/>
      <c r="AM87" s="1320"/>
      <c r="AN87" s="1318"/>
      <c r="AO87" s="1320">
        <f>AO76/AO80</f>
        <v>102.12822033339921</v>
      </c>
      <c r="AP87" s="1320">
        <v>0</v>
      </c>
      <c r="AQ87" s="1320"/>
      <c r="AR87" s="1320"/>
      <c r="AS87" s="1320"/>
      <c r="AT87" s="1320"/>
      <c r="AY87" s="1314"/>
    </row>
    <row r="88" spans="1:51" s="1319" customFormat="1">
      <c r="A88" s="1316"/>
      <c r="B88" s="1313" t="s">
        <v>128</v>
      </c>
      <c r="C88" s="1313" t="s">
        <v>209</v>
      </c>
      <c r="D88" s="1317">
        <f>'Raw Data'!D87</f>
        <v>0</v>
      </c>
      <c r="E88" s="1317">
        <f>'Raw Data'!E87</f>
        <v>0</v>
      </c>
      <c r="F88" s="1317">
        <f>'Raw Data'!F87</f>
        <v>0</v>
      </c>
      <c r="G88" s="1317">
        <f>'Raw Data'!G87</f>
        <v>0</v>
      </c>
      <c r="H88" s="1317">
        <f>'Raw Data'!H87</f>
        <v>0</v>
      </c>
      <c r="I88" s="1317">
        <f>'Raw Data'!I87</f>
        <v>0</v>
      </c>
      <c r="J88" s="1317">
        <f>'Raw Data'!J87</f>
        <v>1.3748E-2</v>
      </c>
      <c r="K88" s="1317">
        <f>'Raw Data'!K87</f>
        <v>8.6566999999999991E-2</v>
      </c>
      <c r="L88" s="1317">
        <f>'Raw Data'!L87</f>
        <v>1.55321</v>
      </c>
      <c r="M88" s="1317">
        <f>'Raw Data'!M87</f>
        <v>1.6041050000000001</v>
      </c>
      <c r="N88" s="1317">
        <f>'Raw Data'!N87</f>
        <v>1.6465959999999999</v>
      </c>
      <c r="O88" s="1317">
        <f>'Raw Data'!O87</f>
        <v>8.8406880000000001</v>
      </c>
      <c r="P88" s="1317">
        <f>'Raw Data'!P87</f>
        <v>8.8889779999999998</v>
      </c>
      <c r="Q88" s="1308">
        <f>'Raw Data'!Q87</f>
        <v>8.9512870000000007</v>
      </c>
      <c r="R88" s="1308">
        <f>'Raw Data'!R87</f>
        <v>8.6961349999999999</v>
      </c>
      <c r="S88" s="1308">
        <f>'Raw Data'!S87</f>
        <v>8.7091829999999995</v>
      </c>
      <c r="T88" s="1308">
        <f>'Raw Data'!T87</f>
        <v>8.7179269999999995</v>
      </c>
      <c r="U88" s="1308">
        <f>'Raw Data'!U87</f>
        <v>8.7249750000000006</v>
      </c>
      <c r="V88" s="1308">
        <f>'Raw Data'!V87</f>
        <v>8.7446889999999993</v>
      </c>
      <c r="W88" s="1308">
        <f>'Raw Data'!W87</f>
        <v>8.7506540000000008</v>
      </c>
      <c r="X88" s="1308">
        <f>'Raw Data'!X87</f>
        <v>8.7513930000000002</v>
      </c>
      <c r="Y88" s="1308">
        <f>'Raw Data'!Y87</f>
        <v>8.7515490000000007</v>
      </c>
      <c r="Z88" s="1308">
        <f>'Raw Data'!Z87</f>
        <v>8.7518980000000006</v>
      </c>
      <c r="AA88" s="1308">
        <f>'Raw Data'!AA87</f>
        <v>8.752148</v>
      </c>
      <c r="AB88" s="1308">
        <f>'Raw Data'!AB87</f>
        <v>8.7526899999999994</v>
      </c>
      <c r="AC88" s="1308">
        <f>'Raw Data'!AC87</f>
        <v>8.7531639999999999</v>
      </c>
      <c r="AD88" s="1308">
        <f>'Raw Data'!AD87</f>
        <v>8.7533030000000007</v>
      </c>
      <c r="AE88" s="2229">
        <f>'Raw Data'!AE87</f>
        <v>8.7536719999999999</v>
      </c>
      <c r="AF88" s="1308">
        <f t="shared" ref="AF88:AJ88" si="216">+AE88</f>
        <v>8.7536719999999999</v>
      </c>
      <c r="AG88" s="1308">
        <f t="shared" si="216"/>
        <v>8.7536719999999999</v>
      </c>
      <c r="AH88" s="1308">
        <f t="shared" si="216"/>
        <v>8.7536719999999999</v>
      </c>
      <c r="AI88" s="1308">
        <f t="shared" si="216"/>
        <v>8.7536719999999999</v>
      </c>
      <c r="AJ88" s="1308">
        <f t="shared" si="216"/>
        <v>8.7536719999999999</v>
      </c>
      <c r="AL88" s="1320"/>
      <c r="AM88" s="1320"/>
      <c r="AN88" s="1318"/>
      <c r="AO88" s="1320"/>
      <c r="AP88" s="1320"/>
      <c r="AQ88" s="1320"/>
      <c r="AR88" s="1320"/>
      <c r="AS88" s="1320"/>
      <c r="AT88" s="1320"/>
      <c r="AY88" s="1314"/>
    </row>
    <row r="89" spans="1:51" s="1319" customFormat="1">
      <c r="A89" s="1316"/>
      <c r="B89" s="1313" t="s">
        <v>208</v>
      </c>
      <c r="C89" s="1313" t="s">
        <v>207</v>
      </c>
      <c r="D89" s="1317">
        <f>+'Raw Data'!D88</f>
        <v>0</v>
      </c>
      <c r="E89" s="1317">
        <f>+'Raw Data'!E88</f>
        <v>110.881044</v>
      </c>
      <c r="F89" s="1317">
        <f>+'Raw Data'!F88</f>
        <v>110.88104399999999</v>
      </c>
      <c r="G89" s="1317">
        <f>+'Raw Data'!G88</f>
        <v>110.88104399999999</v>
      </c>
      <c r="H89" s="1317">
        <f>+'Raw Data'!H88</f>
        <v>110.88104399999999</v>
      </c>
      <c r="I89" s="1317">
        <f>+'Raw Data'!I88</f>
        <v>110.88104399999999</v>
      </c>
      <c r="J89" s="1317">
        <f>+'Raw Data'!J88</f>
        <v>110.88104399999999</v>
      </c>
      <c r="K89" s="1317">
        <f>+'Raw Data'!K88</f>
        <v>110.881044</v>
      </c>
      <c r="L89" s="1317">
        <f>+'Raw Data'!L88</f>
        <v>110.881044</v>
      </c>
      <c r="M89" s="1317">
        <f>+'Raw Data'!M88</f>
        <v>109.276939</v>
      </c>
      <c r="N89" s="1317">
        <f>+'Raw Data'!N88</f>
        <v>109.234448</v>
      </c>
      <c r="O89" s="1317">
        <f>+'Raw Data'!O88</f>
        <v>110.881044</v>
      </c>
      <c r="P89" s="1317">
        <f>+'Raw Data'!P88</f>
        <v>110.88104399999999</v>
      </c>
      <c r="Q89" s="1308">
        <f>+'Raw Data'!Q88</f>
        <v>110.881044</v>
      </c>
      <c r="R89" s="1308">
        <f>+'Raw Data'!R88</f>
        <v>110.88104399999999</v>
      </c>
      <c r="S89" s="1308">
        <f>+'Raw Data'!S88</f>
        <v>110.881044</v>
      </c>
      <c r="T89" s="1308">
        <f>+'Raw Data'!T88</f>
        <v>110.881044</v>
      </c>
      <c r="U89" s="1308">
        <f>+'Raw Data'!U88</f>
        <v>110.881044</v>
      </c>
      <c r="V89" s="1308">
        <f>+'Raw Data'!V88</f>
        <v>110.881044</v>
      </c>
      <c r="W89" s="1308">
        <f>+'Raw Data'!W88</f>
        <v>110.881044</v>
      </c>
      <c r="X89" s="1308">
        <f>+'Raw Data'!X88</f>
        <v>110.881044</v>
      </c>
      <c r="Y89" s="1308">
        <f>+'Raw Data'!Y88</f>
        <v>110.881044</v>
      </c>
      <c r="Z89" s="1308">
        <f>+'Raw Data'!Z88</f>
        <v>110.881044</v>
      </c>
      <c r="AA89" s="1308">
        <f>+'Raw Data'!AA88</f>
        <v>110.88118200000001</v>
      </c>
      <c r="AB89" s="1308">
        <f>+'Raw Data'!AB88</f>
        <v>110.881236</v>
      </c>
      <c r="AC89" s="1308">
        <f>+'Raw Data'!AC88</f>
        <v>110.88122799999999</v>
      </c>
      <c r="AD89" s="1308">
        <f>+'Raw Data'!AD88</f>
        <v>110.881044</v>
      </c>
      <c r="AE89" s="2229">
        <f>+'Raw Data'!AE88</f>
        <v>110.881044</v>
      </c>
      <c r="AF89" s="1308">
        <f t="shared" ref="AF89:AG89" si="217">+AF87+AF88</f>
        <v>110.881044</v>
      </c>
      <c r="AG89" s="1308">
        <f t="shared" si="217"/>
        <v>110.881044</v>
      </c>
      <c r="AH89" s="1308">
        <f t="shared" ref="AH89:AI89" si="218">+AH87+AH88</f>
        <v>110.881044</v>
      </c>
      <c r="AI89" s="1308">
        <f t="shared" si="218"/>
        <v>110.881044</v>
      </c>
      <c r="AJ89" s="1308">
        <f t="shared" ref="AJ89" si="219">+AJ87+AJ88</f>
        <v>110.881044</v>
      </c>
      <c r="AL89" s="1320"/>
      <c r="AM89" s="1320"/>
      <c r="AN89" s="1318"/>
      <c r="AO89" s="1320"/>
      <c r="AP89" s="1320"/>
      <c r="AQ89" s="1320"/>
      <c r="AR89" s="1320"/>
      <c r="AS89" s="1320"/>
      <c r="AT89" s="1320"/>
    </row>
    <row r="90" spans="1:51" s="1319" customFormat="1">
      <c r="A90" s="1316"/>
      <c r="B90" s="1313" t="s">
        <v>206</v>
      </c>
      <c r="C90" s="1313" t="s">
        <v>205</v>
      </c>
      <c r="D90" s="1317">
        <f>+'Raw Data'!D89</f>
        <v>0</v>
      </c>
      <c r="E90" s="1317">
        <f>+'Raw Data'!E89</f>
        <v>110.881044</v>
      </c>
      <c r="F90" s="1317">
        <f>+'Raw Data'!F89</f>
        <v>110.88104399999999</v>
      </c>
      <c r="G90" s="1317">
        <f>+'Raw Data'!G89</f>
        <v>110.88104399999999</v>
      </c>
      <c r="H90" s="1317">
        <f>+'Raw Data'!H89</f>
        <v>110.88104399999999</v>
      </c>
      <c r="I90" s="1317">
        <f>+'Raw Data'!I89</f>
        <v>110.88104399999999</v>
      </c>
      <c r="J90" s="1317">
        <f>+'Raw Data'!J89</f>
        <v>110.86729599999998</v>
      </c>
      <c r="K90" s="1317">
        <f>+'Raw Data'!K89</f>
        <v>110.794477</v>
      </c>
      <c r="L90" s="1317">
        <f>+'Raw Data'!L89</f>
        <v>109.327834</v>
      </c>
      <c r="M90" s="1317">
        <f>+'Raw Data'!M89</f>
        <v>107.67283399999999</v>
      </c>
      <c r="N90" s="1317">
        <f>+'Raw Data'!N89</f>
        <v>107.587852</v>
      </c>
      <c r="O90" s="1317">
        <f>+'Raw Data'!O89</f>
        <v>102.040356</v>
      </c>
      <c r="P90" s="1317">
        <f>+'Raw Data'!P89</f>
        <v>101.99206599999999</v>
      </c>
      <c r="Q90" s="1308">
        <f>+'Raw Data'!Q89</f>
        <v>101.929757</v>
      </c>
      <c r="R90" s="1308">
        <f>+'Raw Data'!R89</f>
        <v>102.18490899999999</v>
      </c>
      <c r="S90" s="1308">
        <f>+'Raw Data'!S89</f>
        <v>102.17186100000001</v>
      </c>
      <c r="T90" s="1308">
        <f>+'Raw Data'!T89</f>
        <v>102.163117</v>
      </c>
      <c r="U90" s="1308">
        <f>+'Raw Data'!U89</f>
        <v>102.156069</v>
      </c>
      <c r="V90" s="1308">
        <f>+'Raw Data'!V89</f>
        <v>102.13635500000001</v>
      </c>
      <c r="W90" s="1308">
        <f>+'Raw Data'!W89</f>
        <v>102.13039000000001</v>
      </c>
      <c r="X90" s="1308">
        <f>+'Raw Data'!X89</f>
        <v>102.129651</v>
      </c>
      <c r="Y90" s="1308">
        <f>+'Raw Data'!Y89</f>
        <v>102.12949500000001</v>
      </c>
      <c r="Z90" s="1308">
        <f>+'Raw Data'!Z89</f>
        <v>102.12914600000001</v>
      </c>
      <c r="AA90" s="1308">
        <f>+'Raw Data'!AA89</f>
        <v>102.129034</v>
      </c>
      <c r="AB90" s="1308">
        <f>+'Raw Data'!AB89</f>
        <v>102.128546</v>
      </c>
      <c r="AC90" s="1308">
        <f>+'Raw Data'!AC89</f>
        <v>102.12806399999999</v>
      </c>
      <c r="AD90" s="1308">
        <f>+'Raw Data'!AD89</f>
        <v>102.127741</v>
      </c>
      <c r="AE90" s="2229">
        <f>+'Raw Data'!AE89</f>
        <v>102.12737200000001</v>
      </c>
      <c r="AF90" s="1308">
        <f t="shared" ref="AF90:AJ90" si="220">+AE90</f>
        <v>102.12737200000001</v>
      </c>
      <c r="AG90" s="1308">
        <f t="shared" si="220"/>
        <v>102.12737200000001</v>
      </c>
      <c r="AH90" s="1308">
        <f t="shared" si="220"/>
        <v>102.12737200000001</v>
      </c>
      <c r="AI90" s="1308">
        <f t="shared" si="220"/>
        <v>102.12737200000001</v>
      </c>
      <c r="AJ90" s="1308">
        <f t="shared" si="220"/>
        <v>102.12737200000001</v>
      </c>
      <c r="AL90" s="1320"/>
      <c r="AM90" s="1320"/>
      <c r="AN90" s="1318"/>
      <c r="AO90" s="1320"/>
      <c r="AP90" s="1320"/>
      <c r="AQ90" s="1320"/>
      <c r="AR90" s="1320"/>
      <c r="AS90" s="1320"/>
      <c r="AT90" s="1320"/>
    </row>
    <row r="91" spans="1:51">
      <c r="A91" s="240"/>
      <c r="C91" s="233"/>
      <c r="D91" s="313"/>
      <c r="E91" s="313"/>
      <c r="F91" s="313"/>
      <c r="G91" s="313"/>
      <c r="H91" s="313"/>
      <c r="I91" s="313"/>
      <c r="J91" s="313"/>
      <c r="K91" s="313"/>
      <c r="L91" s="313"/>
      <c r="M91" s="313"/>
      <c r="N91" s="313"/>
      <c r="O91" s="313"/>
      <c r="P91" s="313"/>
      <c r="Q91" s="233"/>
      <c r="R91" s="233"/>
      <c r="S91" s="233"/>
      <c r="T91" s="233"/>
      <c r="U91" s="233"/>
      <c r="V91" s="233"/>
      <c r="W91" s="233"/>
      <c r="X91" s="233"/>
      <c r="Y91" s="233"/>
      <c r="Z91" s="233"/>
      <c r="AA91" s="233"/>
      <c r="AB91" s="233"/>
      <c r="AC91" s="233"/>
      <c r="AD91" s="233"/>
      <c r="AE91" s="244"/>
      <c r="AF91" s="314"/>
      <c r="AG91" s="314"/>
      <c r="AH91" s="314"/>
      <c r="AI91" s="314"/>
      <c r="AJ91" s="314"/>
    </row>
    <row r="92" spans="1:51">
      <c r="A92" s="240"/>
      <c r="B92" s="315"/>
      <c r="C92" s="315"/>
      <c r="D92" s="233"/>
      <c r="E92" s="233"/>
      <c r="F92" s="233"/>
      <c r="G92" s="233"/>
      <c r="H92" s="233"/>
      <c r="I92" s="233"/>
      <c r="J92" s="233"/>
      <c r="K92" s="233"/>
      <c r="L92" s="233"/>
      <c r="M92" s="233"/>
      <c r="N92" s="233"/>
      <c r="O92" s="233"/>
      <c r="P92" s="233"/>
      <c r="Q92" s="233"/>
      <c r="R92" s="233"/>
      <c r="S92" s="233"/>
      <c r="T92" s="233"/>
      <c r="U92" s="233"/>
      <c r="V92" s="233"/>
      <c r="W92" s="233"/>
      <c r="X92" s="233"/>
      <c r="Y92" s="233"/>
      <c r="Z92" s="233"/>
      <c r="AA92" s="233"/>
      <c r="AB92" s="233"/>
      <c r="AC92" s="233"/>
      <c r="AD92" s="233"/>
      <c r="AE92" s="2312">
        <f>AVERAGE(AC86:AE86)</f>
        <v>0.34485496903514967</v>
      </c>
      <c r="AF92" s="233"/>
      <c r="AG92" s="233"/>
      <c r="AH92" s="233"/>
      <c r="AI92" s="233"/>
      <c r="AJ92" s="233"/>
    </row>
    <row r="93" spans="1:51" s="1" customFormat="1">
      <c r="A93" s="208"/>
      <c r="B93" s="25" t="s">
        <v>204</v>
      </c>
      <c r="C93" s="25" t="s">
        <v>203</v>
      </c>
      <c r="D93" s="108">
        <f t="shared" ref="D93:U93" si="221">D4</f>
        <v>1995</v>
      </c>
      <c r="E93" s="108">
        <f t="shared" si="221"/>
        <v>1996</v>
      </c>
      <c r="F93" s="108">
        <f t="shared" si="221"/>
        <v>1997</v>
      </c>
      <c r="G93" s="108">
        <f t="shared" si="221"/>
        <v>1998</v>
      </c>
      <c r="H93" s="108">
        <f t="shared" si="221"/>
        <v>1999</v>
      </c>
      <c r="I93" s="108">
        <f t="shared" si="221"/>
        <v>2000</v>
      </c>
      <c r="J93" s="108">
        <f t="shared" si="221"/>
        <v>2001</v>
      </c>
      <c r="K93" s="108">
        <f t="shared" si="221"/>
        <v>2002</v>
      </c>
      <c r="L93" s="108">
        <f t="shared" si="221"/>
        <v>2003</v>
      </c>
      <c r="M93" s="108">
        <f t="shared" si="221"/>
        <v>2004</v>
      </c>
      <c r="N93" s="108">
        <f t="shared" si="221"/>
        <v>2005</v>
      </c>
      <c r="O93" s="108">
        <f t="shared" si="221"/>
        <v>2006</v>
      </c>
      <c r="P93" s="108">
        <f t="shared" si="221"/>
        <v>2007</v>
      </c>
      <c r="Q93" s="108">
        <f t="shared" si="221"/>
        <v>2008</v>
      </c>
      <c r="R93" s="108">
        <f t="shared" si="221"/>
        <v>2009</v>
      </c>
      <c r="S93" s="108">
        <f t="shared" si="221"/>
        <v>2010</v>
      </c>
      <c r="T93" s="108">
        <f t="shared" si="221"/>
        <v>2011</v>
      </c>
      <c r="U93" s="108">
        <f t="shared" si="221"/>
        <v>2012</v>
      </c>
      <c r="V93" s="108">
        <f t="shared" ref="V93:W93" si="222">V4</f>
        <v>2013</v>
      </c>
      <c r="W93" s="108">
        <f t="shared" si="222"/>
        <v>2014</v>
      </c>
      <c r="X93" s="108">
        <f t="shared" ref="X93:Y93" si="223">X4</f>
        <v>2015</v>
      </c>
      <c r="Y93" s="108">
        <f t="shared" si="223"/>
        <v>2016</v>
      </c>
      <c r="Z93" s="108">
        <f t="shared" ref="Z93" si="224">Z4</f>
        <v>2017</v>
      </c>
      <c r="AA93" s="108">
        <f t="shared" ref="AA93:AB93" si="225">AA4</f>
        <v>2018</v>
      </c>
      <c r="AB93" s="108">
        <f t="shared" si="225"/>
        <v>2019</v>
      </c>
      <c r="AC93" s="108">
        <f t="shared" ref="AC93:AD93" si="226">AC4</f>
        <v>2020</v>
      </c>
      <c r="AD93" s="108">
        <f t="shared" si="226"/>
        <v>2021</v>
      </c>
      <c r="AE93" s="226">
        <f t="shared" ref="AE93:AG93" si="227">AE4</f>
        <v>2022</v>
      </c>
      <c r="AF93" s="108" t="str">
        <f t="shared" si="227"/>
        <v>2023E</v>
      </c>
      <c r="AG93" s="108" t="str">
        <f t="shared" si="227"/>
        <v>2024E</v>
      </c>
      <c r="AH93" s="108" t="str">
        <f t="shared" ref="AH93:AI93" si="228">AH4</f>
        <v>2025E</v>
      </c>
      <c r="AI93" s="108" t="str">
        <f t="shared" si="228"/>
        <v>2026E</v>
      </c>
      <c r="AJ93" s="108" t="str">
        <f t="shared" ref="AJ93" si="229">AJ4</f>
        <v>2027E</v>
      </c>
    </row>
    <row r="94" spans="1:51" outlineLevel="1">
      <c r="A94" s="240"/>
      <c r="B94" s="315"/>
      <c r="C94" s="315"/>
      <c r="D94" s="233"/>
      <c r="E94" s="233"/>
      <c r="F94" s="233"/>
      <c r="G94" s="233"/>
      <c r="H94" s="233"/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V94" s="316"/>
      <c r="W94" s="316"/>
      <c r="X94" s="316"/>
      <c r="Y94" s="316"/>
      <c r="Z94" s="316"/>
      <c r="AA94" s="316"/>
      <c r="AB94" s="316"/>
      <c r="AC94" s="316"/>
      <c r="AD94" s="316"/>
      <c r="AE94" s="317"/>
      <c r="AF94" s="316"/>
      <c r="AG94" s="316"/>
      <c r="AH94" s="316"/>
      <c r="AI94" s="316"/>
      <c r="AJ94" s="316"/>
    </row>
    <row r="95" spans="1:51" s="239" customFormat="1" outlineLevel="1">
      <c r="A95" s="240"/>
      <c r="B95" s="213" t="s">
        <v>202</v>
      </c>
      <c r="C95" s="213" t="s">
        <v>201</v>
      </c>
      <c r="D95" s="316"/>
      <c r="E95" s="316"/>
      <c r="F95" s="316"/>
      <c r="G95" s="316"/>
      <c r="H95" s="316"/>
      <c r="I95" s="316"/>
      <c r="J95" s="316"/>
      <c r="K95" s="316"/>
      <c r="L95" s="316"/>
      <c r="M95" s="316"/>
      <c r="N95" s="316"/>
      <c r="O95" s="316"/>
      <c r="P95" s="316"/>
      <c r="Q95" s="316"/>
      <c r="R95" s="316"/>
      <c r="S95" s="316"/>
      <c r="T95" s="316"/>
      <c r="U95" s="316"/>
      <c r="V95" s="316"/>
      <c r="W95" s="316"/>
      <c r="X95" s="316"/>
      <c r="Y95" s="316"/>
      <c r="Z95" s="316"/>
      <c r="AA95" s="316"/>
      <c r="AB95" s="316"/>
      <c r="AC95" s="316"/>
      <c r="AD95" s="316"/>
      <c r="AE95" s="317"/>
      <c r="AF95" s="316"/>
      <c r="AG95" s="316"/>
      <c r="AH95" s="316"/>
      <c r="AI95" s="316"/>
      <c r="AJ95" s="316"/>
    </row>
    <row r="96" spans="1:51" s="239" customFormat="1" outlineLevel="1">
      <c r="A96" s="318"/>
      <c r="B96" s="319" t="s">
        <v>200</v>
      </c>
      <c r="C96" s="319" t="s">
        <v>199</v>
      </c>
      <c r="D96" s="316" t="str">
        <f t="shared" ref="D96:U96" si="230">IF(ISERROR(-D28/D$14)," ",-D28/D$14)</f>
        <v xml:space="preserve"> </v>
      </c>
      <c r="E96" s="316">
        <f t="shared" si="230"/>
        <v>0.22037869714046351</v>
      </c>
      <c r="F96" s="316">
        <f t="shared" si="230"/>
        <v>0.22329812860174952</v>
      </c>
      <c r="G96" s="316">
        <f t="shared" si="230"/>
        <v>0.23566067082533906</v>
      </c>
      <c r="H96" s="316">
        <f t="shared" si="230"/>
        <v>0.26008482289830936</v>
      </c>
      <c r="I96" s="316">
        <f t="shared" si="230"/>
        <v>0.27673452755967215</v>
      </c>
      <c r="J96" s="316">
        <f t="shared" si="230"/>
        <v>0.28737122089638223</v>
      </c>
      <c r="K96" s="316">
        <f t="shared" si="230"/>
        <v>0.2728095361849624</v>
      </c>
      <c r="L96" s="316">
        <f t="shared" si="230"/>
        <v>0.28328477691980458</v>
      </c>
      <c r="M96" s="316">
        <f t="shared" si="230"/>
        <v>0.2911389935655041</v>
      </c>
      <c r="N96" s="316">
        <f t="shared" si="230"/>
        <v>0.30041543974281426</v>
      </c>
      <c r="O96" s="316">
        <f t="shared" si="230"/>
        <v>0.30004418775439079</v>
      </c>
      <c r="P96" s="316">
        <f t="shared" si="230"/>
        <v>0.30297638715908803</v>
      </c>
      <c r="Q96" s="316">
        <f t="shared" si="230"/>
        <v>0.27468228265898287</v>
      </c>
      <c r="R96" s="316">
        <f t="shared" si="230"/>
        <v>0.28144175913387898</v>
      </c>
      <c r="S96" s="316">
        <f t="shared" si="230"/>
        <v>0.29087545070298226</v>
      </c>
      <c r="T96" s="316">
        <f t="shared" si="230"/>
        <v>0.289306765361945</v>
      </c>
      <c r="U96" s="316">
        <f t="shared" si="230"/>
        <v>0.29024140343137111</v>
      </c>
      <c r="V96" s="316">
        <f t="shared" ref="V96:W96" si="231">IF(ISERROR(-V28/V$14)," ",-V28/V$14)</f>
        <v>0.29931682208091215</v>
      </c>
      <c r="W96" s="316">
        <f t="shared" si="231"/>
        <v>0.29181999638041334</v>
      </c>
      <c r="X96" s="316">
        <f t="shared" ref="X96:Y96" si="232">IF(ISERROR(-X28/X$14)," ",-X28/X$14)</f>
        <v>0.29866727893215334</v>
      </c>
      <c r="Y96" s="316">
        <f t="shared" si="232"/>
        <v>0.30181771620004283</v>
      </c>
      <c r="Z96" s="316">
        <f t="shared" ref="Z96" si="233">IF(ISERROR(-Z28/Z$14)," ",-Z28/Z$14)</f>
        <v>0.30904045041499806</v>
      </c>
      <c r="AA96" s="316">
        <f t="shared" ref="AA96:AB96" si="234">IF(ISERROR(-AA28/AA$14)," ",-AA28/AA$14)</f>
        <v>0.3058065545648575</v>
      </c>
      <c r="AB96" s="316">
        <f t="shared" si="234"/>
        <v>0.30231160658700912</v>
      </c>
      <c r="AC96" s="316">
        <f t="shared" ref="AC96:AD96" si="235">IF(ISERROR(-AC28/AC$14)," ",-AC28/AC$14)</f>
        <v>0.30847091453877862</v>
      </c>
      <c r="AD96" s="316">
        <f t="shared" si="235"/>
        <v>0.16813510560312037</v>
      </c>
      <c r="AE96" s="317">
        <f t="shared" ref="AE96" si="236">IF(ISERROR(-AE28/AE$14)," ",-AE28/AE$14)</f>
        <v>0.15537901630616863</v>
      </c>
      <c r="AF96" s="316">
        <f t="shared" ref="AF96:AG96" si="237">IF(ISERROR(-AF28/AF$14)," ",-AF28/AF$14)</f>
        <v>0.13964620187304891</v>
      </c>
      <c r="AG96" s="316">
        <f t="shared" si="237"/>
        <v>0.13848014513202983</v>
      </c>
      <c r="AH96" s="316">
        <f t="shared" ref="AH96:AI96" si="238">IF(ISERROR(-AH28/AH$14)," ",-AH28/AH$14)</f>
        <v>0.13835616438356163</v>
      </c>
      <c r="AI96" s="316">
        <f t="shared" si="238"/>
        <v>0.13844111511473545</v>
      </c>
      <c r="AJ96" s="316">
        <f t="shared" ref="AJ96" si="239">IF(ISERROR(-AJ28/AJ$14)," ",-AJ28/AJ$14)</f>
        <v>0.13827433628318583</v>
      </c>
    </row>
    <row r="97" spans="1:36" s="239" customFormat="1" outlineLevel="1">
      <c r="A97" s="318"/>
      <c r="B97" s="320" t="s">
        <v>198</v>
      </c>
      <c r="C97" s="319" t="s">
        <v>197</v>
      </c>
      <c r="D97" s="316" t="str">
        <f t="shared" ref="D97:U97" si="240">IF(ISERROR(-D19/D$14)," ",-D19/D$14)</f>
        <v xml:space="preserve"> </v>
      </c>
      <c r="E97" s="316">
        <f t="shared" si="240"/>
        <v>0.74788103699922115</v>
      </c>
      <c r="F97" s="316">
        <f t="shared" si="240"/>
        <v>0.74881068679456619</v>
      </c>
      <c r="G97" s="316">
        <f t="shared" si="240"/>
        <v>0.7242430346640425</v>
      </c>
      <c r="H97" s="316">
        <f t="shared" si="240"/>
        <v>0.68830166999115616</v>
      </c>
      <c r="I97" s="316">
        <f t="shared" si="240"/>
        <v>0.67218643722475591</v>
      </c>
      <c r="J97" s="316">
        <f t="shared" si="240"/>
        <v>0.66207321333357849</v>
      </c>
      <c r="K97" s="316">
        <f t="shared" si="240"/>
        <v>0.66646209917557209</v>
      </c>
      <c r="L97" s="316">
        <f t="shared" si="240"/>
        <v>0.65662988410916168</v>
      </c>
      <c r="M97" s="316">
        <f t="shared" si="240"/>
        <v>0.64303666589717157</v>
      </c>
      <c r="N97" s="316">
        <f t="shared" si="240"/>
        <v>0.63837398174275894</v>
      </c>
      <c r="O97" s="316">
        <f t="shared" si="240"/>
        <v>0.63905761834227459</v>
      </c>
      <c r="P97" s="316">
        <f t="shared" si="240"/>
        <v>0.63277457235086287</v>
      </c>
      <c r="Q97" s="316">
        <f t="shared" si="240"/>
        <v>0.64776146281938629</v>
      </c>
      <c r="R97" s="316">
        <f t="shared" si="240"/>
        <v>0.61986699943235335</v>
      </c>
      <c r="S97" s="316">
        <f t="shared" si="240"/>
        <v>0.6247503358820049</v>
      </c>
      <c r="T97" s="316">
        <f t="shared" si="240"/>
        <v>0.63120739716126462</v>
      </c>
      <c r="U97" s="316">
        <f t="shared" si="240"/>
        <v>0.6237769463641456</v>
      </c>
      <c r="V97" s="316">
        <f t="shared" ref="V97:W97" si="241">IF(ISERROR(-V19/V$14)," ",-V19/V$14)</f>
        <v>0.6184895938274888</v>
      </c>
      <c r="W97" s="316">
        <f t="shared" si="241"/>
        <v>0.64240844150564314</v>
      </c>
      <c r="X97" s="316">
        <f t="shared" ref="X97:Y97" si="242">IF(ISERROR(-X19/X$14)," ",-X19/X$14)</f>
        <v>0.62745906344253233</v>
      </c>
      <c r="Y97" s="316">
        <f t="shared" si="242"/>
        <v>0.62112794568801966</v>
      </c>
      <c r="Z97" s="316">
        <f t="shared" ref="Z97" si="243">IF(ISERROR(-Z19/Z$14)," ",-Z19/Z$14)</f>
        <v>0.62240706589814221</v>
      </c>
      <c r="AA97" s="316">
        <f t="shared" ref="AA97:AB97" si="244">IF(ISERROR(-AA19/AA$14)," ",-AA19/AA$14)</f>
        <v>0.63519538028843281</v>
      </c>
      <c r="AB97" s="316">
        <f t="shared" si="244"/>
        <v>0.62954683665399935</v>
      </c>
      <c r="AC97" s="316">
        <f t="shared" ref="AC97:AD97" si="245">IF(ISERROR(-AC19/AC$14)," ",-AC19/AC$14)</f>
        <v>0.60420204497606056</v>
      </c>
      <c r="AD97" s="316">
        <f t="shared" si="245"/>
        <v>0.74960096266891663</v>
      </c>
      <c r="AE97" s="317">
        <f t="shared" ref="AE97" si="246">IF(ISERROR(-AE19/AE$14)," ",-AE19/AE$14)</f>
        <v>0.75207556002257991</v>
      </c>
      <c r="AF97" s="316">
        <f t="shared" ref="AF97:AG97" si="247">IF(ISERROR(-AF19/AF$14)," ",-AF19/AF$14)</f>
        <v>0.73652445369406871</v>
      </c>
      <c r="AG97" s="316">
        <f t="shared" si="247"/>
        <v>0.73251360612779681</v>
      </c>
      <c r="AH97" s="316">
        <f t="shared" ref="AH97:AI97" si="248">IF(ISERROR(-AH19/AH$14)," ",-AH19/AH$14)</f>
        <v>0.73228962818003918</v>
      </c>
      <c r="AI97" s="316">
        <f t="shared" si="248"/>
        <v>0.73260003792907269</v>
      </c>
      <c r="AJ97" s="316">
        <f t="shared" ref="AJ97" si="249">IF(ISERROR(-AJ19/AJ$14)," ",-AJ19/AJ$14)</f>
        <v>0.73230088495575218</v>
      </c>
    </row>
    <row r="98" spans="1:36" s="239" customFormat="1" outlineLevel="1">
      <c r="A98" s="318"/>
      <c r="B98" s="320" t="s">
        <v>196</v>
      </c>
      <c r="C98" s="320" t="s">
        <v>167</v>
      </c>
      <c r="D98" s="316" t="str">
        <f t="shared" ref="D98:U98" si="250">IF(ISERROR(-D20/D$14)," ",-D20/D$14)</f>
        <v xml:space="preserve"> </v>
      </c>
      <c r="E98" s="316">
        <f t="shared" si="250"/>
        <v>0</v>
      </c>
      <c r="F98" s="316">
        <f t="shared" si="250"/>
        <v>0</v>
      </c>
      <c r="G98" s="316">
        <f t="shared" si="250"/>
        <v>0</v>
      </c>
      <c r="H98" s="316">
        <f t="shared" si="250"/>
        <v>0</v>
      </c>
      <c r="I98" s="316">
        <f t="shared" si="250"/>
        <v>0</v>
      </c>
      <c r="J98" s="316">
        <f t="shared" si="250"/>
        <v>0</v>
      </c>
      <c r="K98" s="316">
        <f t="shared" si="250"/>
        <v>0</v>
      </c>
      <c r="L98" s="316">
        <f t="shared" si="250"/>
        <v>0</v>
      </c>
      <c r="M98" s="316">
        <f t="shared" si="250"/>
        <v>0</v>
      </c>
      <c r="N98" s="316">
        <f t="shared" si="250"/>
        <v>0</v>
      </c>
      <c r="O98" s="316">
        <f t="shared" si="250"/>
        <v>0</v>
      </c>
      <c r="P98" s="316">
        <f t="shared" si="250"/>
        <v>0</v>
      </c>
      <c r="Q98" s="316">
        <f t="shared" si="250"/>
        <v>0</v>
      </c>
      <c r="R98" s="316">
        <f t="shared" si="250"/>
        <v>0</v>
      </c>
      <c r="S98" s="316">
        <f t="shared" si="250"/>
        <v>0</v>
      </c>
      <c r="T98" s="316">
        <f t="shared" si="250"/>
        <v>0</v>
      </c>
      <c r="U98" s="316">
        <f t="shared" si="250"/>
        <v>0</v>
      </c>
      <c r="V98" s="316">
        <f t="shared" ref="V98:W98" si="251">IF(ISERROR(-V20/V$14)," ",-V20/V$14)</f>
        <v>0</v>
      </c>
      <c r="W98" s="316">
        <f t="shared" si="251"/>
        <v>0</v>
      </c>
      <c r="X98" s="316">
        <f t="shared" ref="X98:Y98" si="252">IF(ISERROR(-X20/X$14)," ",-X20/X$14)</f>
        <v>0</v>
      </c>
      <c r="Y98" s="316">
        <f t="shared" si="252"/>
        <v>0</v>
      </c>
      <c r="Z98" s="316">
        <f t="shared" ref="Z98" si="253">IF(ISERROR(-Z20/Z$14)," ",-Z20/Z$14)</f>
        <v>0</v>
      </c>
      <c r="AA98" s="316">
        <f t="shared" ref="AA98:AB98" si="254">IF(ISERROR(-AA20/AA$14)," ",-AA20/AA$14)</f>
        <v>0</v>
      </c>
      <c r="AB98" s="316">
        <f t="shared" si="254"/>
        <v>0</v>
      </c>
      <c r="AC98" s="316">
        <f t="shared" ref="AC98:AD98" si="255">IF(ISERROR(-AC20/AC$14)," ",-AC20/AC$14)</f>
        <v>0</v>
      </c>
      <c r="AD98" s="316">
        <f t="shared" si="255"/>
        <v>0</v>
      </c>
      <c r="AE98" s="317">
        <f t="shared" ref="AE98" si="256">IF(ISERROR(-AE20/AE$14)," ",-AE20/AE$14)</f>
        <v>0</v>
      </c>
      <c r="AF98" s="316">
        <f t="shared" ref="AF98:AG98" si="257">IF(ISERROR(-AF20/AF$14)," ",-AF20/AF$14)</f>
        <v>0</v>
      </c>
      <c r="AG98" s="316">
        <f t="shared" si="257"/>
        <v>0</v>
      </c>
      <c r="AH98" s="316">
        <f t="shared" ref="AH98:AI98" si="258">IF(ISERROR(-AH20/AH$14)," ",-AH20/AH$14)</f>
        <v>0</v>
      </c>
      <c r="AI98" s="316">
        <f t="shared" si="258"/>
        <v>0</v>
      </c>
      <c r="AJ98" s="316">
        <f t="shared" ref="AJ98" si="259">IF(ISERROR(-AJ20/AJ$14)," ",-AJ20/AJ$14)</f>
        <v>0</v>
      </c>
    </row>
    <row r="99" spans="1:36" s="239" customFormat="1" outlineLevel="1">
      <c r="A99" s="318"/>
      <c r="B99" s="321" t="s">
        <v>180</v>
      </c>
      <c r="C99" s="320" t="s">
        <v>179</v>
      </c>
      <c r="D99" s="316" t="str">
        <f t="shared" ref="D99:U99" si="260">IF(ISERROR(-D26/D$14)," ",-D26/D$14)</f>
        <v xml:space="preserve"> </v>
      </c>
      <c r="E99" s="316">
        <f t="shared" si="260"/>
        <v>0.22037542461073259</v>
      </c>
      <c r="F99" s="316">
        <f t="shared" si="260"/>
        <v>0.22329812860174952</v>
      </c>
      <c r="G99" s="316">
        <f t="shared" si="260"/>
        <v>0.23565736854445365</v>
      </c>
      <c r="H99" s="316">
        <f t="shared" si="260"/>
        <v>0.26008159523855634</v>
      </c>
      <c r="I99" s="316">
        <f t="shared" si="260"/>
        <v>0.2767313931073393</v>
      </c>
      <c r="J99" s="316">
        <f t="shared" si="260"/>
        <v>0.28737122089638223</v>
      </c>
      <c r="K99" s="316">
        <f t="shared" si="260"/>
        <v>0.27280640504989462</v>
      </c>
      <c r="L99" s="316">
        <f t="shared" si="260"/>
        <v>0.28328155414899514</v>
      </c>
      <c r="M99" s="316">
        <f t="shared" si="260"/>
        <v>0.29113574217797444</v>
      </c>
      <c r="N99" s="316">
        <f t="shared" si="260"/>
        <v>0.3004123692347373</v>
      </c>
      <c r="O99" s="316">
        <f t="shared" si="260"/>
        <v>0.30004107594070129</v>
      </c>
      <c r="P99" s="316">
        <f t="shared" si="260"/>
        <v>0.30297320997381999</v>
      </c>
      <c r="Q99" s="316">
        <f t="shared" si="260"/>
        <v>0.27467917767641736</v>
      </c>
      <c r="R99" s="316">
        <f t="shared" si="260"/>
        <v>0.28143858792339627</v>
      </c>
      <c r="S99" s="316">
        <f t="shared" si="260"/>
        <v>0.29087545070298226</v>
      </c>
      <c r="T99" s="316">
        <f t="shared" si="260"/>
        <v>0.28930364998068464</v>
      </c>
      <c r="U99" s="316">
        <f t="shared" si="260"/>
        <v>0.2902385009012356</v>
      </c>
      <c r="V99" s="316">
        <f t="shared" ref="V99:W99" si="261">IF(ISERROR(-V26/V$14)," ",-V26/V$14)</f>
        <v>0.29931413557710129</v>
      </c>
      <c r="W99" s="316">
        <f t="shared" si="261"/>
        <v>0.29181999638041334</v>
      </c>
      <c r="X99" s="316">
        <f t="shared" ref="X99:Y99" si="262">IF(ISERROR(-X26/X$14)," ",-X26/X$14)</f>
        <v>0.29866727893215334</v>
      </c>
      <c r="Y99" s="316">
        <f t="shared" si="262"/>
        <v>0.30181771620004283</v>
      </c>
      <c r="Z99" s="316">
        <f t="shared" ref="Z99" si="263">IF(ISERROR(-Z26/Z$14)," ",-Z26/Z$14)</f>
        <v>0.30904045041499806</v>
      </c>
      <c r="AA99" s="316">
        <f t="shared" ref="AA99:AB99" si="264">IF(ISERROR(-AA26/AA$14)," ",-AA26/AA$14)</f>
        <v>0.3058065545648575</v>
      </c>
      <c r="AB99" s="316">
        <f t="shared" si="264"/>
        <v>0.30231160658700912</v>
      </c>
      <c r="AC99" s="316">
        <f t="shared" ref="AC99:AD99" si="265">IF(ISERROR(-AC26/AC$14)," ",-AC26/AC$14)</f>
        <v>0.30847091453877862</v>
      </c>
      <c r="AD99" s="316">
        <f t="shared" si="265"/>
        <v>0.16813510560312037</v>
      </c>
      <c r="AE99" s="317">
        <f t="shared" ref="AE99" si="266">IF(ISERROR(-AE26/AE$14)," ",-AE26/AE$14)</f>
        <v>0.15537901630616863</v>
      </c>
      <c r="AF99" s="316">
        <f t="shared" ref="AF99:AG99" si="267">IF(ISERROR(-AF26/AF$14)," ",-AF26/AF$14)</f>
        <v>0.13964620187304891</v>
      </c>
      <c r="AG99" s="316">
        <f t="shared" si="267"/>
        <v>0.13848014513202983</v>
      </c>
      <c r="AH99" s="316">
        <f t="shared" ref="AH99:AI99" si="268">IF(ISERROR(-AH26/AH$14)," ",-AH26/AH$14)</f>
        <v>0.13835616438356163</v>
      </c>
      <c r="AI99" s="316">
        <f t="shared" si="268"/>
        <v>0.13844111511473545</v>
      </c>
      <c r="AJ99" s="316">
        <f t="shared" ref="AJ99" si="269">IF(ISERROR(-AJ26/AJ$14)," ",-AJ26/AJ$14)</f>
        <v>0.13827433628318583</v>
      </c>
    </row>
    <row r="100" spans="1:36" s="239" customFormat="1" outlineLevel="1">
      <c r="A100" s="318"/>
      <c r="B100" s="320" t="s">
        <v>195</v>
      </c>
      <c r="C100" s="320" t="s">
        <v>194</v>
      </c>
      <c r="D100" s="316" t="str">
        <f t="shared" ref="D100:U100" si="270">IF(ISERROR(-D27/D$14)," ",-D27/D$14)</f>
        <v xml:space="preserve"> </v>
      </c>
      <c r="E100" s="316">
        <f t="shared" si="270"/>
        <v>3.2725297309326054E-6</v>
      </c>
      <c r="F100" s="316">
        <f t="shared" si="270"/>
        <v>0</v>
      </c>
      <c r="G100" s="316">
        <f t="shared" si="270"/>
        <v>3.3022808854075509E-6</v>
      </c>
      <c r="H100" s="316">
        <f t="shared" si="270"/>
        <v>3.2276597530194759E-6</v>
      </c>
      <c r="I100" s="316">
        <f t="shared" si="270"/>
        <v>3.1344523328161485E-6</v>
      </c>
      <c r="J100" s="316">
        <f t="shared" si="270"/>
        <v>0</v>
      </c>
      <c r="K100" s="316">
        <f t="shared" si="270"/>
        <v>3.1311350677734184E-6</v>
      </c>
      <c r="L100" s="316">
        <f t="shared" si="270"/>
        <v>3.2227708094311167E-6</v>
      </c>
      <c r="M100" s="316">
        <f t="shared" si="270"/>
        <v>3.2513875296282688E-6</v>
      </c>
      <c r="N100" s="316">
        <f t="shared" si="270"/>
        <v>3.0705080769714965E-6</v>
      </c>
      <c r="O100" s="316">
        <f t="shared" si="270"/>
        <v>3.1118136894907828E-6</v>
      </c>
      <c r="P100" s="316">
        <f t="shared" si="270"/>
        <v>3.1771852680273492E-6</v>
      </c>
      <c r="Q100" s="316">
        <f t="shared" si="270"/>
        <v>3.1049825655228947E-6</v>
      </c>
      <c r="R100" s="316">
        <f t="shared" si="270"/>
        <v>3.1712104827533718E-6</v>
      </c>
      <c r="S100" s="316">
        <f t="shared" si="270"/>
        <v>0</v>
      </c>
      <c r="T100" s="316">
        <f t="shared" si="270"/>
        <v>3.1153812603586427E-6</v>
      </c>
      <c r="U100" s="316">
        <f t="shared" si="270"/>
        <v>2.902530135519132E-6</v>
      </c>
      <c r="V100" s="316">
        <f t="shared" ref="V100:W100" si="271">IF(ISERROR(-V27/V$14)," ",-V27/V$14)</f>
        <v>2.6865038108056555E-6</v>
      </c>
      <c r="W100" s="316">
        <f t="shared" si="271"/>
        <v>0</v>
      </c>
      <c r="X100" s="316">
        <f t="shared" ref="X100:Y100" si="272">IF(ISERROR(-X27/X$14)," ",-X27/X$14)</f>
        <v>0</v>
      </c>
      <c r="Y100" s="316">
        <f t="shared" si="272"/>
        <v>0</v>
      </c>
      <c r="Z100" s="316">
        <f t="shared" ref="Z100" si="273">IF(ISERROR(-Z27/Z$14)," ",-Z27/Z$14)</f>
        <v>0</v>
      </c>
      <c r="AA100" s="316">
        <f t="shared" ref="AA100:AB100" si="274">IF(ISERROR(-AA27/AA$14)," ",-AA27/AA$14)</f>
        <v>0</v>
      </c>
      <c r="AB100" s="316">
        <f t="shared" si="274"/>
        <v>0</v>
      </c>
      <c r="AC100" s="316">
        <f t="shared" ref="AC100:AD100" si="275">IF(ISERROR(-AC27/AC$14)," ",-AC27/AC$14)</f>
        <v>0</v>
      </c>
      <c r="AD100" s="316">
        <f t="shared" si="275"/>
        <v>0</v>
      </c>
      <c r="AE100" s="317">
        <f t="shared" ref="AE100" si="276">IF(ISERROR(-AE27/AE$14)," ",-AE27/AE$14)</f>
        <v>0</v>
      </c>
      <c r="AF100" s="316">
        <f t="shared" ref="AF100:AG100" si="277">IF(ISERROR(-AF27/AF$14)," ",-AF27/AF$14)</f>
        <v>0</v>
      </c>
      <c r="AG100" s="316">
        <f t="shared" si="277"/>
        <v>0</v>
      </c>
      <c r="AH100" s="316">
        <f t="shared" ref="AH100:AI100" si="278">IF(ISERROR(-AH27/AH$14)," ",-AH27/AH$14)</f>
        <v>0</v>
      </c>
      <c r="AI100" s="316">
        <f t="shared" si="278"/>
        <v>0</v>
      </c>
      <c r="AJ100" s="316">
        <f t="shared" ref="AJ100" si="279">IF(ISERROR(-AJ27/AJ$14)," ",-AJ27/AJ$14)</f>
        <v>0</v>
      </c>
    </row>
    <row r="101" spans="1:36" s="239" customFormat="1" outlineLevel="1">
      <c r="A101" s="318"/>
      <c r="B101" s="319" t="s">
        <v>193</v>
      </c>
      <c r="C101" s="319" t="s">
        <v>192</v>
      </c>
      <c r="D101" s="316" t="str">
        <f t="shared" ref="D101:U101" si="280">IF(ISERROR(D23/D$14)," ",D23/D$14)</f>
        <v xml:space="preserve"> </v>
      </c>
      <c r="E101" s="316">
        <f t="shared" si="280"/>
        <v>0.25211896300077885</v>
      </c>
      <c r="F101" s="316">
        <f t="shared" si="280"/>
        <v>0.25118931320543375</v>
      </c>
      <c r="G101" s="316">
        <f t="shared" si="280"/>
        <v>0.27575696533595756</v>
      </c>
      <c r="H101" s="316">
        <f t="shared" si="280"/>
        <v>0.31169833000884378</v>
      </c>
      <c r="I101" s="316">
        <f t="shared" si="280"/>
        <v>0.32781356277524409</v>
      </c>
      <c r="J101" s="316">
        <f t="shared" si="280"/>
        <v>0.33792678666642151</v>
      </c>
      <c r="K101" s="316">
        <f t="shared" si="280"/>
        <v>0.33353790082442786</v>
      </c>
      <c r="L101" s="316">
        <f t="shared" si="280"/>
        <v>0.34337011589083832</v>
      </c>
      <c r="M101" s="316">
        <f t="shared" si="280"/>
        <v>0.35696333410282838</v>
      </c>
      <c r="N101" s="316">
        <f t="shared" si="280"/>
        <v>0.361626018257241</v>
      </c>
      <c r="O101" s="316">
        <f t="shared" si="280"/>
        <v>0.36094238165772541</v>
      </c>
      <c r="P101" s="316">
        <f t="shared" si="280"/>
        <v>0.36722542764913707</v>
      </c>
      <c r="Q101" s="316">
        <f t="shared" si="280"/>
        <v>0.35223853718061371</v>
      </c>
      <c r="R101" s="316">
        <f t="shared" si="280"/>
        <v>0.38013300056764665</v>
      </c>
      <c r="S101" s="316">
        <f t="shared" si="280"/>
        <v>0.3752496641179951</v>
      </c>
      <c r="T101" s="316">
        <f t="shared" si="280"/>
        <v>0.36879260283873538</v>
      </c>
      <c r="U101" s="316">
        <f t="shared" si="280"/>
        <v>0.3762230536358544</v>
      </c>
      <c r="V101" s="316">
        <f t="shared" ref="V101:W101" si="281">IF(ISERROR(V23/V$14)," ",V23/V$14)</f>
        <v>0.38151040617251114</v>
      </c>
      <c r="W101" s="316">
        <f t="shared" si="281"/>
        <v>0.35759155849435686</v>
      </c>
      <c r="X101" s="316">
        <f t="shared" ref="X101:Y101" si="282">IF(ISERROR(X23/X$14)," ",X23/X$14)</f>
        <v>0.37254093655746773</v>
      </c>
      <c r="Y101" s="316">
        <f t="shared" si="282"/>
        <v>0.37887205431198029</v>
      </c>
      <c r="Z101" s="316">
        <f t="shared" ref="Z101" si="283">IF(ISERROR(Z23/Z$14)," ",Z23/Z$14)</f>
        <v>0.37759293410185779</v>
      </c>
      <c r="AA101" s="316">
        <f t="shared" ref="AA101:AB101" si="284">IF(ISERROR(AA23/AA$14)," ",AA23/AA$14)</f>
        <v>0.36480461971156725</v>
      </c>
      <c r="AB101" s="316">
        <f t="shared" si="284"/>
        <v>0.37045316334600065</v>
      </c>
      <c r="AC101" s="316">
        <f t="shared" ref="AC101:AD101" si="285">IF(ISERROR(AC23/AC$14)," ",AC23/AC$14)</f>
        <v>0.3957979550239395</v>
      </c>
      <c r="AD101" s="316">
        <f t="shared" si="285"/>
        <v>0.25039903733108343</v>
      </c>
      <c r="AE101" s="317">
        <f t="shared" ref="AE101" si="286">IF(ISERROR(AE23/AE$14)," ",AE23/AE$14)</f>
        <v>0.24792443997742011</v>
      </c>
      <c r="AF101" s="316">
        <f t="shared" ref="AF101:AG101" si="287">IF(ISERROR(AF23/AF$14)," ",AF23/AF$14)</f>
        <v>0.26347554630593134</v>
      </c>
      <c r="AG101" s="316">
        <f t="shared" si="287"/>
        <v>0.26748639387220319</v>
      </c>
      <c r="AH101" s="316">
        <f t="shared" ref="AH101:AI101" si="288">IF(ISERROR(AH23/AH$14)," ",AH23/AH$14)</f>
        <v>0.26771037181996088</v>
      </c>
      <c r="AI101" s="316">
        <f t="shared" si="288"/>
        <v>0.26739996207092737</v>
      </c>
      <c r="AJ101" s="316">
        <f t="shared" ref="AJ101" si="289">IF(ISERROR(AJ23/AJ$14)," ",AJ23/AJ$14)</f>
        <v>0.26769911504424782</v>
      </c>
    </row>
    <row r="102" spans="1:36" s="239" customFormat="1" outlineLevel="1">
      <c r="A102" s="318"/>
      <c r="B102" s="319" t="s">
        <v>1129</v>
      </c>
      <c r="C102" s="319" t="s">
        <v>4</v>
      </c>
      <c r="D102" s="316" t="str">
        <f t="shared" ref="D102:U102" si="290">IF(ISERROR(D30/D$14)," ",D30/D$14)</f>
        <v xml:space="preserve"> </v>
      </c>
      <c r="E102" s="316">
        <f t="shared" si="290"/>
        <v>3.4332109407213963E-2</v>
      </c>
      <c r="F102" s="316">
        <f t="shared" si="290"/>
        <v>3.0223670435344321E-2</v>
      </c>
      <c r="G102" s="316">
        <f t="shared" si="290"/>
        <v>4.2757932904256973E-2</v>
      </c>
      <c r="H102" s="316">
        <f t="shared" si="290"/>
        <v>5.4489351950474788E-2</v>
      </c>
      <c r="I102" s="316">
        <f t="shared" si="290"/>
        <v>5.38624288871127E-2</v>
      </c>
      <c r="J102" s="316">
        <f t="shared" si="290"/>
        <v>5.3396213695171203E-2</v>
      </c>
      <c r="K102" s="316">
        <f t="shared" si="290"/>
        <v>6.4028581000898629E-2</v>
      </c>
      <c r="L102" s="316">
        <f t="shared" si="290"/>
        <v>6.3756074922975775E-2</v>
      </c>
      <c r="M102" s="316">
        <f t="shared" si="290"/>
        <v>6.9641469497107894E-2</v>
      </c>
      <c r="N102" s="316">
        <f t="shared" si="290"/>
        <v>6.562903963718876E-2</v>
      </c>
      <c r="O102" s="316">
        <f t="shared" si="290"/>
        <v>8.8795603629619482E-2</v>
      </c>
      <c r="P102" s="316">
        <f t="shared" si="290"/>
        <v>9.1566479424548208E-2</v>
      </c>
      <c r="Q102" s="316">
        <f t="shared" si="290"/>
        <v>0.10439882880057628</v>
      </c>
      <c r="R102" s="316">
        <f t="shared" si="290"/>
        <v>0.12725750546241005</v>
      </c>
      <c r="S102" s="316">
        <f t="shared" si="290"/>
        <v>0.11929940407504143</v>
      </c>
      <c r="T102" s="316">
        <f t="shared" si="290"/>
        <v>0.11134372624521789</v>
      </c>
      <c r="U102" s="316">
        <f t="shared" si="290"/>
        <v>0.11818522205806802</v>
      </c>
      <c r="V102" s="316">
        <f t="shared" ref="V102:W102" si="291">IF(ISERROR(V30/V$14)," ",V30/V$14)</f>
        <v>0.11111379761492192</v>
      </c>
      <c r="W102" s="316">
        <f t="shared" si="291"/>
        <v>9.6412150270550986E-2</v>
      </c>
      <c r="X102" s="316">
        <f t="shared" ref="X102:Y102" si="292">IF(ISERROR(X30/X$14)," ",X30/X$14)</f>
        <v>0.10316325572172534</v>
      </c>
      <c r="Y102" s="316">
        <f t="shared" si="292"/>
        <v>0.10826857044303566</v>
      </c>
      <c r="Z102" s="316">
        <f t="shared" ref="Z102" si="293">IF(ISERROR(Z30/Z$14)," ",Z30/Z$14)</f>
        <v>0.10018853026129317</v>
      </c>
      <c r="AA102" s="316">
        <f t="shared" ref="AA102:AB102" si="294">IF(ISERROR(AA30/AA$14)," ",AA30/AA$14)</f>
        <v>9.3508766680629532E-2</v>
      </c>
      <c r="AB102" s="316">
        <f t="shared" si="294"/>
        <v>0.10366535186079884</v>
      </c>
      <c r="AC102" s="316">
        <f t="shared" ref="AC102:AD102" si="295">IF(ISERROR(AC30/AC$14)," ",AC30/AC$14)</f>
        <v>0.12327579393117787</v>
      </c>
      <c r="AD102" s="316">
        <f t="shared" si="295"/>
        <v>0.12451347874797715</v>
      </c>
      <c r="AE102" s="317">
        <f t="shared" ref="AE102" si="296">IF(ISERROR(AE30/AE$14)," ",AE30/AE$14)</f>
        <v>0.129258397470318</v>
      </c>
      <c r="AF102" s="316">
        <f t="shared" ref="AF102:AG102" si="297">IF(ISERROR(AF30/AF$14)," ",AF30/AF$14)</f>
        <v>0.1571279916753382</v>
      </c>
      <c r="AG102" s="316">
        <f t="shared" si="297"/>
        <v>0.16206409997984278</v>
      </c>
      <c r="AH102" s="316">
        <f t="shared" ref="AH102:AI102" si="298">IF(ISERROR(AH30/AH$14)," ",AH30/AH$14)</f>
        <v>0.16301369863013698</v>
      </c>
      <c r="AI102" s="316">
        <f t="shared" si="298"/>
        <v>0.16290536696377775</v>
      </c>
      <c r="AJ102" s="316">
        <f t="shared" ref="AJ102" si="299">IF(ISERROR(AJ30/AJ$14)," ",AJ30/AJ$14)</f>
        <v>0.16334808259587022</v>
      </c>
    </row>
    <row r="103" spans="1:36" s="239" customFormat="1" outlineLevel="1">
      <c r="A103" s="318"/>
      <c r="B103" s="319" t="s">
        <v>191</v>
      </c>
      <c r="C103" s="319" t="s">
        <v>190</v>
      </c>
      <c r="D103" s="316" t="str">
        <f t="shared" ref="D103:U103" si="300">IF(ISERROR(D36/D$14)," ",D36/D$14)</f>
        <v xml:space="preserve"> </v>
      </c>
      <c r="E103" s="316">
        <f t="shared" si="300"/>
        <v>3.1740265860315343E-2</v>
      </c>
      <c r="F103" s="316">
        <f t="shared" si="300"/>
        <v>2.7891184603684244E-2</v>
      </c>
      <c r="G103" s="316">
        <f t="shared" si="300"/>
        <v>4.0096294510618483E-2</v>
      </c>
      <c r="H103" s="316">
        <f t="shared" si="300"/>
        <v>5.1613507110534439E-2</v>
      </c>
      <c r="I103" s="316">
        <f t="shared" si="300"/>
        <v>5.1079035215571958E-2</v>
      </c>
      <c r="J103" s="316">
        <f t="shared" si="300"/>
        <v>5.0555565770039286E-2</v>
      </c>
      <c r="K103" s="316">
        <f t="shared" si="300"/>
        <v>6.0728364639465453E-2</v>
      </c>
      <c r="L103" s="316">
        <f t="shared" si="300"/>
        <v>6.0085338971033735E-2</v>
      </c>
      <c r="M103" s="316">
        <f t="shared" si="300"/>
        <v>6.5824340537324305E-2</v>
      </c>
      <c r="N103" s="316">
        <f t="shared" si="300"/>
        <v>6.1210578514426781E-2</v>
      </c>
      <c r="O103" s="316">
        <f t="shared" si="300"/>
        <v>6.0898193903334619E-2</v>
      </c>
      <c r="P103" s="316">
        <f t="shared" si="300"/>
        <v>6.424904049004905E-2</v>
      </c>
      <c r="Q103" s="316">
        <f t="shared" si="300"/>
        <v>7.7556254521630855E-2</v>
      </c>
      <c r="R103" s="316">
        <f t="shared" si="300"/>
        <v>9.8691241433767687E-2</v>
      </c>
      <c r="S103" s="316">
        <f t="shared" si="300"/>
        <v>8.4374213415012861E-2</v>
      </c>
      <c r="T103" s="316">
        <f t="shared" si="300"/>
        <v>7.9485837476790416E-2</v>
      </c>
      <c r="U103" s="316">
        <f t="shared" si="300"/>
        <v>8.5981650204483243E-2</v>
      </c>
      <c r="V103" s="316">
        <f t="shared" ref="V103:W103" si="301">IF(ISERROR(V36/V$14)," ",V36/V$14)</f>
        <v>8.2193584091599034E-2</v>
      </c>
      <c r="W103" s="316">
        <f t="shared" si="301"/>
        <v>6.5771562113943541E-2</v>
      </c>
      <c r="X103" s="316">
        <f t="shared" ref="X103:Y103" si="302">IF(ISERROR(X36/X$14)," ",X36/X$14)</f>
        <v>7.3873657625314393E-2</v>
      </c>
      <c r="Y103" s="316">
        <f t="shared" si="302"/>
        <v>7.7054338111937445E-2</v>
      </c>
      <c r="Z103" s="316">
        <f t="shared" ref="Z103" si="303">IF(ISERROR(Z36/Z$14)," ",Z36/Z$14)</f>
        <v>6.8552483686859719E-2</v>
      </c>
      <c r="AA103" s="316">
        <f t="shared" ref="AA103:AB103" si="304">IF(ISERROR(AA36/AA$14)," ",AA36/AA$14)</f>
        <v>5.8998065146709751E-2</v>
      </c>
      <c r="AB103" s="316">
        <f t="shared" si="304"/>
        <v>6.8141556758991514E-2</v>
      </c>
      <c r="AC103" s="316">
        <f t="shared" ref="AC103:AD103" si="305">IF(ISERROR(AC36/AC$14)," ",AC36/AC$14)</f>
        <v>8.7327040485160864E-2</v>
      </c>
      <c r="AD103" s="316">
        <f t="shared" si="305"/>
        <v>8.2263931727963036E-2</v>
      </c>
      <c r="AE103" s="317">
        <f t="shared" ref="AE103" si="306">IF(ISERROR(AE36/AE$14)," ",AE36/AE$14)</f>
        <v>9.2545423671251487E-2</v>
      </c>
      <c r="AF103" s="316">
        <f t="shared" ref="AF103:AG103" si="307">IF(ISERROR(AF36/AF$14)," ",AF36/AF$14)</f>
        <v>0.12382934443288242</v>
      </c>
      <c r="AG103" s="316">
        <f t="shared" si="307"/>
        <v>0.12900624874017336</v>
      </c>
      <c r="AH103" s="316">
        <f t="shared" ref="AH103:AI103" si="308">IF(ISERROR(AH36/AH$14)," ",AH36/AH$14)</f>
        <v>0.12935420743639922</v>
      </c>
      <c r="AI103" s="316">
        <f t="shared" si="308"/>
        <v>0.12895884695619192</v>
      </c>
      <c r="AJ103" s="316">
        <f t="shared" ref="AJ103" si="309">IF(ISERROR(AJ36/AJ$14)," ",AJ36/AJ$14)</f>
        <v>0.12942477876106195</v>
      </c>
    </row>
    <row r="104" spans="1:36" s="239" customFormat="1" outlineLevel="1">
      <c r="A104" s="318"/>
      <c r="B104" s="319" t="s">
        <v>189</v>
      </c>
      <c r="C104" s="319" t="s">
        <v>188</v>
      </c>
      <c r="D104" s="316" t="str">
        <f t="shared" ref="D104:U104" si="310">IF(ISERROR(D68/D$14)," ",D68/D$14)</f>
        <v xml:space="preserve"> </v>
      </c>
      <c r="E104" s="316">
        <f t="shared" si="310"/>
        <v>3.0899225719465663E-2</v>
      </c>
      <c r="F104" s="316">
        <f t="shared" si="310"/>
        <v>1.8994008088920853E-2</v>
      </c>
      <c r="G104" s="316">
        <f t="shared" si="310"/>
        <v>2.8267524379088638E-2</v>
      </c>
      <c r="H104" s="316">
        <f t="shared" si="310"/>
        <v>3.1405129396879498E-2</v>
      </c>
      <c r="I104" s="316">
        <f t="shared" si="310"/>
        <v>4.9900481138433084E-3</v>
      </c>
      <c r="J104" s="316">
        <f t="shared" si="310"/>
        <v>3.6870200469457673E-2</v>
      </c>
      <c r="K104" s="316">
        <f t="shared" si="310"/>
        <v>4.6002636415727063E-2</v>
      </c>
      <c r="L104" s="316">
        <f t="shared" si="310"/>
        <v>5.5869954752297835E-2</v>
      </c>
      <c r="M104" s="316">
        <f t="shared" si="310"/>
        <v>7.5042024183820444E-2</v>
      </c>
      <c r="N104" s="316">
        <f t="shared" si="310"/>
        <v>7.6133247768508258E-2</v>
      </c>
      <c r="O104" s="316">
        <f t="shared" si="310"/>
        <v>5.257720409763627E-2</v>
      </c>
      <c r="P104" s="316">
        <f t="shared" si="310"/>
        <v>6.8357141041608421E-2</v>
      </c>
      <c r="Q104" s="316">
        <f t="shared" si="310"/>
        <v>7.5988238326041804E-2</v>
      </c>
      <c r="R104" s="316">
        <f t="shared" si="310"/>
        <v>9.7679625289769353E-2</v>
      </c>
      <c r="S104" s="316">
        <f t="shared" si="310"/>
        <v>7.1023925259307452E-2</v>
      </c>
      <c r="T104" s="316">
        <f t="shared" si="310"/>
        <v>8.2336411330018566E-2</v>
      </c>
      <c r="U104" s="316">
        <f t="shared" si="310"/>
        <v>8.3990514531517124E-2</v>
      </c>
      <c r="V104" s="316">
        <f t="shared" ref="V104:W104" si="311">IF(ISERROR(V68/V$14)," ",V68/V$14)</f>
        <v>9.752814784367772E-2</v>
      </c>
      <c r="W104" s="316">
        <f t="shared" si="311"/>
        <v>7.2496649259427323E-2</v>
      </c>
      <c r="X104" s="316">
        <f t="shared" ref="X104:Y104" si="312">IF(ISERROR(X68/X$14)," ",X68/X$14)</f>
        <v>7.5154718792723785E-2</v>
      </c>
      <c r="Y104" s="316">
        <f t="shared" si="312"/>
        <v>7.9604785224130989E-2</v>
      </c>
      <c r="Z104" s="316">
        <f t="shared" ref="Z104" si="313">IF(ISERROR(Z68/Z$14)," ",Z68/Z$14)</f>
        <v>7.0183154705411824E-2</v>
      </c>
      <c r="AA104" s="316">
        <f t="shared" ref="AA104:AB104" si="314">IF(ISERROR(AA68/AA$14)," ",AA68/AA$14)</f>
        <v>6.4593182135519511E-2</v>
      </c>
      <c r="AB104" s="316">
        <f t="shared" si="314"/>
        <v>7.8359545322343765E-2</v>
      </c>
      <c r="AC104" s="316">
        <f t="shared" ref="AC104:AD104" si="315">IF(ISERROR(AC68/AC$14)," ",AC68/AC$14)</f>
        <v>9.3192754202883282E-2</v>
      </c>
      <c r="AD104" s="316">
        <f t="shared" si="315"/>
        <v>8.737603562981508E-2</v>
      </c>
      <c r="AE104" s="317">
        <f t="shared" ref="AE104" si="316">IF(ISERROR(AE68/AE$14)," ",AE68/AE$14)</f>
        <v>9.9927487344705884E-2</v>
      </c>
      <c r="AF104" s="316">
        <f t="shared" ref="AF104:AG104" si="317">IF(ISERROR(AF68/AF$14)," ",AF68/AF$14)</f>
        <v>0.13298647242455774</v>
      </c>
      <c r="AG104" s="316">
        <f t="shared" si="317"/>
        <v>0.13787542834106026</v>
      </c>
      <c r="AH104" s="316">
        <f t="shared" ref="AH104:AI104" si="318">IF(ISERROR(AH68/AH$14)," ",AH68/AH$14)</f>
        <v>0.13816046966731899</v>
      </c>
      <c r="AI104" s="316">
        <f t="shared" si="318"/>
        <v>0.13749288829888109</v>
      </c>
      <c r="AJ104" s="316">
        <f t="shared" ref="AJ104" si="319">IF(ISERROR(AJ68/AJ$14)," ",AJ68/AJ$14)</f>
        <v>0.13790560471976401</v>
      </c>
    </row>
    <row r="105" spans="1:36" s="239" customFormat="1" outlineLevel="1">
      <c r="A105" s="318"/>
      <c r="B105" s="319" t="s">
        <v>187</v>
      </c>
      <c r="C105" s="319" t="s">
        <v>186</v>
      </c>
      <c r="D105" s="316" t="e">
        <f t="shared" ref="D105:U105" si="320">-D71/D68</f>
        <v>#DIV/0!</v>
      </c>
      <c r="E105" s="316">
        <f t="shared" si="320"/>
        <v>0.54585892819317938</v>
      </c>
      <c r="F105" s="316">
        <f t="shared" si="320"/>
        <v>0.67213938683196517</v>
      </c>
      <c r="G105" s="316">
        <f t="shared" si="320"/>
        <v>0.59813084112149528</v>
      </c>
      <c r="H105" s="316">
        <f t="shared" si="320"/>
        <v>0.55909558067831444</v>
      </c>
      <c r="I105" s="316">
        <f t="shared" si="320"/>
        <v>0.66708542713567842</v>
      </c>
      <c r="J105" s="316">
        <f t="shared" si="320"/>
        <v>0.52476728723404253</v>
      </c>
      <c r="K105" s="316">
        <f t="shared" si="320"/>
        <v>0.54199564388783006</v>
      </c>
      <c r="L105" s="316">
        <f t="shared" si="320"/>
        <v>0.52532302722658053</v>
      </c>
      <c r="M105" s="316">
        <f t="shared" si="320"/>
        <v>0.41832755632582325</v>
      </c>
      <c r="N105" s="316">
        <f t="shared" si="320"/>
        <v>0.39624924379915305</v>
      </c>
      <c r="O105" s="316">
        <f t="shared" si="320"/>
        <v>0.58031486742424243</v>
      </c>
      <c r="P105" s="316">
        <f t="shared" si="320"/>
        <v>0.41752265861027188</v>
      </c>
      <c r="Q105" s="316">
        <f t="shared" si="320"/>
        <v>0.41094267151554775</v>
      </c>
      <c r="R105" s="316">
        <f t="shared" si="320"/>
        <v>0.37335237971560287</v>
      </c>
      <c r="S105" s="316">
        <f t="shared" si="320"/>
        <v>0.39876651171353616</v>
      </c>
      <c r="T105" s="316">
        <f t="shared" si="320"/>
        <v>0.37031291384464038</v>
      </c>
      <c r="U105" s="316">
        <f t="shared" si="320"/>
        <v>0.38604554722327816</v>
      </c>
      <c r="V105" s="316">
        <f t="shared" ref="V105:W105" si="321">-V71/V68</f>
        <v>0.35875822934743684</v>
      </c>
      <c r="W105" s="316">
        <f t="shared" si="321"/>
        <v>0.3710564399421129</v>
      </c>
      <c r="X105" s="316">
        <f t="shared" ref="X105:Y105" si="322">-X71/X68</f>
        <v>0.33278944627668805</v>
      </c>
      <c r="Y105" s="316">
        <f t="shared" si="322"/>
        <v>0.30325312674391885</v>
      </c>
      <c r="Z105" s="316">
        <f t="shared" ref="Z105" si="323">-Z71/Z68</f>
        <v>0.31058745922966979</v>
      </c>
      <c r="AA105" s="316">
        <f t="shared" ref="AA105:AB105" si="324">-AA71/AA68</f>
        <v>0.26843202346946654</v>
      </c>
      <c r="AB105" s="316">
        <f t="shared" si="324"/>
        <v>0.26760736196319018</v>
      </c>
      <c r="AC105" s="316">
        <f t="shared" ref="AC105:AD105" si="325">-AC71/AC68</f>
        <v>0.23896784805571974</v>
      </c>
      <c r="AD105" s="316">
        <f t="shared" si="325"/>
        <v>0.27135439751788765</v>
      </c>
      <c r="AE105" s="317">
        <f t="shared" ref="AE105" si="326">-AE71/AE68</f>
        <v>0.23085401979470457</v>
      </c>
      <c r="AF105" s="316">
        <f t="shared" ref="AF105:AG105" si="327">-AF71/AF68</f>
        <v>0.2300469483568075</v>
      </c>
      <c r="AG105" s="316">
        <f t="shared" si="327"/>
        <v>0.22953216374269006</v>
      </c>
      <c r="AH105" s="316">
        <f t="shared" ref="AH105:AI105" si="328">-AH71/AH68</f>
        <v>0.22946175637393768</v>
      </c>
      <c r="AI105" s="316">
        <f t="shared" si="328"/>
        <v>0.23034482758620689</v>
      </c>
      <c r="AJ105" s="316">
        <f t="shared" ref="AJ105" si="329">-AJ71/AJ68</f>
        <v>0.22994652406417113</v>
      </c>
    </row>
    <row r="106" spans="1:36" s="239" customFormat="1" outlineLevel="1">
      <c r="A106" s="318"/>
      <c r="B106" s="319" t="s">
        <v>185</v>
      </c>
      <c r="C106" s="319" t="s">
        <v>184</v>
      </c>
      <c r="D106" s="316" t="str">
        <f t="shared" ref="D106:U106" si="330">IF(ISERROR(D76/D$14)," ",D76/D$14)</f>
        <v xml:space="preserve"> </v>
      </c>
      <c r="E106" s="316">
        <f t="shared" si="330"/>
        <v>1.4392585756641599E-2</v>
      </c>
      <c r="F106" s="316">
        <f t="shared" si="330"/>
        <v>6.5774191187467582E-3</v>
      </c>
      <c r="G106" s="316">
        <f t="shared" si="330"/>
        <v>1.1439100987051757E-2</v>
      </c>
      <c r="H106" s="316">
        <f t="shared" si="330"/>
        <v>1.5431441279186114E-2</v>
      </c>
      <c r="I106" s="316">
        <f t="shared" si="330"/>
        <v>2.6392088642311971E-3</v>
      </c>
      <c r="J106" s="316">
        <f t="shared" si="330"/>
        <v>1.9838570299141371E-2</v>
      </c>
      <c r="K106" s="316">
        <f t="shared" si="330"/>
        <v>2.3157874961252205E-2</v>
      </c>
      <c r="L106" s="316">
        <f t="shared" si="330"/>
        <v>2.9265981720443968E-2</v>
      </c>
      <c r="M106" s="316">
        <f t="shared" si="330"/>
        <v>3.8909354567061495E-2</v>
      </c>
      <c r="N106" s="316">
        <f t="shared" si="330"/>
        <v>4.2412928067207284E-2</v>
      </c>
      <c r="O106" s="316">
        <f t="shared" si="330"/>
        <v>1.9218561346295075E-2</v>
      </c>
      <c r="P106" s="316">
        <f t="shared" si="330"/>
        <v>3.6162722720687289E-2</v>
      </c>
      <c r="Q106" s="316">
        <f t="shared" si="330"/>
        <v>4.293880389861611E-2</v>
      </c>
      <c r="R106" s="316">
        <f t="shared" si="330"/>
        <v>5.8686421193833896E-2</v>
      </c>
      <c r="S106" s="316">
        <f t="shared" si="330"/>
        <v>4.0583699180480597E-2</v>
      </c>
      <c r="T106" s="316">
        <f t="shared" si="330"/>
        <v>5.0216830535720965E-2</v>
      </c>
      <c r="U106" s="316">
        <f t="shared" si="330"/>
        <v>5.0155720741770604E-2</v>
      </c>
      <c r="V106" s="316">
        <f t="shared" ref="V106:W106" si="331">IF(ISERROR(V76/V$14)," ",V76/V$14)</f>
        <v>6.1045426092936915E-2</v>
      </c>
      <c r="W106" s="316">
        <f t="shared" si="331"/>
        <v>4.4329445337683834E-2</v>
      </c>
      <c r="X106" s="316">
        <f t="shared" ref="X106:Y106" si="332">IF(ISERROR(X76/X$14)," ",X76/X$14)</f>
        <v>4.7910644026758785E-2</v>
      </c>
      <c r="Y106" s="316">
        <f t="shared" si="332"/>
        <v>5.4450477947517235E-2</v>
      </c>
      <c r="Z106" s="316">
        <f t="shared" ref="Z106" si="333">IF(ISERROR(Z76/Z$14)," ",Z76/Z$14)</f>
        <v>4.740520117181974E-2</v>
      </c>
      <c r="AA106" s="316">
        <f t="shared" ref="AA106:AB106" si="334">IF(ISERROR(AA76/AA$14)," ",AA76/AA$14)</f>
        <v>4.5972712584525163E-2</v>
      </c>
      <c r="AB106" s="316">
        <f t="shared" si="334"/>
        <v>5.6195331597885735E-2</v>
      </c>
      <c r="AC106" s="316">
        <f t="shared" ref="AC106:AD106" si="335">IF(ISERROR(AC76/AC$14)," ",AC76/AC$14)</f>
        <v>6.9626908033560794E-2</v>
      </c>
      <c r="AD106" s="316">
        <f t="shared" si="335"/>
        <v>6.2003623839887133E-2</v>
      </c>
      <c r="AE106" s="317">
        <f t="shared" ref="AE106" si="336">IF(ISERROR(AE76/AE$14)," ",AE76/AE$14)</f>
        <v>7.6014374027619055E-2</v>
      </c>
      <c r="AF106" s="316">
        <f t="shared" ref="AF106:AG106" si="337">IF(ISERROR(AF76/AF$14)," ",AF76/AF$14)</f>
        <v>0.10156087408949012</v>
      </c>
      <c r="AG106" s="316">
        <f t="shared" si="337"/>
        <v>0.10542229389236041</v>
      </c>
      <c r="AH106" s="316">
        <f t="shared" ref="AH106:AI106" si="338">IF(ISERROR(AH76/AH$14)," ",AH76/AH$14)</f>
        <v>0.10567514677103718</v>
      </c>
      <c r="AI106" s="316">
        <f t="shared" si="338"/>
        <v>0.10506353119666224</v>
      </c>
      <c r="AJ106" s="316">
        <f t="shared" ref="AJ106" si="339">IF(ISERROR(AJ76/AJ$14)," ",AJ76/AJ$14)</f>
        <v>0.10545722713864307</v>
      </c>
    </row>
    <row r="107" spans="1:36" s="239" customFormat="1" outlineLevel="1">
      <c r="A107" s="318"/>
      <c r="B107" s="319" t="s">
        <v>183</v>
      </c>
      <c r="C107" s="319" t="s">
        <v>73</v>
      </c>
      <c r="D107" s="316" t="e">
        <f t="shared" ref="D107:U107" si="340">-D73/D14</f>
        <v>#DIV/0!</v>
      </c>
      <c r="E107" s="316">
        <f t="shared" si="340"/>
        <v>-3.5997827040258661E-4</v>
      </c>
      <c r="F107" s="316">
        <f t="shared" si="340"/>
        <v>-3.5003198019455415E-4</v>
      </c>
      <c r="G107" s="316">
        <f t="shared" si="340"/>
        <v>-7.9254741249781225E-5</v>
      </c>
      <c r="H107" s="316">
        <f t="shared" si="340"/>
        <v>-1.5847809387325626E-3</v>
      </c>
      <c r="I107" s="316">
        <f t="shared" si="340"/>
        <v>-9.7794912783863842E-4</v>
      </c>
      <c r="J107" s="316">
        <f t="shared" si="340"/>
        <v>-2.3166449098163231E-3</v>
      </c>
      <c r="K107" s="316">
        <f t="shared" si="340"/>
        <v>-2.0884670902048702E-3</v>
      </c>
      <c r="L107" s="316">
        <f t="shared" si="340"/>
        <v>-2.7458007296353114E-3</v>
      </c>
      <c r="M107" s="316">
        <f t="shared" si="340"/>
        <v>4.740523018198016E-3</v>
      </c>
      <c r="N107" s="316">
        <f t="shared" si="340"/>
        <v>3.5525778450560216E-3</v>
      </c>
      <c r="O107" s="316">
        <f t="shared" si="340"/>
        <v>2.8473095258840665E-3</v>
      </c>
      <c r="P107" s="316">
        <f t="shared" si="340"/>
        <v>3.6537630582314518E-3</v>
      </c>
      <c r="Q107" s="316">
        <f t="shared" si="340"/>
        <v>1.8226247659619392E-3</v>
      </c>
      <c r="R107" s="316">
        <f t="shared" si="340"/>
        <v>2.5242835442716841E-3</v>
      </c>
      <c r="S107" s="316">
        <f t="shared" si="340"/>
        <v>2.1182631549699097E-3</v>
      </c>
      <c r="T107" s="316">
        <f t="shared" si="340"/>
        <v>1.6293443991675701E-3</v>
      </c>
      <c r="U107" s="316">
        <f t="shared" si="340"/>
        <v>1.4106296458622982E-3</v>
      </c>
      <c r="V107" s="316">
        <f t="shared" ref="V107:W107" si="341">-V73/V14</f>
        <v>1.4936961188079445E-3</v>
      </c>
      <c r="W107" s="316">
        <f t="shared" si="341"/>
        <v>1.2668553398083717E-3</v>
      </c>
      <c r="X107" s="316">
        <f t="shared" ref="X107:Y107" si="342">-X73/X14</f>
        <v>2.233377513854246E-3</v>
      </c>
      <c r="Y107" s="316">
        <f t="shared" si="342"/>
        <v>1.0112940905931357E-3</v>
      </c>
      <c r="Z107" s="316">
        <f t="shared" ref="Z107" si="343">-Z73/Z14</f>
        <v>9.7737379660851301E-4</v>
      </c>
      <c r="AA107" s="316">
        <f t="shared" ref="AA107:AB107" si="344">-AA73/AA14</f>
        <v>1.2790976003829813E-3</v>
      </c>
      <c r="AB107" s="316">
        <f t="shared" si="344"/>
        <v>1.1922188490761506E-3</v>
      </c>
      <c r="AC107" s="316">
        <f t="shared" ref="AC107:AD107" si="345">-AC73/AC14</f>
        <v>1.2933790965986526E-3</v>
      </c>
      <c r="AD107" s="316">
        <f t="shared" si="345"/>
        <v>1.6597739941078024E-3</v>
      </c>
      <c r="AE107" s="317">
        <f t="shared" ref="AE107" si="346">-AE73/AE14</f>
        <v>8.4445117557700343E-4</v>
      </c>
      <c r="AF107" s="316">
        <f t="shared" ref="AF107:AG107" si="347">-AF73/AF14</f>
        <v>8.3246618106139442E-4</v>
      </c>
      <c r="AG107" s="316">
        <f t="shared" si="347"/>
        <v>8.0628905462608346E-4</v>
      </c>
      <c r="AH107" s="316">
        <f t="shared" ref="AH107:AI107" si="348">-AH73/AH14</f>
        <v>7.8277886497064581E-4</v>
      </c>
      <c r="AI107" s="316">
        <f t="shared" si="348"/>
        <v>7.5858145268348188E-4</v>
      </c>
      <c r="AJ107" s="316">
        <f t="shared" ref="AJ107" si="349">-AJ73/AJ14</f>
        <v>7.3746312684365781E-4</v>
      </c>
    </row>
    <row r="108" spans="1:36">
      <c r="A108" s="240"/>
      <c r="B108" s="315"/>
      <c r="C108" s="315"/>
      <c r="D108" s="233"/>
      <c r="E108" s="233"/>
      <c r="F108" s="233"/>
      <c r="G108" s="233"/>
      <c r="H108" s="233"/>
      <c r="I108" s="233"/>
      <c r="J108" s="233"/>
      <c r="K108" s="233"/>
      <c r="L108" s="233"/>
      <c r="M108" s="233"/>
      <c r="N108" s="233"/>
      <c r="O108" s="233"/>
      <c r="P108" s="233"/>
      <c r="Q108" s="233"/>
      <c r="R108" s="233"/>
      <c r="S108" s="233"/>
      <c r="T108" s="233"/>
      <c r="U108" s="233"/>
      <c r="V108" s="233"/>
      <c r="W108" s="233"/>
      <c r="X108" s="233"/>
      <c r="Y108" s="233"/>
      <c r="Z108" s="233"/>
      <c r="AA108" s="233"/>
      <c r="AB108" s="233"/>
      <c r="AC108" s="233"/>
      <c r="AD108" s="233"/>
      <c r="AE108" s="244"/>
      <c r="AF108" s="233"/>
      <c r="AG108" s="233"/>
      <c r="AH108" s="233"/>
      <c r="AI108" s="233"/>
      <c r="AJ108" s="233"/>
    </row>
    <row r="109" spans="1:36">
      <c r="A109" s="240"/>
      <c r="B109" s="25" t="s">
        <v>182</v>
      </c>
      <c r="C109" s="25" t="s">
        <v>181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  <c r="AE109" s="323"/>
      <c r="AF109" s="322"/>
      <c r="AG109" s="322"/>
      <c r="AH109" s="322"/>
      <c r="AI109" s="322"/>
      <c r="AJ109" s="322"/>
    </row>
    <row r="110" spans="1:36" outlineLevel="1">
      <c r="A110" s="240"/>
      <c r="B110" s="324"/>
      <c r="C110" s="324"/>
      <c r="D110" s="233"/>
      <c r="E110" s="233"/>
      <c r="F110" s="233"/>
      <c r="G110" s="233"/>
      <c r="H110" s="233"/>
      <c r="I110" s="233"/>
      <c r="J110" s="233"/>
      <c r="K110" s="233"/>
      <c r="L110" s="233"/>
      <c r="M110" s="233"/>
      <c r="N110" s="233"/>
      <c r="O110" s="233"/>
      <c r="P110" s="233"/>
      <c r="Q110" s="233"/>
      <c r="R110" s="233"/>
      <c r="S110" s="233"/>
      <c r="T110" s="233"/>
      <c r="U110" s="233"/>
      <c r="V110" s="233"/>
      <c r="W110" s="233"/>
      <c r="X110" s="233"/>
      <c r="Y110" s="233"/>
      <c r="Z110" s="233"/>
      <c r="AA110" s="233"/>
      <c r="AB110" s="233"/>
      <c r="AC110" s="233"/>
      <c r="AD110" s="233"/>
      <c r="AE110" s="244"/>
      <c r="AF110" s="233"/>
      <c r="AG110" s="233"/>
      <c r="AH110" s="233"/>
      <c r="AI110" s="233"/>
      <c r="AJ110" s="233"/>
    </row>
    <row r="111" spans="1:36" outlineLevel="1">
      <c r="A111" s="240"/>
      <c r="B111" s="271" t="s">
        <v>180</v>
      </c>
      <c r="C111" s="271" t="s">
        <v>179</v>
      </c>
      <c r="D111" s="242">
        <f>'Raw Data'!D25</f>
        <v>0</v>
      </c>
      <c r="E111" s="242">
        <f>'Raw Data'!E25</f>
        <v>-67341</v>
      </c>
      <c r="F111" s="242">
        <f>'Raw Data'!F25</f>
        <v>-70173</v>
      </c>
      <c r="G111" s="242">
        <f>'Raw Data'!G25</f>
        <v>-71362</v>
      </c>
      <c r="H111" s="242">
        <f>'Raw Data'!H25</f>
        <v>-80579</v>
      </c>
      <c r="I111" s="242">
        <f>'Raw Data'!I25</f>
        <v>-88287</v>
      </c>
      <c r="J111" s="242">
        <f>'Raw Data'!J25</f>
        <v>-93779</v>
      </c>
      <c r="K111" s="242">
        <f>'Raw Data'!K25</f>
        <v>-87127</v>
      </c>
      <c r="L111" s="242">
        <f>'Raw Data'!L25</f>
        <v>-87900</v>
      </c>
      <c r="M111" s="242">
        <f>'Raw Data'!M25</f>
        <v>-89542</v>
      </c>
      <c r="N111" s="242">
        <f>'Raw Data'!N25</f>
        <v>-97838</v>
      </c>
      <c r="O111" s="242">
        <f>'Raw Data'!O25</f>
        <v>-96420</v>
      </c>
      <c r="P111" s="242">
        <f>'Raw Data'!P25</f>
        <v>-95359</v>
      </c>
      <c r="Q111" s="233">
        <f>'Raw Data'!Q25</f>
        <v>-88464</v>
      </c>
      <c r="R111" s="233">
        <f>'Raw Data'!R25</f>
        <v>-88748</v>
      </c>
      <c r="S111" s="233">
        <f>'Raw Data'!S25</f>
        <v>-88982</v>
      </c>
      <c r="T111" s="233">
        <f>'Raw Data'!T25</f>
        <v>-92863</v>
      </c>
      <c r="U111" s="233">
        <f>'Raw Data'!U25</f>
        <v>-99995</v>
      </c>
      <c r="V111" s="233">
        <f>'Raw Data'!V25</f>
        <v>-111414</v>
      </c>
      <c r="W111" s="233">
        <f>'Raw Data'!W25</f>
        <v>-111259</v>
      </c>
      <c r="X111" s="233">
        <f>'Raw Data'!X25</f>
        <v>-114472</v>
      </c>
      <c r="Y111" s="233">
        <f>'Raw Data'!Y25</f>
        <v>-115499</v>
      </c>
      <c r="Z111" s="233">
        <f t="shared" ref="Z111" si="350">Z26</f>
        <v>-120154</v>
      </c>
      <c r="AA111" s="233">
        <f t="shared" ref="AA111:AB111" si="351">AA26</f>
        <v>-122648</v>
      </c>
      <c r="AB111" s="233">
        <f t="shared" si="351"/>
        <v>-125771</v>
      </c>
      <c r="AC111" s="233">
        <f t="shared" ref="AC111:AD111" si="352">AC26</f>
        <v>-128790</v>
      </c>
      <c r="AD111" s="233">
        <f t="shared" si="352"/>
        <v>-60780</v>
      </c>
      <c r="AE111" s="244">
        <f t="shared" ref="AE111" si="353">AE26</f>
        <v>-67712</v>
      </c>
      <c r="AF111" s="233">
        <f>AF26</f>
        <v>-67100</v>
      </c>
      <c r="AG111" s="233">
        <f>AG26</f>
        <v>-68700</v>
      </c>
      <c r="AH111" s="233">
        <f t="shared" ref="AH111:AI111" si="354">AH26</f>
        <v>-70700</v>
      </c>
      <c r="AI111" s="233">
        <f t="shared" si="354"/>
        <v>-73000</v>
      </c>
      <c r="AJ111" s="233">
        <f t="shared" ref="AJ111" si="355">AJ26</f>
        <v>-75000</v>
      </c>
    </row>
    <row r="112" spans="1:36" outlineLevel="1">
      <c r="A112" s="240"/>
      <c r="B112" s="325" t="s">
        <v>178</v>
      </c>
      <c r="C112" s="325" t="s">
        <v>177</v>
      </c>
      <c r="D112" s="242">
        <f>'Raw Data'!D19</f>
        <v>0</v>
      </c>
      <c r="E112" s="242">
        <f>'Raw Data'!E19</f>
        <v>15367</v>
      </c>
      <c r="F112" s="242">
        <f>'Raw Data'!F19</f>
        <v>15896</v>
      </c>
      <c r="G112" s="242">
        <f>'Raw Data'!G19</f>
        <v>14657</v>
      </c>
      <c r="H112" s="242">
        <f>'Raw Data'!H19</f>
        <v>16844</v>
      </c>
      <c r="I112" s="242">
        <f>'Raw Data'!I19</f>
        <v>18181</v>
      </c>
      <c r="J112" s="242">
        <f>'Raw Data'!J19</f>
        <v>19301</v>
      </c>
      <c r="K112" s="242">
        <f>'Raw Data'!K19</f>
        <v>18897</v>
      </c>
      <c r="L112" s="242">
        <f>'Raw Data'!L19</f>
        <v>18685</v>
      </c>
      <c r="M112" s="242">
        <f>'Raw Data'!M19</f>
        <v>18595</v>
      </c>
      <c r="N112" s="242">
        <f>'Raw Data'!N19</f>
        <v>20398</v>
      </c>
      <c r="O112" s="242">
        <f>'Raw Data'!O19</f>
        <v>19725</v>
      </c>
      <c r="P112" s="242">
        <f>'Raw Data'!P19</f>
        <v>19425</v>
      </c>
      <c r="Q112" s="233">
        <f>'Raw Data'!Q19</f>
        <v>20038</v>
      </c>
      <c r="R112" s="233">
        <f>'Raw Data'!R19</f>
        <v>19334</v>
      </c>
      <c r="S112" s="233">
        <f>'Raw Data'!S19</f>
        <v>19271</v>
      </c>
      <c r="T112" s="233">
        <f>'Raw Data'!T19</f>
        <v>21308</v>
      </c>
      <c r="U112" s="233">
        <f>'Raw Data'!U19</f>
        <v>22276</v>
      </c>
      <c r="V112" s="233">
        <f>'Raw Data'!V19</f>
        <v>24178</v>
      </c>
      <c r="W112" s="233">
        <f>'Raw Data'!W19</f>
        <v>26028</v>
      </c>
      <c r="X112" s="233">
        <f>'Raw Data'!X19</f>
        <v>26833</v>
      </c>
      <c r="Y112" s="233">
        <f>'Raw Data'!Y19</f>
        <v>26193</v>
      </c>
      <c r="Z112" s="233">
        <f>+'Raw Data'!Z19</f>
        <v>28039</v>
      </c>
      <c r="AA112" s="233">
        <f>+'Raw Data'!AA19</f>
        <v>30095</v>
      </c>
      <c r="AB112" s="233">
        <f>+'Raw Data'!AB19</f>
        <v>28975</v>
      </c>
      <c r="AC112" s="233">
        <f>+'Raw Data'!AC19</f>
        <v>30753</v>
      </c>
      <c r="AD112" s="233">
        <f>+'Raw Data'!AD19</f>
        <v>30195</v>
      </c>
      <c r="AE112" s="244">
        <f>+'Raw Data'!AE19</f>
        <v>32242</v>
      </c>
      <c r="AF112" s="233">
        <f t="shared" ref="AF112:AJ112" si="356">ROUND(AE112*AF$14/AE$14,-2)</f>
        <v>35600</v>
      </c>
      <c r="AG112" s="233">
        <f t="shared" si="356"/>
        <v>36800</v>
      </c>
      <c r="AH112" s="233">
        <f t="shared" si="356"/>
        <v>37900</v>
      </c>
      <c r="AI112" s="233">
        <f t="shared" si="356"/>
        <v>39100</v>
      </c>
      <c r="AJ112" s="233">
        <f t="shared" si="356"/>
        <v>40200</v>
      </c>
    </row>
    <row r="113" spans="1:46" outlineLevel="1">
      <c r="A113" s="240"/>
      <c r="B113" s="325" t="s">
        <v>176</v>
      </c>
      <c r="C113" s="325" t="s">
        <v>175</v>
      </c>
      <c r="D113" s="242">
        <f>'Raw Data'!D20</f>
        <v>0</v>
      </c>
      <c r="E113" s="242">
        <f>'Raw Data'!E20</f>
        <v>3843</v>
      </c>
      <c r="F113" s="242">
        <f>'Raw Data'!F20</f>
        <v>3694</v>
      </c>
      <c r="G113" s="242">
        <f>'Raw Data'!G20</f>
        <v>3507</v>
      </c>
      <c r="H113" s="242">
        <f>'Raw Data'!H20</f>
        <v>3467</v>
      </c>
      <c r="I113" s="242">
        <f>'Raw Data'!I20</f>
        <v>3491</v>
      </c>
      <c r="J113" s="242">
        <f>'Raw Data'!J20</f>
        <v>3255</v>
      </c>
      <c r="K113" s="242">
        <f>'Raw Data'!K20</f>
        <v>2985</v>
      </c>
      <c r="L113" s="242">
        <f>'Raw Data'!L20</f>
        <v>2879</v>
      </c>
      <c r="M113" s="242">
        <f>'Raw Data'!M20</f>
        <v>3515</v>
      </c>
      <c r="N113" s="242">
        <f>'Raw Data'!N20</f>
        <v>3461</v>
      </c>
      <c r="O113" s="242">
        <f>'Raw Data'!O20</f>
        <v>3105</v>
      </c>
      <c r="P113" s="242">
        <f>'Raw Data'!P20</f>
        <v>3000</v>
      </c>
      <c r="Q113" s="233">
        <f>'Raw Data'!Q20</f>
        <v>3573</v>
      </c>
      <c r="R113" s="233">
        <f>'Raw Data'!R20</f>
        <v>3511</v>
      </c>
      <c r="S113" s="233">
        <f>'Raw Data'!S20</f>
        <v>3344</v>
      </c>
      <c r="T113" s="233">
        <f>'Raw Data'!T20</f>
        <v>3761</v>
      </c>
      <c r="U113" s="233">
        <f>'Raw Data'!U20</f>
        <v>4142</v>
      </c>
      <c r="V113" s="233">
        <f>'Raw Data'!V20</f>
        <v>4457</v>
      </c>
      <c r="W113" s="233">
        <f>'Raw Data'!W20</f>
        <v>3905</v>
      </c>
      <c r="X113" s="233">
        <f>'Raw Data'!X20</f>
        <v>4513</v>
      </c>
      <c r="Y113" s="233">
        <f>'Raw Data'!Y20</f>
        <v>4406</v>
      </c>
      <c r="Z113" s="233">
        <f>+'Raw Data'!Z20</f>
        <v>4749</v>
      </c>
      <c r="AA113" s="233">
        <f>+'Raw Data'!AA20</f>
        <v>3704</v>
      </c>
      <c r="AB113" s="233">
        <f>+'Raw Data'!AB20</f>
        <v>4159</v>
      </c>
      <c r="AC113" s="233">
        <f>+'Raw Data'!AC20</f>
        <v>4285</v>
      </c>
      <c r="AD113" s="233">
        <f>+'Raw Data'!AD20</f>
        <v>4281</v>
      </c>
      <c r="AE113" s="244">
        <f>+'Raw Data'!AE20</f>
        <v>5947</v>
      </c>
      <c r="AF113" s="233">
        <f>+ROUND(AE113*1.01,-2)</f>
        <v>6000</v>
      </c>
      <c r="AG113" s="233">
        <f t="shared" ref="AG113:AJ113" si="357">+ROUND(AF113*1.01,-2)</f>
        <v>6100</v>
      </c>
      <c r="AH113" s="233">
        <f t="shared" si="357"/>
        <v>6200</v>
      </c>
      <c r="AI113" s="233">
        <f t="shared" si="357"/>
        <v>6300</v>
      </c>
      <c r="AJ113" s="233">
        <f t="shared" si="357"/>
        <v>6400</v>
      </c>
    </row>
    <row r="114" spans="1:46" outlineLevel="1">
      <c r="A114" s="240"/>
      <c r="B114" s="325" t="s">
        <v>174</v>
      </c>
      <c r="C114" s="325" t="s">
        <v>173</v>
      </c>
      <c r="D114" s="242">
        <f>'Raw Data'!D21</f>
        <v>0</v>
      </c>
      <c r="E114" s="242">
        <f>'Raw Data'!E21</f>
        <v>31505</v>
      </c>
      <c r="F114" s="242">
        <f>'Raw Data'!F21</f>
        <v>33941</v>
      </c>
      <c r="G114" s="242">
        <f>'Raw Data'!G21</f>
        <v>37567</v>
      </c>
      <c r="H114" s="242">
        <f>'Raw Data'!H21</f>
        <v>43781</v>
      </c>
      <c r="I114" s="242">
        <f>'Raw Data'!I21</f>
        <v>48765</v>
      </c>
      <c r="J114" s="242">
        <f>'Raw Data'!J21</f>
        <v>52634</v>
      </c>
      <c r="K114" s="242">
        <f>'Raw Data'!K21</f>
        <v>46492</v>
      </c>
      <c r="L114" s="242">
        <f>'Raw Data'!L21</f>
        <v>48291</v>
      </c>
      <c r="M114" s="242">
        <f>'Raw Data'!M21</f>
        <v>49317</v>
      </c>
      <c r="N114" s="242">
        <f>'Raw Data'!N21</f>
        <v>54846</v>
      </c>
      <c r="O114" s="242">
        <f>'Raw Data'!O21</f>
        <v>54988</v>
      </c>
      <c r="P114" s="242">
        <f>'Raw Data'!P21</f>
        <v>54441</v>
      </c>
      <c r="Q114" s="233">
        <f>'Raw Data'!Q21</f>
        <v>45135</v>
      </c>
      <c r="R114" s="233">
        <f>'Raw Data'!R21</f>
        <v>46915</v>
      </c>
      <c r="S114" s="233">
        <f>'Raw Data'!S21</f>
        <v>48231</v>
      </c>
      <c r="T114" s="233">
        <f>'Raw Data'!T21</f>
        <v>49984</v>
      </c>
      <c r="U114" s="233">
        <f>'Raw Data'!U21</f>
        <v>54693</v>
      </c>
      <c r="V114" s="233">
        <f>'Raw Data'!V21</f>
        <v>62398</v>
      </c>
      <c r="W114" s="233">
        <f>'Raw Data'!W21</f>
        <v>60433</v>
      </c>
      <c r="X114" s="233">
        <f>'Raw Data'!X21</f>
        <v>61686</v>
      </c>
      <c r="Y114" s="233">
        <f>'Raw Data'!Y21</f>
        <v>63302</v>
      </c>
      <c r="Z114" s="233">
        <f>+'Raw Data'!Z21</f>
        <v>66288</v>
      </c>
      <c r="AA114" s="233">
        <f>+'Raw Data'!AA21</f>
        <v>67427</v>
      </c>
      <c r="AB114" s="233">
        <f>+'Raw Data'!AB21</f>
        <v>70471</v>
      </c>
      <c r="AC114" s="233">
        <f>+'Raw Data'!AC21</f>
        <v>71509</v>
      </c>
      <c r="AD114" s="233">
        <f>+'Raw Data'!AD21</f>
        <v>3550</v>
      </c>
      <c r="AE114" s="244">
        <f>+'Raw Data'!AE21</f>
        <v>4593</v>
      </c>
      <c r="AF114" s="233">
        <f>ROUND(AE114*1.03,-2)</f>
        <v>4700</v>
      </c>
      <c r="AG114" s="233">
        <f t="shared" ref="AG114:AJ114" si="358">ROUND(AF114*1.03,-2)</f>
        <v>4800</v>
      </c>
      <c r="AH114" s="233">
        <f t="shared" si="358"/>
        <v>4900</v>
      </c>
      <c r="AI114" s="233">
        <f t="shared" si="358"/>
        <v>5000</v>
      </c>
      <c r="AJ114" s="233">
        <f t="shared" si="358"/>
        <v>5200</v>
      </c>
    </row>
    <row r="115" spans="1:46" outlineLevel="1">
      <c r="A115" s="240"/>
      <c r="B115" s="325" t="s">
        <v>172</v>
      </c>
      <c r="C115" s="325" t="s">
        <v>171</v>
      </c>
      <c r="D115" s="242">
        <f>'Raw Data'!D22</f>
        <v>0</v>
      </c>
      <c r="E115" s="242">
        <f>'Raw Data'!E22</f>
        <v>7654</v>
      </c>
      <c r="F115" s="242">
        <f>'Raw Data'!F22</f>
        <v>6987</v>
      </c>
      <c r="G115" s="242">
        <f>'Raw Data'!G22</f>
        <v>6978</v>
      </c>
      <c r="H115" s="242">
        <f>'Raw Data'!H22</f>
        <v>8125</v>
      </c>
      <c r="I115" s="242">
        <f>'Raw Data'!I22</f>
        <v>8361</v>
      </c>
      <c r="J115" s="242">
        <f>'Raw Data'!J22</f>
        <v>9294</v>
      </c>
      <c r="K115" s="242">
        <f>'Raw Data'!K22</f>
        <v>9432</v>
      </c>
      <c r="L115" s="242">
        <f>'Raw Data'!L22</f>
        <v>8655</v>
      </c>
      <c r="M115" s="242">
        <f>'Raw Data'!M22</f>
        <v>8147</v>
      </c>
      <c r="N115" s="242">
        <f>'Raw Data'!N22</f>
        <v>7594</v>
      </c>
      <c r="O115" s="242">
        <f>'Raw Data'!O22</f>
        <v>8337</v>
      </c>
      <c r="P115" s="242">
        <f>'Raw Data'!P22</f>
        <v>8379</v>
      </c>
      <c r="Q115" s="233">
        <f>'Raw Data'!Q22</f>
        <v>9379</v>
      </c>
      <c r="R115" s="233">
        <f>'Raw Data'!R22</f>
        <v>9366</v>
      </c>
      <c r="S115" s="233">
        <f>'Raw Data'!S22</f>
        <v>8550</v>
      </c>
      <c r="T115" s="233">
        <f>'Raw Data'!T22</f>
        <v>8452</v>
      </c>
      <c r="U115" s="233">
        <f>'Raw Data'!U22</f>
        <v>9141</v>
      </c>
      <c r="V115" s="233">
        <f>'Raw Data'!V22</f>
        <v>9655</v>
      </c>
      <c r="W115" s="233">
        <f>'Raw Data'!W22</f>
        <v>9169</v>
      </c>
      <c r="X115" s="233">
        <f>'Raw Data'!X22</f>
        <v>9930</v>
      </c>
      <c r="Y115" s="233">
        <f>'Raw Data'!Y22</f>
        <v>9891</v>
      </c>
      <c r="Z115" s="233">
        <f>+'Raw Data'!Z22</f>
        <v>9312</v>
      </c>
      <c r="AA115" s="233">
        <f>+'Raw Data'!AA22</f>
        <v>9301</v>
      </c>
      <c r="AB115" s="233">
        <f>+'Raw Data'!AB22</f>
        <v>9703</v>
      </c>
      <c r="AC115" s="233">
        <f>+'Raw Data'!AC22</f>
        <v>10269</v>
      </c>
      <c r="AD115" s="233">
        <f>+'Raw Data'!AD22</f>
        <v>9960</v>
      </c>
      <c r="AE115" s="244">
        <f>+'Raw Data'!AE22</f>
        <v>10131</v>
      </c>
      <c r="AF115" s="233">
        <f>ROUND(AE115*1.03,-2)</f>
        <v>10400</v>
      </c>
      <c r="AG115" s="233">
        <f t="shared" ref="AG115:AJ115" si="359">ROUND(AF115*1.03,-2)</f>
        <v>10700</v>
      </c>
      <c r="AH115" s="233">
        <f t="shared" si="359"/>
        <v>11000</v>
      </c>
      <c r="AI115" s="233">
        <f t="shared" si="359"/>
        <v>11300</v>
      </c>
      <c r="AJ115" s="233">
        <f t="shared" si="359"/>
        <v>11600</v>
      </c>
    </row>
    <row r="116" spans="1:46" s="114" customFormat="1" outlineLevel="1">
      <c r="A116" s="303"/>
      <c r="B116" s="325" t="s">
        <v>170</v>
      </c>
      <c r="C116" s="325" t="s">
        <v>169</v>
      </c>
      <c r="D116" s="242">
        <f>'Raw Data'!D23</f>
        <v>0</v>
      </c>
      <c r="E116" s="242">
        <f>'Raw Data'!E23</f>
        <v>0</v>
      </c>
      <c r="F116" s="242">
        <f>'Raw Data'!F23</f>
        <v>0</v>
      </c>
      <c r="G116" s="242">
        <f>'Raw Data'!G23</f>
        <v>0</v>
      </c>
      <c r="H116" s="242">
        <f>'Raw Data'!H23</f>
        <v>0</v>
      </c>
      <c r="I116" s="242">
        <f>'Raw Data'!I23</f>
        <v>0</v>
      </c>
      <c r="J116" s="242">
        <f>'Raw Data'!J23</f>
        <v>0</v>
      </c>
      <c r="K116" s="242">
        <f>'Raw Data'!K23</f>
        <v>0</v>
      </c>
      <c r="L116" s="242">
        <f>'Raw Data'!L23</f>
        <v>0</v>
      </c>
      <c r="M116" s="242">
        <f>'Raw Data'!M23</f>
        <v>0</v>
      </c>
      <c r="N116" s="242">
        <f>'Raw Data'!N23</f>
        <v>0</v>
      </c>
      <c r="O116" s="242">
        <f>'Raw Data'!O23</f>
        <v>0</v>
      </c>
      <c r="P116" s="242">
        <f>'Raw Data'!P23</f>
        <v>0</v>
      </c>
      <c r="Q116" s="233">
        <f>'Raw Data'!Q23</f>
        <v>0</v>
      </c>
      <c r="R116" s="233">
        <f>'Raw Data'!R23</f>
        <v>0</v>
      </c>
      <c r="S116" s="233">
        <f>'Raw Data'!S23</f>
        <v>0</v>
      </c>
      <c r="T116" s="233">
        <f>'Raw Data'!T23</f>
        <v>0</v>
      </c>
      <c r="U116" s="233">
        <f>'Raw Data'!U23</f>
        <v>0</v>
      </c>
      <c r="V116" s="168">
        <f>'Raw Data'!V23</f>
        <v>0</v>
      </c>
      <c r="W116" s="168">
        <f>'Raw Data'!W23</f>
        <v>0</v>
      </c>
      <c r="X116" s="168">
        <f>'Raw Data'!X23</f>
        <v>0</v>
      </c>
      <c r="Y116" s="168">
        <f>'Raw Data'!Y23</f>
        <v>0</v>
      </c>
      <c r="Z116" s="233">
        <f>+'Raw Data'!Z23</f>
        <v>0</v>
      </c>
      <c r="AA116" s="233">
        <f>+'Raw Data'!AA23</f>
        <v>0</v>
      </c>
      <c r="AB116" s="233">
        <f>+'Raw Data'!AB23</f>
        <v>0</v>
      </c>
      <c r="AC116" s="233">
        <f>+'Raw Data'!AC23</f>
        <v>0</v>
      </c>
      <c r="AD116" s="233">
        <f>+'Raw Data'!AD23</f>
        <v>0</v>
      </c>
      <c r="AE116" s="244">
        <f>+'Raw Data'!AE23</f>
        <v>0</v>
      </c>
      <c r="AF116" s="168"/>
      <c r="AG116" s="168"/>
      <c r="AH116" s="168"/>
      <c r="AI116" s="168"/>
      <c r="AJ116" s="168"/>
      <c r="AK116" s="218"/>
      <c r="AL116" s="218"/>
      <c r="AM116" s="218"/>
      <c r="AN116" s="218"/>
      <c r="AO116" s="218"/>
      <c r="AP116" s="218"/>
      <c r="AQ116" s="218"/>
      <c r="AR116" s="218"/>
      <c r="AS116" s="218"/>
      <c r="AT116" s="218"/>
    </row>
    <row r="117" spans="1:46" outlineLevel="1">
      <c r="A117" s="240"/>
      <c r="B117" s="325" t="s">
        <v>168</v>
      </c>
      <c r="C117" s="325" t="s">
        <v>167</v>
      </c>
      <c r="D117" s="242">
        <f>'Raw Data'!D24</f>
        <v>0</v>
      </c>
      <c r="E117" s="242">
        <f>'Raw Data'!E24</f>
        <v>8972</v>
      </c>
      <c r="F117" s="242">
        <f>'Raw Data'!F24</f>
        <v>9655</v>
      </c>
      <c r="G117" s="242">
        <f>'Raw Data'!G24</f>
        <v>8653</v>
      </c>
      <c r="H117" s="242">
        <f>'Raw Data'!H24</f>
        <v>8362</v>
      </c>
      <c r="I117" s="242">
        <f>'Raw Data'!I24</f>
        <v>9489</v>
      </c>
      <c r="J117" s="242">
        <f>'Raw Data'!J24</f>
        <v>9295</v>
      </c>
      <c r="K117" s="242">
        <f>'Raw Data'!K24</f>
        <v>9321</v>
      </c>
      <c r="L117" s="242">
        <f>'Raw Data'!L24</f>
        <v>9390</v>
      </c>
      <c r="M117" s="242">
        <f>'Raw Data'!M24</f>
        <v>9968</v>
      </c>
      <c r="N117" s="242">
        <f>'Raw Data'!N24</f>
        <v>11539</v>
      </c>
      <c r="O117" s="242">
        <f>'Raw Data'!O24</f>
        <v>10265</v>
      </c>
      <c r="P117" s="242">
        <f>'Raw Data'!P24</f>
        <v>10114</v>
      </c>
      <c r="Q117" s="233">
        <f>'Raw Data'!Q24</f>
        <v>10339</v>
      </c>
      <c r="R117" s="233">
        <f>'Raw Data'!R24</f>
        <v>9622</v>
      </c>
      <c r="S117" s="233">
        <f>'Raw Data'!S24</f>
        <v>9586</v>
      </c>
      <c r="T117" s="233">
        <f>'Raw Data'!T24</f>
        <v>9358</v>
      </c>
      <c r="U117" s="233">
        <f>'Raw Data'!U24</f>
        <v>9743</v>
      </c>
      <c r="V117" s="233">
        <f>'Raw Data'!V24</f>
        <v>10726</v>
      </c>
      <c r="W117" s="233">
        <f>'Raw Data'!W24</f>
        <v>11724</v>
      </c>
      <c r="X117" s="233">
        <f>'Raw Data'!X24</f>
        <v>11510</v>
      </c>
      <c r="Y117" s="233">
        <f>'Raw Data'!Y24</f>
        <v>11707</v>
      </c>
      <c r="Z117" s="233">
        <f>+'Raw Data'!Z24</f>
        <v>11766</v>
      </c>
      <c r="AA117" s="233">
        <f>+'Raw Data'!AA24</f>
        <v>12121</v>
      </c>
      <c r="AB117" s="233">
        <f>+'Raw Data'!AB24</f>
        <v>12463</v>
      </c>
      <c r="AC117" s="233">
        <f>+'Raw Data'!AC24</f>
        <v>11974</v>
      </c>
      <c r="AD117" s="233">
        <f>+'Raw Data'!AD24</f>
        <v>12794</v>
      </c>
      <c r="AE117" s="244">
        <f>+'Raw Data'!AE24</f>
        <v>14799</v>
      </c>
      <c r="AF117" s="233">
        <f>-AF111-SUM(AF112:AF116)</f>
        <v>10400</v>
      </c>
      <c r="AG117" s="233">
        <f>-AG111-SUM(AG112:AG116)</f>
        <v>10300</v>
      </c>
      <c r="AH117" s="233">
        <f>-AH111-SUM(AH112:AH116)</f>
        <v>10700</v>
      </c>
      <c r="AI117" s="233">
        <f>-AI111-SUM(AI112:AI116)</f>
        <v>11300</v>
      </c>
      <c r="AJ117" s="233">
        <f t="shared" ref="AJ117" si="360">-AJ111-SUM(AJ112:AJ116)</f>
        <v>11600</v>
      </c>
    </row>
    <row r="118" spans="1:46" outlineLevel="1">
      <c r="A118" s="240"/>
      <c r="B118" s="271"/>
      <c r="C118" s="271"/>
      <c r="D118" s="233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44"/>
      <c r="AF118" s="233"/>
      <c r="AG118" s="233"/>
      <c r="AH118" s="233"/>
      <c r="AI118" s="233"/>
      <c r="AJ118" s="233"/>
    </row>
    <row r="119" spans="1:46" s="270" customFormat="1" outlineLevel="1">
      <c r="P119" s="326"/>
      <c r="Q119" s="326"/>
      <c r="R119" s="326"/>
      <c r="S119" s="326"/>
      <c r="T119" s="326"/>
      <c r="U119" s="326"/>
      <c r="V119" s="326"/>
      <c r="W119" s="326"/>
      <c r="X119" s="326"/>
      <c r="Y119" s="326"/>
      <c r="Z119" s="326"/>
      <c r="AA119" s="326"/>
      <c r="AB119" s="326"/>
      <c r="AC119" s="326"/>
      <c r="AD119" s="326"/>
      <c r="AE119" s="2236"/>
      <c r="AF119" s="327"/>
      <c r="AG119" s="327"/>
      <c r="AH119" s="327"/>
      <c r="AI119" s="327"/>
      <c r="AJ119" s="327"/>
    </row>
    <row r="120" spans="1:46">
      <c r="A120" s="240"/>
      <c r="B120" s="315"/>
      <c r="C120" s="315"/>
      <c r="D120" s="233"/>
      <c r="E120" s="233"/>
      <c r="F120" s="233"/>
      <c r="G120" s="233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3"/>
      <c r="Z120" s="233"/>
      <c r="AA120" s="233"/>
      <c r="AB120" s="233"/>
      <c r="AC120" s="233"/>
      <c r="AD120" s="233"/>
      <c r="AE120" s="244"/>
      <c r="AF120" s="233"/>
      <c r="AG120" s="233"/>
      <c r="AH120" s="233"/>
      <c r="AI120" s="233"/>
      <c r="AJ120" s="23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</row>
    <row r="121" spans="1:46">
      <c r="A121" s="240"/>
      <c r="B121" s="100"/>
      <c r="C121" s="100"/>
      <c r="D121" s="233"/>
      <c r="E121" s="233"/>
      <c r="F121" s="233"/>
      <c r="G121" s="233"/>
      <c r="H121" s="233"/>
      <c r="I121" s="233"/>
      <c r="J121" s="233"/>
      <c r="K121" s="233"/>
      <c r="L121" s="233"/>
      <c r="M121" s="233"/>
      <c r="N121" s="233"/>
      <c r="O121" s="233"/>
      <c r="P121" s="233"/>
      <c r="Q121" s="233"/>
      <c r="R121" s="233"/>
      <c r="S121" s="233"/>
      <c r="T121" s="233"/>
      <c r="U121" s="233"/>
      <c r="V121" s="233"/>
      <c r="W121" s="233"/>
      <c r="X121" s="233"/>
      <c r="Y121" s="233"/>
      <c r="Z121" s="233"/>
      <c r="AA121" s="233"/>
      <c r="AB121" s="233"/>
      <c r="AC121" s="233"/>
      <c r="AD121" s="233"/>
      <c r="AE121" s="244"/>
      <c r="AF121" s="233"/>
      <c r="AG121" s="233"/>
      <c r="AH121" s="233"/>
      <c r="AI121" s="233"/>
      <c r="AJ121" s="23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</row>
    <row r="122" spans="1:46" s="1" customFormat="1">
      <c r="A122" s="208"/>
      <c r="B122" s="25" t="s">
        <v>166</v>
      </c>
      <c r="C122" s="25" t="s">
        <v>165</v>
      </c>
      <c r="D122" s="108">
        <f t="shared" ref="D122:U122" si="361">D4</f>
        <v>1995</v>
      </c>
      <c r="E122" s="108">
        <f t="shared" si="361"/>
        <v>1996</v>
      </c>
      <c r="F122" s="108">
        <f t="shared" si="361"/>
        <v>1997</v>
      </c>
      <c r="G122" s="108">
        <f t="shared" si="361"/>
        <v>1998</v>
      </c>
      <c r="H122" s="108">
        <f t="shared" si="361"/>
        <v>1999</v>
      </c>
      <c r="I122" s="108">
        <f t="shared" si="361"/>
        <v>2000</v>
      </c>
      <c r="J122" s="108">
        <f t="shared" si="361"/>
        <v>2001</v>
      </c>
      <c r="K122" s="108">
        <f t="shared" si="361"/>
        <v>2002</v>
      </c>
      <c r="L122" s="108">
        <f t="shared" si="361"/>
        <v>2003</v>
      </c>
      <c r="M122" s="108">
        <f t="shared" si="361"/>
        <v>2004</v>
      </c>
      <c r="N122" s="108">
        <f t="shared" si="361"/>
        <v>2005</v>
      </c>
      <c r="O122" s="108">
        <f t="shared" si="361"/>
        <v>2006</v>
      </c>
      <c r="P122" s="108">
        <f t="shared" si="361"/>
        <v>2007</v>
      </c>
      <c r="Q122" s="108">
        <f t="shared" si="361"/>
        <v>2008</v>
      </c>
      <c r="R122" s="108">
        <f t="shared" si="361"/>
        <v>2009</v>
      </c>
      <c r="S122" s="108">
        <f t="shared" si="361"/>
        <v>2010</v>
      </c>
      <c r="T122" s="108">
        <f t="shared" si="361"/>
        <v>2011</v>
      </c>
      <c r="U122" s="108">
        <f t="shared" si="361"/>
        <v>2012</v>
      </c>
      <c r="V122" s="108">
        <f t="shared" ref="V122:W122" si="362">V4</f>
        <v>2013</v>
      </c>
      <c r="W122" s="108">
        <f t="shared" si="362"/>
        <v>2014</v>
      </c>
      <c r="X122" s="108">
        <f t="shared" ref="X122:Y122" si="363">X4</f>
        <v>2015</v>
      </c>
      <c r="Y122" s="108">
        <f t="shared" si="363"/>
        <v>2016</v>
      </c>
      <c r="Z122" s="108">
        <f t="shared" ref="Z122" si="364">Z4</f>
        <v>2017</v>
      </c>
      <c r="AA122" s="108">
        <f t="shared" ref="AA122:AB122" si="365">AA4</f>
        <v>2018</v>
      </c>
      <c r="AB122" s="108">
        <f t="shared" si="365"/>
        <v>2019</v>
      </c>
      <c r="AC122" s="108">
        <f t="shared" ref="AC122:AD122" si="366">AC4</f>
        <v>2020</v>
      </c>
      <c r="AD122" s="108">
        <f t="shared" si="366"/>
        <v>2021</v>
      </c>
      <c r="AE122" s="226">
        <f t="shared" ref="AE122" si="367">AE4</f>
        <v>2022</v>
      </c>
      <c r="AF122" s="108" t="str">
        <f t="shared" ref="AF122:AG122" si="368">AF4</f>
        <v>2023E</v>
      </c>
      <c r="AG122" s="108" t="str">
        <f t="shared" si="368"/>
        <v>2024E</v>
      </c>
      <c r="AH122" s="108" t="str">
        <f t="shared" ref="AH122:AI122" si="369">AH4</f>
        <v>2025E</v>
      </c>
      <c r="AI122" s="108" t="str">
        <f t="shared" si="369"/>
        <v>2026E</v>
      </c>
      <c r="AJ122" s="108" t="str">
        <f t="shared" ref="AJ122" si="370">AJ4</f>
        <v>2027E</v>
      </c>
    </row>
    <row r="123" spans="1:46">
      <c r="A123" s="240"/>
      <c r="B123" s="315"/>
      <c r="C123" s="315"/>
      <c r="D123" s="233"/>
      <c r="E123" s="233"/>
      <c r="F123" s="233"/>
      <c r="G123" s="233"/>
      <c r="H123" s="233"/>
      <c r="I123" s="233"/>
      <c r="J123" s="233"/>
      <c r="K123" s="233"/>
      <c r="L123" s="233"/>
      <c r="M123" s="233"/>
      <c r="N123" s="233"/>
      <c r="O123" s="233"/>
      <c r="P123" s="233"/>
      <c r="Q123" s="233"/>
      <c r="R123" s="233"/>
      <c r="S123" s="233"/>
      <c r="T123" s="233"/>
      <c r="U123" s="233"/>
      <c r="V123" s="233"/>
      <c r="W123" s="233"/>
      <c r="X123" s="233"/>
      <c r="Y123" s="233"/>
      <c r="Z123" s="233"/>
      <c r="AA123" s="233"/>
      <c r="AB123" s="233"/>
      <c r="AC123" s="233"/>
      <c r="AD123" s="233"/>
      <c r="AE123" s="244"/>
      <c r="AF123" s="233"/>
      <c r="AG123" s="233"/>
      <c r="AH123" s="233"/>
      <c r="AI123" s="233"/>
      <c r="AJ123" s="23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</row>
    <row r="124" spans="1:46">
      <c r="A124" s="229"/>
      <c r="B124" s="233" t="s">
        <v>164</v>
      </c>
      <c r="C124" s="233" t="s">
        <v>163</v>
      </c>
      <c r="D124" s="242">
        <f>'Raw Data'!D97</f>
        <v>0</v>
      </c>
      <c r="E124" s="242">
        <f>'Raw Data'!E97</f>
        <v>32565</v>
      </c>
      <c r="F124" s="242">
        <f>'Raw Data'!F97</f>
        <v>35349</v>
      </c>
      <c r="G124" s="242">
        <f>'Raw Data'!G97</f>
        <v>39834</v>
      </c>
      <c r="H124" s="242">
        <f>'Raw Data'!H97</f>
        <v>48224</v>
      </c>
      <c r="I124" s="242">
        <f>'Raw Data'!I97</f>
        <v>48139</v>
      </c>
      <c r="J124" s="242">
        <f>'Raw Data'!J97</f>
        <v>20679</v>
      </c>
      <c r="K124" s="242">
        <f>'Raw Data'!K97</f>
        <v>24321</v>
      </c>
      <c r="L124" s="242">
        <f>'Raw Data'!L97</f>
        <v>28881</v>
      </c>
      <c r="M124" s="242">
        <f>'Raw Data'!M97</f>
        <v>31686</v>
      </c>
      <c r="N124" s="242">
        <f>'Raw Data'!N97</f>
        <v>33093</v>
      </c>
      <c r="O124" s="242">
        <f>'Raw Data'!O97</f>
        <v>37227</v>
      </c>
      <c r="P124" s="242">
        <f>'Raw Data'!P97</f>
        <v>37833</v>
      </c>
      <c r="Q124" s="233">
        <f>'Raw Data'!Q97</f>
        <v>50000</v>
      </c>
      <c r="R124" s="233">
        <f>'Raw Data'!R97</f>
        <v>47134</v>
      </c>
      <c r="S124" s="233">
        <f>'Raw Data'!S97</f>
        <v>57648</v>
      </c>
      <c r="T124" s="233">
        <f>'Raw Data'!T97</f>
        <v>60208</v>
      </c>
      <c r="U124" s="233">
        <f>'Raw Data'!U97</f>
        <v>77997</v>
      </c>
      <c r="V124" s="233">
        <f>'Raw Data'!V97</f>
        <v>88282</v>
      </c>
      <c r="W124" s="233">
        <f>'Raw Data'!W97</f>
        <v>106331</v>
      </c>
      <c r="X124" s="233">
        <f>'Raw Data'!X97</f>
        <v>112564</v>
      </c>
      <c r="Y124" s="233">
        <f>'Raw Data'!Y97</f>
        <v>121209</v>
      </c>
      <c r="Z124" s="233">
        <f>'Raw Data'!Z97</f>
        <v>118770</v>
      </c>
      <c r="AA124" s="233">
        <f>'Raw Data'!AA97</f>
        <v>118280</v>
      </c>
      <c r="AB124" s="233">
        <f>'Raw Data'!AB97</f>
        <v>135754</v>
      </c>
      <c r="AC124" s="233">
        <f>'Raw Data'!AC97</f>
        <v>159544</v>
      </c>
      <c r="AD124" s="233">
        <f>'Raw Data'!AD97</f>
        <v>177922</v>
      </c>
      <c r="AE124" s="244">
        <f>'Raw Data'!AE97</f>
        <v>186013</v>
      </c>
      <c r="AF124" s="233">
        <f>ROUND(AE124+AF225,-2)</f>
        <v>192100</v>
      </c>
      <c r="AG124" s="233">
        <f>ROUND(AF124+AG225,-2)</f>
        <v>201300</v>
      </c>
      <c r="AH124" s="233">
        <f t="shared" ref="AH124:AJ124" si="371">ROUND(AG124+AH225,-2)</f>
        <v>210000</v>
      </c>
      <c r="AI124" s="233">
        <f t="shared" si="371"/>
        <v>223500</v>
      </c>
      <c r="AJ124" s="233">
        <f t="shared" si="371"/>
        <v>238400</v>
      </c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</row>
    <row r="125" spans="1:46">
      <c r="A125" s="229"/>
      <c r="B125" s="233" t="s">
        <v>112</v>
      </c>
      <c r="C125" s="233" t="s">
        <v>63</v>
      </c>
      <c r="D125" s="242">
        <f>'Raw Data'!D103</f>
        <v>0</v>
      </c>
      <c r="E125" s="242">
        <f>'Raw Data'!E103</f>
        <v>43613</v>
      </c>
      <c r="F125" s="242">
        <f>'Raw Data'!F103</f>
        <v>42297</v>
      </c>
      <c r="G125" s="242">
        <f>'Raw Data'!G103</f>
        <v>39835</v>
      </c>
      <c r="H125" s="242">
        <f>'Raw Data'!H103</f>
        <v>40854</v>
      </c>
      <c r="I125" s="242">
        <f>'Raw Data'!I103</f>
        <v>44658</v>
      </c>
      <c r="J125" s="242">
        <f>'Raw Data'!J103</f>
        <v>44317</v>
      </c>
      <c r="K125" s="242">
        <f>'Raw Data'!K103</f>
        <v>41316</v>
      </c>
      <c r="L125" s="242">
        <f>'Raw Data'!L103</f>
        <v>39472</v>
      </c>
      <c r="M125" s="242">
        <f>'Raw Data'!M103</f>
        <v>39945</v>
      </c>
      <c r="N125" s="242">
        <f>'Raw Data'!N103</f>
        <v>43024</v>
      </c>
      <c r="O125" s="242">
        <f>'Raw Data'!O103</f>
        <v>43066</v>
      </c>
      <c r="P125" s="242">
        <f>'Raw Data'!P103</f>
        <v>39032</v>
      </c>
      <c r="Q125" s="233">
        <f>'Raw Data'!Q103</f>
        <v>38635</v>
      </c>
      <c r="R125" s="233">
        <f>'Raw Data'!R103</f>
        <v>38461</v>
      </c>
      <c r="S125" s="233">
        <f>'Raw Data'!S103</f>
        <v>39261</v>
      </c>
      <c r="T125" s="233">
        <f>'Raw Data'!T103</f>
        <v>48235</v>
      </c>
      <c r="U125" s="233">
        <f>'Raw Data'!U103</f>
        <v>45441</v>
      </c>
      <c r="V125" s="233">
        <f>'Raw Data'!V103</f>
        <v>48488</v>
      </c>
      <c r="W125" s="233">
        <f>'Raw Data'!W103</f>
        <v>46303</v>
      </c>
      <c r="X125" s="233">
        <f>'Raw Data'!X103</f>
        <v>48409</v>
      </c>
      <c r="Y125" s="233">
        <f>'Raw Data'!Y103</f>
        <v>49822</v>
      </c>
      <c r="Z125" s="233">
        <f>'Raw Data'!Z103</f>
        <v>53759</v>
      </c>
      <c r="AA125" s="233">
        <f>'Raw Data'!AA103</f>
        <v>53804</v>
      </c>
      <c r="AB125" s="233">
        <f>'Raw Data'!AB103</f>
        <v>56457</v>
      </c>
      <c r="AC125" s="233">
        <f>'Raw Data'!AC103</f>
        <v>50968</v>
      </c>
      <c r="AD125" s="233">
        <f>'Raw Data'!AD103</f>
        <v>56077</v>
      </c>
      <c r="AE125" s="244">
        <f>'Raw Data'!AE103</f>
        <v>58805</v>
      </c>
      <c r="AF125" s="233">
        <f>AF164</f>
        <v>64900</v>
      </c>
      <c r="AG125" s="233">
        <f>AG164</f>
        <v>67000</v>
      </c>
      <c r="AH125" s="233">
        <f t="shared" ref="AH125:AI125" si="372">AH164</f>
        <v>69000</v>
      </c>
      <c r="AI125" s="233">
        <f t="shared" si="372"/>
        <v>71200</v>
      </c>
      <c r="AJ125" s="233">
        <f t="shared" ref="AJ125" si="373">AJ164</f>
        <v>73300</v>
      </c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</row>
    <row r="126" spans="1:46">
      <c r="A126" s="229"/>
      <c r="B126" s="233" t="s">
        <v>162</v>
      </c>
      <c r="C126" s="233" t="s">
        <v>61</v>
      </c>
      <c r="D126" s="242">
        <f>'Raw Data'!D99</f>
        <v>0</v>
      </c>
      <c r="E126" s="242">
        <f>'Raw Data'!E99</f>
        <v>32035</v>
      </c>
      <c r="F126" s="242">
        <f>'Raw Data'!F99</f>
        <v>28274</v>
      </c>
      <c r="G126" s="242">
        <f>'Raw Data'!G99</f>
        <v>19792</v>
      </c>
      <c r="H126" s="242">
        <f>'Raw Data'!H99</f>
        <v>20004</v>
      </c>
      <c r="I126" s="242">
        <f>'Raw Data'!I99</f>
        <v>20961</v>
      </c>
      <c r="J126" s="242">
        <f>'Raw Data'!J99</f>
        <v>21291</v>
      </c>
      <c r="K126" s="242">
        <f>'Raw Data'!K99</f>
        <v>23643</v>
      </c>
      <c r="L126" s="242">
        <f>'Raw Data'!L99</f>
        <v>20842</v>
      </c>
      <c r="M126" s="242">
        <f>'Raw Data'!M99</f>
        <v>21660</v>
      </c>
      <c r="N126" s="242">
        <f>'Raw Data'!N99</f>
        <v>21737</v>
      </c>
      <c r="O126" s="242">
        <f>'Raw Data'!O99</f>
        <v>20126</v>
      </c>
      <c r="P126" s="242">
        <f>'Raw Data'!P99</f>
        <v>18931</v>
      </c>
      <c r="Q126" s="233">
        <f>'Raw Data'!Q99</f>
        <v>19942</v>
      </c>
      <c r="R126" s="233">
        <f>'Raw Data'!R99</f>
        <v>17258</v>
      </c>
      <c r="S126" s="233">
        <f>'Raw Data'!S99</f>
        <v>16167</v>
      </c>
      <c r="T126" s="233">
        <f>'Raw Data'!T99</f>
        <v>20837</v>
      </c>
      <c r="U126" s="233">
        <f>'Raw Data'!U99</f>
        <v>20174</v>
      </c>
      <c r="V126" s="233">
        <f>'Raw Data'!V99</f>
        <v>23086</v>
      </c>
      <c r="W126" s="233">
        <f>'Raw Data'!W99</f>
        <v>23565</v>
      </c>
      <c r="X126" s="233">
        <f>'Raw Data'!X99</f>
        <v>20723</v>
      </c>
      <c r="Y126" s="233">
        <f>'Raw Data'!Y99</f>
        <v>21394</v>
      </c>
      <c r="Z126" s="233">
        <f>'Raw Data'!Z99</f>
        <v>23824</v>
      </c>
      <c r="AA126" s="233">
        <f>'Raw Data'!AA99</f>
        <v>26222</v>
      </c>
      <c r="AB126" s="233">
        <f>'Raw Data'!AB99</f>
        <v>20007</v>
      </c>
      <c r="AC126" s="233">
        <f>'Raw Data'!AC99</f>
        <v>21761</v>
      </c>
      <c r="AD126" s="233">
        <f>'Raw Data'!AD99</f>
        <v>21761</v>
      </c>
      <c r="AE126" s="244">
        <f>'Raw Data'!AE99</f>
        <v>34405</v>
      </c>
      <c r="AF126" s="1656">
        <f t="shared" ref="AF126:AJ126" si="374">ROUND(AE126*AF$14/AE$14,-2)</f>
        <v>37900</v>
      </c>
      <c r="AG126" s="1656">
        <f t="shared" si="374"/>
        <v>39100</v>
      </c>
      <c r="AH126" s="1656">
        <f t="shared" si="374"/>
        <v>40300</v>
      </c>
      <c r="AI126" s="1656">
        <f t="shared" si="374"/>
        <v>41600</v>
      </c>
      <c r="AJ126" s="1656">
        <f t="shared" si="374"/>
        <v>42800</v>
      </c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</row>
    <row r="127" spans="1:46">
      <c r="A127" s="229"/>
      <c r="B127" s="233" t="s">
        <v>161</v>
      </c>
      <c r="C127" s="233" t="s">
        <v>160</v>
      </c>
      <c r="D127" s="242">
        <f>'Raw Data'!D107</f>
        <v>0</v>
      </c>
      <c r="E127" s="242">
        <f>'Raw Data'!E107</f>
        <v>4276</v>
      </c>
      <c r="F127" s="242">
        <f>'Raw Data'!F107</f>
        <v>6357</v>
      </c>
      <c r="G127" s="242">
        <f>'Raw Data'!G107</f>
        <v>4956</v>
      </c>
      <c r="H127" s="242">
        <f>'Raw Data'!H107</f>
        <v>5590</v>
      </c>
      <c r="I127" s="242">
        <f>'Raw Data'!I107</f>
        <v>6559</v>
      </c>
      <c r="J127" s="242">
        <f>'Raw Data'!J107</f>
        <v>5468</v>
      </c>
      <c r="K127" s="242">
        <f>'Raw Data'!K107</f>
        <v>7883</v>
      </c>
      <c r="L127" s="242">
        <f>'Raw Data'!L107</f>
        <v>8247</v>
      </c>
      <c r="M127" s="242">
        <f>'Raw Data'!M107</f>
        <v>7658</v>
      </c>
      <c r="N127" s="242">
        <f>'Raw Data'!N107</f>
        <v>5213</v>
      </c>
      <c r="O127" s="242">
        <f>'Raw Data'!O107</f>
        <v>4664</v>
      </c>
      <c r="P127" s="242">
        <f>'Raw Data'!P107</f>
        <v>4736</v>
      </c>
      <c r="Q127" s="233">
        <f>'Raw Data'!Q107</f>
        <v>4847</v>
      </c>
      <c r="R127" s="233">
        <f>'Raw Data'!R107</f>
        <v>5756</v>
      </c>
      <c r="S127" s="233">
        <f>'Raw Data'!S107</f>
        <v>5648</v>
      </c>
      <c r="T127" s="233">
        <f>'Raw Data'!T107</f>
        <v>4916</v>
      </c>
      <c r="U127" s="233">
        <f>'Raw Data'!U107</f>
        <v>5749</v>
      </c>
      <c r="V127" s="233">
        <f>'Raw Data'!V107</f>
        <v>5048</v>
      </c>
      <c r="W127" s="233">
        <f>'Raw Data'!W107</f>
        <v>5044</v>
      </c>
      <c r="X127" s="233">
        <f>'Raw Data'!X107</f>
        <v>5392</v>
      </c>
      <c r="Y127" s="233">
        <f>'Raw Data'!Y107</f>
        <v>4889</v>
      </c>
      <c r="Z127" s="233">
        <f>'Raw Data'!Z107</f>
        <v>6061</v>
      </c>
      <c r="AA127" s="233">
        <f>'Raw Data'!AA107</f>
        <v>4992</v>
      </c>
      <c r="AB127" s="233">
        <f>'Raw Data'!AB107</f>
        <v>3414</v>
      </c>
      <c r="AC127" s="233">
        <f>'Raw Data'!AC107</f>
        <v>3125</v>
      </c>
      <c r="AD127" s="233">
        <f>'Raw Data'!AD107</f>
        <v>7646</v>
      </c>
      <c r="AE127" s="244">
        <f>'Raw Data'!AE107</f>
        <v>5853</v>
      </c>
      <c r="AF127" s="233">
        <f>AF128-AF124-AF125-AF126</f>
        <v>11700</v>
      </c>
      <c r="AG127" s="233">
        <f t="shared" ref="AG127" si="375">AG128-AG124-AG125-AG126</f>
        <v>17500</v>
      </c>
      <c r="AH127" s="233">
        <f t="shared" ref="AH127:AI127" si="376">AH128-AH124-AH125-AH126</f>
        <v>23300</v>
      </c>
      <c r="AI127" s="233">
        <f t="shared" si="376"/>
        <v>29100</v>
      </c>
      <c r="AJ127" s="233">
        <f t="shared" ref="AJ127" si="377">AJ128-AJ124-AJ125-AJ126</f>
        <v>34900</v>
      </c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</row>
    <row r="128" spans="1:46">
      <c r="A128" s="229"/>
      <c r="B128" s="169" t="s">
        <v>159</v>
      </c>
      <c r="C128" s="169" t="s">
        <v>158</v>
      </c>
      <c r="D128" s="169">
        <f t="shared" ref="D128:U128" si="378">SUM(D124+D125+D126+D127)</f>
        <v>0</v>
      </c>
      <c r="E128" s="169">
        <f t="shared" si="378"/>
        <v>112489</v>
      </c>
      <c r="F128" s="169">
        <f t="shared" si="378"/>
        <v>112277</v>
      </c>
      <c r="G128" s="169">
        <f t="shared" si="378"/>
        <v>104417</v>
      </c>
      <c r="H128" s="169">
        <f t="shared" si="378"/>
        <v>114672</v>
      </c>
      <c r="I128" s="169">
        <f t="shared" si="378"/>
        <v>120317</v>
      </c>
      <c r="J128" s="169">
        <f t="shared" si="378"/>
        <v>91755</v>
      </c>
      <c r="K128" s="169">
        <f t="shared" si="378"/>
        <v>97163</v>
      </c>
      <c r="L128" s="169">
        <f t="shared" si="378"/>
        <v>97442</v>
      </c>
      <c r="M128" s="169">
        <f t="shared" si="378"/>
        <v>100949</v>
      </c>
      <c r="N128" s="169">
        <f t="shared" si="378"/>
        <v>103067</v>
      </c>
      <c r="O128" s="169">
        <f t="shared" si="378"/>
        <v>105083</v>
      </c>
      <c r="P128" s="169">
        <f t="shared" si="378"/>
        <v>100532</v>
      </c>
      <c r="Q128" s="169">
        <f t="shared" si="378"/>
        <v>113424</v>
      </c>
      <c r="R128" s="169">
        <f t="shared" si="378"/>
        <v>108609</v>
      </c>
      <c r="S128" s="169">
        <f t="shared" si="378"/>
        <v>118724</v>
      </c>
      <c r="T128" s="169">
        <f t="shared" si="378"/>
        <v>134196</v>
      </c>
      <c r="U128" s="169">
        <f t="shared" si="378"/>
        <v>149361</v>
      </c>
      <c r="V128" s="169">
        <f t="shared" ref="V128:W128" si="379">SUM(V124+V125+V126+V127)</f>
        <v>164904</v>
      </c>
      <c r="W128" s="169">
        <f t="shared" si="379"/>
        <v>181243</v>
      </c>
      <c r="X128" s="169">
        <f t="shared" ref="X128:Y128" si="380">SUM(X124+X125+X126+X127)</f>
        <v>187088</v>
      </c>
      <c r="Y128" s="248">
        <f t="shared" si="380"/>
        <v>197314</v>
      </c>
      <c r="Z128" s="248">
        <f t="shared" ref="Z128:AA128" si="381">SUM(Z124+Z125+Z126+Z127)</f>
        <v>202414</v>
      </c>
      <c r="AA128" s="248">
        <f t="shared" si="381"/>
        <v>203298</v>
      </c>
      <c r="AB128" s="248">
        <f t="shared" ref="AB128:AC128" si="382">SUM(AB124+AB125+AB126+AB127)</f>
        <v>215632</v>
      </c>
      <c r="AC128" s="248">
        <f t="shared" si="382"/>
        <v>235398</v>
      </c>
      <c r="AD128" s="248">
        <f t="shared" ref="AD128:AE128" si="383">SUM(AD124+AD125+AD126+AD127)</f>
        <v>263406</v>
      </c>
      <c r="AE128" s="267">
        <f t="shared" si="383"/>
        <v>285076</v>
      </c>
      <c r="AF128" s="248">
        <f>AF138-AF137-AF136-AF135-AF132</f>
        <v>306600</v>
      </c>
      <c r="AG128" s="248">
        <f t="shared" ref="AG128" si="384">AG138-AG137-AG136-AG135-AG132</f>
        <v>324900</v>
      </c>
      <c r="AH128" s="248">
        <f t="shared" ref="AH128:AI128" si="385">AH138-AH137-AH136-AH135-AH132</f>
        <v>342600</v>
      </c>
      <c r="AI128" s="248">
        <f t="shared" si="385"/>
        <v>365400</v>
      </c>
      <c r="AJ128" s="248">
        <f>AJ138-AJ137-AJ136-AJ135-AJ132</f>
        <v>389400</v>
      </c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</row>
    <row r="129" spans="1:46">
      <c r="A129" s="229"/>
      <c r="B129" s="23" t="s">
        <v>28</v>
      </c>
      <c r="C129" s="23"/>
      <c r="D129" s="233"/>
      <c r="E129" s="233"/>
      <c r="F129" s="233"/>
      <c r="G129" s="233"/>
      <c r="H129" s="233"/>
      <c r="I129" s="233"/>
      <c r="J129" s="233"/>
      <c r="K129" s="233"/>
      <c r="L129" s="233"/>
      <c r="M129" s="233"/>
      <c r="N129" s="233"/>
      <c r="O129" s="233"/>
      <c r="P129" s="233"/>
      <c r="Q129" s="233"/>
      <c r="R129" s="233"/>
      <c r="S129" s="233"/>
      <c r="T129" s="233"/>
      <c r="U129" s="233"/>
      <c r="V129" s="233"/>
      <c r="W129" s="233"/>
      <c r="X129" s="233"/>
      <c r="Y129" s="233"/>
      <c r="Z129" s="233"/>
      <c r="AA129" s="233"/>
      <c r="AB129" s="233"/>
      <c r="AC129" s="233"/>
      <c r="AD129" s="233"/>
      <c r="AE129" s="244"/>
      <c r="AF129" s="233"/>
      <c r="AG129" s="233"/>
      <c r="AH129" s="233"/>
      <c r="AI129" s="233"/>
      <c r="AJ129" s="23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</row>
    <row r="130" spans="1:46">
      <c r="A130" s="328"/>
      <c r="B130" s="162" t="s">
        <v>157</v>
      </c>
      <c r="C130" s="162" t="s">
        <v>156</v>
      </c>
      <c r="D130" s="242">
        <f>'Raw Data'!D113</f>
        <v>0</v>
      </c>
      <c r="E130" s="242">
        <f>'Raw Data'!E113</f>
        <v>94373</v>
      </c>
      <c r="F130" s="242">
        <f>'Raw Data'!F113</f>
        <v>100959</v>
      </c>
      <c r="G130" s="242">
        <f>'Raw Data'!G113</f>
        <v>173436</v>
      </c>
      <c r="H130" s="242">
        <f>'Raw Data'!H113</f>
        <v>182002</v>
      </c>
      <c r="I130" s="242">
        <f>'Raw Data'!I113</f>
        <v>193436</v>
      </c>
      <c r="J130" s="242">
        <f>'Raw Data'!J113</f>
        <v>201897</v>
      </c>
      <c r="K130" s="242">
        <f>'Raw Data'!K113</f>
        <v>203552</v>
      </c>
      <c r="L130" s="242">
        <f>'Raw Data'!L113</f>
        <v>200908</v>
      </c>
      <c r="M130" s="242">
        <f>'Raw Data'!M113</f>
        <v>203484</v>
      </c>
      <c r="N130" s="242">
        <f>'Raw Data'!N113</f>
        <v>207809</v>
      </c>
      <c r="O130" s="242">
        <f>'Raw Data'!O113</f>
        <v>199330</v>
      </c>
      <c r="P130" s="242">
        <f>'Raw Data'!P113</f>
        <v>203908</v>
      </c>
      <c r="Q130" s="233">
        <f>'Raw Data'!Q113</f>
        <v>210654</v>
      </c>
      <c r="R130" s="233">
        <f>'Raw Data'!R113</f>
        <v>227353</v>
      </c>
      <c r="S130" s="233">
        <f>'Raw Data'!S113</f>
        <v>220294</v>
      </c>
      <c r="T130" s="233">
        <f>'Raw Data'!T113</f>
        <v>227371</v>
      </c>
      <c r="U130" s="233">
        <f>'Raw Data'!U113</f>
        <v>240871</v>
      </c>
      <c r="V130" s="233">
        <f>'Raw Data'!V113</f>
        <v>272567</v>
      </c>
      <c r="W130" s="233">
        <f>'Raw Data'!W113</f>
        <v>286187</v>
      </c>
      <c r="X130" s="233">
        <f>'Raw Data'!X113</f>
        <v>297456</v>
      </c>
      <c r="Y130" s="233">
        <f>'Raw Data'!Y113</f>
        <v>298052</v>
      </c>
      <c r="Z130" s="233">
        <f>'Raw Data'!Z113</f>
        <v>309256</v>
      </c>
      <c r="AA130" s="233">
        <f>'Raw Data'!AA113</f>
        <v>325934</v>
      </c>
      <c r="AB130" s="233">
        <f>'Raw Data'!AB113</f>
        <v>329339</v>
      </c>
      <c r="AC130" s="233">
        <f>'Raw Data'!AC113</f>
        <v>364643</v>
      </c>
      <c r="AD130" s="233">
        <f>'Raw Data'!AD113</f>
        <v>365900</v>
      </c>
      <c r="AE130" s="244">
        <f>'Raw Data'!AE113</f>
        <v>366627</v>
      </c>
      <c r="AF130" s="233">
        <f>ROUND(AE130-AF206-AF209-AF198,-2)</f>
        <v>386600</v>
      </c>
      <c r="AG130" s="233">
        <f>ROUND(AF130-AG206-AG209-AG198,-2)</f>
        <v>410600</v>
      </c>
      <c r="AH130" s="233">
        <f>ROUND(AG130-AH206-AH209-AH198,-2)</f>
        <v>435600</v>
      </c>
      <c r="AI130" s="233">
        <f t="shared" ref="AI130" si="386">ROUND(AH130-AI206-AI209-AI198,-2)</f>
        <v>455600</v>
      </c>
      <c r="AJ130" s="233">
        <f>ROUND(AI130-AJ206-AJ209-AJ198,-2)</f>
        <v>475600</v>
      </c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</row>
    <row r="131" spans="1:46">
      <c r="A131" s="328"/>
      <c r="B131" s="159" t="s">
        <v>155</v>
      </c>
      <c r="C131" s="159" t="s">
        <v>71</v>
      </c>
      <c r="D131" s="242">
        <f>'Raw Data'!D114</f>
        <v>0</v>
      </c>
      <c r="E131" s="242">
        <f>'Raw Data'!E114</f>
        <v>0</v>
      </c>
      <c r="F131" s="242">
        <f>'Raw Data'!F114</f>
        <v>0</v>
      </c>
      <c r="G131" s="242">
        <f>'Raw Data'!G114</f>
        <v>-75364</v>
      </c>
      <c r="H131" s="242">
        <f>'Raw Data'!H114</f>
        <v>-86340</v>
      </c>
      <c r="I131" s="242">
        <f>'Raw Data'!I114</f>
        <v>-95092</v>
      </c>
      <c r="J131" s="242">
        <f>'Raw Data'!J114</f>
        <v>-98309</v>
      </c>
      <c r="K131" s="242">
        <f>'Raw Data'!K114</f>
        <v>-99971</v>
      </c>
      <c r="L131" s="242">
        <f>'Raw Data'!L114</f>
        <v>-102138</v>
      </c>
      <c r="M131" s="242">
        <f>'Raw Data'!M114</f>
        <v>-106080</v>
      </c>
      <c r="N131" s="242">
        <f>'Raw Data'!N114</f>
        <v>-111373</v>
      </c>
      <c r="O131" s="242">
        <f>'Raw Data'!O114</f>
        <v>-107800</v>
      </c>
      <c r="P131" s="242">
        <f>'Raw Data'!P114</f>
        <v>-117405</v>
      </c>
      <c r="Q131" s="233">
        <f>'Raw Data'!Q114</f>
        <v>-123080</v>
      </c>
      <c r="R131" s="233">
        <f>'Raw Data'!R114</f>
        <v>-125644</v>
      </c>
      <c r="S131" s="233">
        <f>'Raw Data'!S114</f>
        <v>-124795</v>
      </c>
      <c r="T131" s="233">
        <f>'Raw Data'!T114</f>
        <v>-129790</v>
      </c>
      <c r="U131" s="233">
        <f>'Raw Data'!U114</f>
        <v>-138609</v>
      </c>
      <c r="V131" s="233">
        <f>'Raw Data'!V114</f>
        <v>-153388</v>
      </c>
      <c r="W131" s="233">
        <f>'Raw Data'!W114</f>
        <v>-165518</v>
      </c>
      <c r="X131" s="233">
        <f>'Raw Data'!X114</f>
        <v>-172516</v>
      </c>
      <c r="Y131" s="233">
        <f>'Raw Data'!Y114</f>
        <v>-173112</v>
      </c>
      <c r="Z131" s="233">
        <f>'Raw Data'!Z114</f>
        <v>-173158</v>
      </c>
      <c r="AA131" s="233">
        <f>'Raw Data'!AA114</f>
        <v>-173158</v>
      </c>
      <c r="AB131" s="233">
        <f>'Raw Data'!AB114</f>
        <v>-173158</v>
      </c>
      <c r="AC131" s="233">
        <f>'Raw Data'!AC114</f>
        <v>-206705</v>
      </c>
      <c r="AD131" s="233">
        <f>'Raw Data'!AD114</f>
        <v>-206705</v>
      </c>
      <c r="AE131" s="244">
        <f>'Raw Data'!AE114</f>
        <v>-206705</v>
      </c>
      <c r="AF131" s="233">
        <f>ROUND(AE131+AF33,-2)</f>
        <v>-222700</v>
      </c>
      <c r="AG131" s="233">
        <f>ROUND(AF131+AG33,-2)</f>
        <v>-239100</v>
      </c>
      <c r="AH131" s="233">
        <f>ROUND(AG131+AH33,-2)</f>
        <v>-256300</v>
      </c>
      <c r="AI131" s="233">
        <f>ROUND(AH131+AI33,-2)</f>
        <v>-274200</v>
      </c>
      <c r="AJ131" s="233">
        <f t="shared" ref="AJ131" si="387">ROUND(AI131+AJ33,-2)</f>
        <v>-292600</v>
      </c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</row>
    <row r="132" spans="1:46">
      <c r="A132" s="229"/>
      <c r="B132" s="169" t="s">
        <v>154</v>
      </c>
      <c r="C132" s="169" t="s">
        <v>153</v>
      </c>
      <c r="D132" s="169">
        <f t="shared" ref="D132:U132" si="388">D130+D131</f>
        <v>0</v>
      </c>
      <c r="E132" s="169">
        <f t="shared" si="388"/>
        <v>94373</v>
      </c>
      <c r="F132" s="169">
        <f t="shared" si="388"/>
        <v>100959</v>
      </c>
      <c r="G132" s="169">
        <f t="shared" si="388"/>
        <v>98072</v>
      </c>
      <c r="H132" s="169">
        <f t="shared" si="388"/>
        <v>95662</v>
      </c>
      <c r="I132" s="169">
        <f t="shared" si="388"/>
        <v>98344</v>
      </c>
      <c r="J132" s="169">
        <f t="shared" si="388"/>
        <v>103588</v>
      </c>
      <c r="K132" s="169">
        <f t="shared" si="388"/>
        <v>103581</v>
      </c>
      <c r="L132" s="169">
        <f t="shared" si="388"/>
        <v>98770</v>
      </c>
      <c r="M132" s="169">
        <f t="shared" si="388"/>
        <v>97404</v>
      </c>
      <c r="N132" s="169">
        <f t="shared" si="388"/>
        <v>96436</v>
      </c>
      <c r="O132" s="169">
        <f t="shared" si="388"/>
        <v>91530</v>
      </c>
      <c r="P132" s="169">
        <f t="shared" si="388"/>
        <v>86503</v>
      </c>
      <c r="Q132" s="169">
        <f t="shared" si="388"/>
        <v>87574</v>
      </c>
      <c r="R132" s="169">
        <f t="shared" si="388"/>
        <v>101709</v>
      </c>
      <c r="S132" s="169">
        <f t="shared" si="388"/>
        <v>95499</v>
      </c>
      <c r="T132" s="169">
        <f t="shared" si="388"/>
        <v>97581</v>
      </c>
      <c r="U132" s="169">
        <f t="shared" si="388"/>
        <v>102262</v>
      </c>
      <c r="V132" s="169">
        <f t="shared" ref="V132:W132" si="389">V130+V131</f>
        <v>119179</v>
      </c>
      <c r="W132" s="169">
        <f t="shared" si="389"/>
        <v>120669</v>
      </c>
      <c r="X132" s="169">
        <f t="shared" ref="X132:Y132" si="390">X130+X131</f>
        <v>124940</v>
      </c>
      <c r="Y132" s="248">
        <f t="shared" si="390"/>
        <v>124940</v>
      </c>
      <c r="Z132" s="248">
        <f t="shared" ref="Z132:AA132" si="391">Z130+Z131</f>
        <v>136098</v>
      </c>
      <c r="AA132" s="248">
        <f t="shared" si="391"/>
        <v>152776</v>
      </c>
      <c r="AB132" s="248">
        <f t="shared" ref="AB132:AC132" si="392">AB130+AB131</f>
        <v>156181</v>
      </c>
      <c r="AC132" s="248">
        <f t="shared" si="392"/>
        <v>157938</v>
      </c>
      <c r="AD132" s="248">
        <f t="shared" ref="AD132:AE132" si="393">AD130+AD131</f>
        <v>159195</v>
      </c>
      <c r="AE132" s="267">
        <f t="shared" si="393"/>
        <v>159922</v>
      </c>
      <c r="AF132" s="248">
        <f t="shared" ref="AF132:AG132" si="394">AF130+AF131</f>
        <v>163900</v>
      </c>
      <c r="AG132" s="248">
        <f t="shared" si="394"/>
        <v>171500</v>
      </c>
      <c r="AH132" s="248">
        <f t="shared" ref="AH132:AI132" si="395">AH130+AH131</f>
        <v>179300</v>
      </c>
      <c r="AI132" s="248">
        <f t="shared" si="395"/>
        <v>181400</v>
      </c>
      <c r="AJ132" s="248">
        <f>AJ130+AJ131</f>
        <v>183000</v>
      </c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</row>
    <row r="133" spans="1:46">
      <c r="A133" s="229"/>
      <c r="B133" s="162" t="s">
        <v>152</v>
      </c>
      <c r="C133" s="162" t="s">
        <v>151</v>
      </c>
      <c r="D133" s="242">
        <f>'Raw Data'!D117</f>
        <v>0</v>
      </c>
      <c r="E133" s="242">
        <f>'Raw Data'!E117</f>
        <v>475</v>
      </c>
      <c r="F133" s="242">
        <f>'Raw Data'!F117</f>
        <v>472</v>
      </c>
      <c r="G133" s="242">
        <f>'Raw Data'!G117</f>
        <v>532</v>
      </c>
      <c r="H133" s="242">
        <f>'Raw Data'!H117</f>
        <v>1708</v>
      </c>
      <c r="I133" s="242">
        <f>'Raw Data'!I117</f>
        <v>1710</v>
      </c>
      <c r="J133" s="242">
        <f>'Raw Data'!J117</f>
        <v>1776</v>
      </c>
      <c r="K133" s="242">
        <f>'Raw Data'!K117</f>
        <v>1549</v>
      </c>
      <c r="L133" s="242">
        <f>'Raw Data'!L117</f>
        <v>2508</v>
      </c>
      <c r="M133" s="242">
        <f>'Raw Data'!M117</f>
        <v>2636</v>
      </c>
      <c r="N133" s="242">
        <f>'Raw Data'!N117</f>
        <v>2402</v>
      </c>
      <c r="O133" s="242">
        <f>'Raw Data'!O117</f>
        <v>2562</v>
      </c>
      <c r="P133" s="242">
        <f>'Raw Data'!P117</f>
        <v>1851</v>
      </c>
      <c r="Q133" s="233">
        <f>'Raw Data'!Q117</f>
        <v>1934</v>
      </c>
      <c r="R133" s="233">
        <f>'Raw Data'!R117</f>
        <v>2169</v>
      </c>
      <c r="S133" s="233">
        <f>'Raw Data'!S117</f>
        <v>1727</v>
      </c>
      <c r="T133" s="233">
        <f>'Raw Data'!T117</f>
        <v>2051</v>
      </c>
      <c r="U133" s="233">
        <f>'Raw Data'!U117</f>
        <v>2349</v>
      </c>
      <c r="V133" s="233">
        <f>'Raw Data'!V117</f>
        <v>2408</v>
      </c>
      <c r="W133" s="233">
        <f>'Raw Data'!W117</f>
        <v>3232</v>
      </c>
      <c r="X133" s="233">
        <f>'Raw Data'!X117</f>
        <v>3054</v>
      </c>
      <c r="Y133" s="233">
        <f>'Raw Data'!Y117</f>
        <v>2428</v>
      </c>
      <c r="Z133" s="233">
        <f>'Raw Data'!Z117</f>
        <v>1738</v>
      </c>
      <c r="AA133" s="233">
        <f>'Raw Data'!AA117</f>
        <v>1604</v>
      </c>
      <c r="AB133" s="233">
        <f>'Raw Data'!AB117</f>
        <v>1443</v>
      </c>
      <c r="AC133" s="233">
        <f>'Raw Data'!AC117</f>
        <v>1267</v>
      </c>
      <c r="AD133" s="233">
        <f>'Raw Data'!AD117</f>
        <v>1311</v>
      </c>
      <c r="AE133" s="244">
        <f>'Raw Data'!AE117</f>
        <v>2553</v>
      </c>
      <c r="AF133" s="1656">
        <f>ROUND(AE133*1,-2)+500</f>
        <v>3100</v>
      </c>
      <c r="AG133" s="1656">
        <f t="shared" ref="AG133:AJ133" si="396">ROUND(AF133*1,-2)+500</f>
        <v>3600</v>
      </c>
      <c r="AH133" s="1656">
        <f t="shared" si="396"/>
        <v>4100</v>
      </c>
      <c r="AI133" s="1656">
        <f t="shared" si="396"/>
        <v>4600</v>
      </c>
      <c r="AJ133" s="1656">
        <f t="shared" si="396"/>
        <v>5100</v>
      </c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</row>
    <row r="134" spans="1:46">
      <c r="A134" s="229"/>
      <c r="B134" s="159" t="s">
        <v>150</v>
      </c>
      <c r="C134" s="159" t="s">
        <v>149</v>
      </c>
      <c r="D134" s="242">
        <f>'Raw Data'!D118</f>
        <v>0</v>
      </c>
      <c r="E134" s="242">
        <f>'Raw Data'!E118</f>
        <v>0</v>
      </c>
      <c r="F134" s="242">
        <f>'Raw Data'!F118</f>
        <v>0</v>
      </c>
      <c r="G134" s="242">
        <f>'Raw Data'!G118</f>
        <v>0</v>
      </c>
      <c r="H134" s="242">
        <f>'Raw Data'!H118</f>
        <v>0</v>
      </c>
      <c r="I134" s="242">
        <f>'Raw Data'!I118</f>
        <v>0</v>
      </c>
      <c r="J134" s="242">
        <f>'Raw Data'!J118</f>
        <v>0</v>
      </c>
      <c r="K134" s="242">
        <f>'Raw Data'!K118</f>
        <v>0</v>
      </c>
      <c r="L134" s="242">
        <f>'Raw Data'!L118</f>
        <v>0</v>
      </c>
      <c r="M134" s="242">
        <f>'Raw Data'!M118</f>
        <v>0</v>
      </c>
      <c r="N134" s="242">
        <f>'Raw Data'!N118</f>
        <v>0</v>
      </c>
      <c r="O134" s="242">
        <f>'Raw Data'!O118</f>
        <v>0</v>
      </c>
      <c r="P134" s="242">
        <f>'Raw Data'!P118</f>
        <v>0</v>
      </c>
      <c r="Q134" s="233">
        <f>'Raw Data'!Q118</f>
        <v>0</v>
      </c>
      <c r="R134" s="233">
        <f>'Raw Data'!R118</f>
        <v>0</v>
      </c>
      <c r="S134" s="233">
        <f>'Raw Data'!S118</f>
        <v>0</v>
      </c>
      <c r="T134" s="233">
        <f>'Raw Data'!T118</f>
        <v>0</v>
      </c>
      <c r="U134" s="233">
        <f>'Raw Data'!U118</f>
        <v>0</v>
      </c>
      <c r="V134" s="233">
        <f>'Raw Data'!V118</f>
        <v>0</v>
      </c>
      <c r="W134" s="233">
        <f>'Raw Data'!W118</f>
        <v>0</v>
      </c>
      <c r="X134" s="233">
        <f>'Raw Data'!X118</f>
        <v>0</v>
      </c>
      <c r="Y134" s="233">
        <f>'Raw Data'!Y118</f>
        <v>0</v>
      </c>
      <c r="Z134" s="233">
        <f>'Raw Data'!Z118</f>
        <v>0</v>
      </c>
      <c r="AA134" s="233">
        <f>'Raw Data'!AA118</f>
        <v>0</v>
      </c>
      <c r="AB134" s="233">
        <f>'Raw Data'!AB118</f>
        <v>0</v>
      </c>
      <c r="AC134" s="233">
        <f>'Raw Data'!AC118</f>
        <v>0</v>
      </c>
      <c r="AD134" s="233">
        <f>'Raw Data'!AD118</f>
        <v>0</v>
      </c>
      <c r="AE134" s="244">
        <f>'Raw Data'!AE118</f>
        <v>0</v>
      </c>
      <c r="AF134" s="233">
        <f t="shared" ref="AF134:AJ134" si="397">AE134+AF35</f>
        <v>0</v>
      </c>
      <c r="AG134" s="233">
        <f t="shared" si="397"/>
        <v>0</v>
      </c>
      <c r="AH134" s="233">
        <f t="shared" si="397"/>
        <v>0</v>
      </c>
      <c r="AI134" s="233">
        <f t="shared" si="397"/>
        <v>0</v>
      </c>
      <c r="AJ134" s="233">
        <f t="shared" si="397"/>
        <v>0</v>
      </c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</row>
    <row r="135" spans="1:46">
      <c r="A135" s="229"/>
      <c r="B135" s="169" t="s">
        <v>148</v>
      </c>
      <c r="C135" s="169" t="s">
        <v>147</v>
      </c>
      <c r="D135" s="169">
        <f t="shared" ref="D135:U135" si="398">D133+D134</f>
        <v>0</v>
      </c>
      <c r="E135" s="169">
        <f t="shared" si="398"/>
        <v>475</v>
      </c>
      <c r="F135" s="169">
        <f t="shared" si="398"/>
        <v>472</v>
      </c>
      <c r="G135" s="169">
        <f t="shared" si="398"/>
        <v>532</v>
      </c>
      <c r="H135" s="169">
        <f t="shared" si="398"/>
        <v>1708</v>
      </c>
      <c r="I135" s="169">
        <f t="shared" si="398"/>
        <v>1710</v>
      </c>
      <c r="J135" s="169">
        <f t="shared" si="398"/>
        <v>1776</v>
      </c>
      <c r="K135" s="169">
        <f t="shared" si="398"/>
        <v>1549</v>
      </c>
      <c r="L135" s="169">
        <f t="shared" si="398"/>
        <v>2508</v>
      </c>
      <c r="M135" s="169">
        <f t="shared" si="398"/>
        <v>2636</v>
      </c>
      <c r="N135" s="169">
        <f t="shared" si="398"/>
        <v>2402</v>
      </c>
      <c r="O135" s="169">
        <f t="shared" si="398"/>
        <v>2562</v>
      </c>
      <c r="P135" s="169">
        <f t="shared" si="398"/>
        <v>1851</v>
      </c>
      <c r="Q135" s="169">
        <f t="shared" si="398"/>
        <v>1934</v>
      </c>
      <c r="R135" s="169">
        <f t="shared" si="398"/>
        <v>2169</v>
      </c>
      <c r="S135" s="169">
        <f t="shared" si="398"/>
        <v>1727</v>
      </c>
      <c r="T135" s="169">
        <f t="shared" si="398"/>
        <v>2051</v>
      </c>
      <c r="U135" s="169">
        <f t="shared" si="398"/>
        <v>2349</v>
      </c>
      <c r="V135" s="169">
        <f t="shared" ref="V135:W135" si="399">V133+V134</f>
        <v>2408</v>
      </c>
      <c r="W135" s="169">
        <f t="shared" si="399"/>
        <v>3232</v>
      </c>
      <c r="X135" s="169">
        <f t="shared" ref="X135:Y135" si="400">X133+X134</f>
        <v>3054</v>
      </c>
      <c r="Y135" s="248">
        <f t="shared" si="400"/>
        <v>2428</v>
      </c>
      <c r="Z135" s="248">
        <f t="shared" ref="Z135:AA135" si="401">Z133+Z134</f>
        <v>1738</v>
      </c>
      <c r="AA135" s="248">
        <f t="shared" si="401"/>
        <v>1604</v>
      </c>
      <c r="AB135" s="248">
        <f t="shared" ref="AB135:AC135" si="402">AB133+AB134</f>
        <v>1443</v>
      </c>
      <c r="AC135" s="248">
        <f t="shared" si="402"/>
        <v>1267</v>
      </c>
      <c r="AD135" s="248">
        <f t="shared" ref="AD135:AE135" si="403">AD133+AD134</f>
        <v>1311</v>
      </c>
      <c r="AE135" s="267">
        <f t="shared" si="403"/>
        <v>2553</v>
      </c>
      <c r="AF135" s="248">
        <f>AF133+AF134</f>
        <v>3100</v>
      </c>
      <c r="AG135" s="248">
        <f>AG133+AG134</f>
        <v>3600</v>
      </c>
      <c r="AH135" s="248">
        <f t="shared" ref="AH135:AI135" si="404">AH133+AH134</f>
        <v>4100</v>
      </c>
      <c r="AI135" s="248">
        <f t="shared" si="404"/>
        <v>4600</v>
      </c>
      <c r="AJ135" s="248">
        <f t="shared" ref="AJ135" si="405">AJ133+AJ134</f>
        <v>5100</v>
      </c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</row>
    <row r="136" spans="1:46">
      <c r="A136" s="229"/>
      <c r="B136" s="233" t="s">
        <v>107</v>
      </c>
      <c r="C136" s="233" t="s">
        <v>106</v>
      </c>
      <c r="D136" s="242">
        <f>'Raw Data'!D123</f>
        <v>0</v>
      </c>
      <c r="E136" s="242">
        <f>'Raw Data'!E123</f>
        <v>12356</v>
      </c>
      <c r="F136" s="242">
        <f>'Raw Data'!F123</f>
        <v>11889</v>
      </c>
      <c r="G136" s="242">
        <f>'Raw Data'!G123</f>
        <v>13175</v>
      </c>
      <c r="H136" s="242">
        <f>'Raw Data'!H123</f>
        <v>12923</v>
      </c>
      <c r="I136" s="242">
        <f>'Raw Data'!I123</f>
        <v>22364</v>
      </c>
      <c r="J136" s="242">
        <f>'Raw Data'!J123</f>
        <v>16521</v>
      </c>
      <c r="K136" s="242">
        <f>'Raw Data'!K123</f>
        <v>13553</v>
      </c>
      <c r="L136" s="242">
        <f>'Raw Data'!L123</f>
        <v>16243</v>
      </c>
      <c r="M136" s="242">
        <f>'Raw Data'!M123</f>
        <v>15686</v>
      </c>
      <c r="N136" s="242">
        <f>'Raw Data'!N123</f>
        <v>18721</v>
      </c>
      <c r="O136" s="242">
        <f>'Raw Data'!O123</f>
        <v>18318</v>
      </c>
      <c r="P136" s="242">
        <f>'Raw Data'!P123</f>
        <v>14903</v>
      </c>
      <c r="Q136" s="233">
        <f>'Raw Data'!Q123</f>
        <v>13594</v>
      </c>
      <c r="R136" s="233">
        <f>'Raw Data'!R123</f>
        <v>14690</v>
      </c>
      <c r="S136" s="233">
        <f>'Raw Data'!S123</f>
        <v>14160</v>
      </c>
      <c r="T136" s="233">
        <f>'Raw Data'!T123</f>
        <v>14947</v>
      </c>
      <c r="U136" s="233">
        <f>'Raw Data'!U123</f>
        <v>18385</v>
      </c>
      <c r="V136" s="233">
        <f>'Raw Data'!V123</f>
        <v>20114</v>
      </c>
      <c r="W136" s="233">
        <f>'Raw Data'!W123</f>
        <v>26745</v>
      </c>
      <c r="X136" s="233">
        <f>'Raw Data'!X123</f>
        <v>28105</v>
      </c>
      <c r="Y136" s="233">
        <f>'Raw Data'!Y123</f>
        <v>29689</v>
      </c>
      <c r="Z136" s="233">
        <f>'Raw Data'!Z123</f>
        <v>31316</v>
      </c>
      <c r="AA136" s="233">
        <f>'Raw Data'!AA123</f>
        <v>30409</v>
      </c>
      <c r="AB136" s="233">
        <f>'Raw Data'!AB123</f>
        <v>27018</v>
      </c>
      <c r="AC136" s="233">
        <f>'Raw Data'!AC123</f>
        <v>29169</v>
      </c>
      <c r="AD136" s="233">
        <f>'Raw Data'!AD123</f>
        <v>28256</v>
      </c>
      <c r="AE136" s="244">
        <f>'Raw Data'!AE123</f>
        <v>28256</v>
      </c>
      <c r="AF136" s="233">
        <f>AF168</f>
        <v>28400</v>
      </c>
      <c r="AG136" s="233">
        <f t="shared" ref="AG136" si="406">AG168</f>
        <v>28500</v>
      </c>
      <c r="AH136" s="233">
        <f t="shared" ref="AH136:AI136" si="407">AH168</f>
        <v>28600</v>
      </c>
      <c r="AI136" s="233">
        <f t="shared" si="407"/>
        <v>28700</v>
      </c>
      <c r="AJ136" s="233">
        <f t="shared" ref="AJ136" si="408">AJ168</f>
        <v>28800</v>
      </c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</row>
    <row r="137" spans="1:46">
      <c r="A137" s="229"/>
      <c r="B137" s="233" t="s">
        <v>146</v>
      </c>
      <c r="C137" s="233" t="s">
        <v>145</v>
      </c>
      <c r="D137" s="242">
        <f>'Raw Data'!D127</f>
        <v>0</v>
      </c>
      <c r="E137" s="242">
        <f>'Raw Data'!E127</f>
        <v>4207</v>
      </c>
      <c r="F137" s="242">
        <f>'Raw Data'!F127</f>
        <v>3763</v>
      </c>
      <c r="G137" s="242">
        <f>'Raw Data'!G127</f>
        <v>6006</v>
      </c>
      <c r="H137" s="242">
        <f>'Raw Data'!H127</f>
        <v>5798</v>
      </c>
      <c r="I137" s="242">
        <f>'Raw Data'!I127</f>
        <v>6696</v>
      </c>
      <c r="J137" s="242">
        <f>'Raw Data'!J127</f>
        <v>9072</v>
      </c>
      <c r="K137" s="242">
        <f>'Raw Data'!K127</f>
        <v>8945</v>
      </c>
      <c r="L137" s="242">
        <f>'Raw Data'!L127</f>
        <v>7416</v>
      </c>
      <c r="M137" s="242">
        <f>'Raw Data'!M127</f>
        <v>3516</v>
      </c>
      <c r="N137" s="242">
        <f>'Raw Data'!N127</f>
        <v>2680</v>
      </c>
      <c r="O137" s="242">
        <f>'Raw Data'!O127</f>
        <v>2359</v>
      </c>
      <c r="P137" s="242">
        <f>'Raw Data'!P127</f>
        <v>2254</v>
      </c>
      <c r="Q137" s="233">
        <f>'Raw Data'!Q127</f>
        <v>2155</v>
      </c>
      <c r="R137" s="233">
        <f>'Raw Data'!R127</f>
        <v>2065</v>
      </c>
      <c r="S137" s="233">
        <f>'Raw Data'!S127</f>
        <v>2422</v>
      </c>
      <c r="T137" s="233">
        <f>'Raw Data'!T127</f>
        <v>2639</v>
      </c>
      <c r="U137" s="233">
        <f>'Raw Data'!U127</f>
        <v>2532</v>
      </c>
      <c r="V137" s="233">
        <f>'Raw Data'!V127</f>
        <v>2182</v>
      </c>
      <c r="W137" s="233">
        <f>'Raw Data'!W127</f>
        <v>2044</v>
      </c>
      <c r="X137" s="233">
        <f>'Raw Data'!X127</f>
        <v>2209</v>
      </c>
      <c r="Y137" s="233">
        <f>'Raw Data'!Y127</f>
        <v>6703</v>
      </c>
      <c r="Z137" s="233">
        <f>'Raw Data'!Z127</f>
        <v>1917</v>
      </c>
      <c r="AA137" s="233">
        <f>'Raw Data'!AA127</f>
        <v>2103</v>
      </c>
      <c r="AB137" s="233">
        <f>'Raw Data'!AB127</f>
        <v>2334</v>
      </c>
      <c r="AC137" s="233">
        <f>'Raw Data'!AC127</f>
        <v>2299</v>
      </c>
      <c r="AD137" s="233">
        <f>'Raw Data'!AD127</f>
        <v>2502</v>
      </c>
      <c r="AE137" s="244">
        <f>'Raw Data'!AE127</f>
        <v>21276</v>
      </c>
      <c r="AF137" s="1656">
        <f>ROUND(AE137+13000,-2)</f>
        <v>34300</v>
      </c>
      <c r="AG137" s="1656">
        <f>ROUND(AF137+13000,-2)</f>
        <v>47300</v>
      </c>
      <c r="AH137" s="1656">
        <f>ROUND(AG137+13000,-2)</f>
        <v>60300</v>
      </c>
      <c r="AI137" s="1656">
        <f>ROUND(AH137+13000,-2)</f>
        <v>73300</v>
      </c>
      <c r="AJ137" s="1656">
        <f>ROUND(AI137+13000,-2)</f>
        <v>86300</v>
      </c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</row>
    <row r="138" spans="1:46">
      <c r="A138" s="255"/>
      <c r="B138" s="169" t="s">
        <v>144</v>
      </c>
      <c r="C138" s="169" t="s">
        <v>143</v>
      </c>
      <c r="D138" s="169">
        <f>+'Raw Data'!D133</f>
        <v>0</v>
      </c>
      <c r="E138" s="169">
        <f t="shared" ref="E138:M138" si="409">SUM(E128+E132+E135+E136+E137)</f>
        <v>223900</v>
      </c>
      <c r="F138" s="169">
        <f t="shared" si="409"/>
        <v>229360</v>
      </c>
      <c r="G138" s="169">
        <f t="shared" si="409"/>
        <v>222202</v>
      </c>
      <c r="H138" s="169">
        <f t="shared" si="409"/>
        <v>230763</v>
      </c>
      <c r="I138" s="169">
        <f t="shared" si="409"/>
        <v>249431</v>
      </c>
      <c r="J138" s="169">
        <f t="shared" si="409"/>
        <v>222712</v>
      </c>
      <c r="K138" s="169">
        <f t="shared" si="409"/>
        <v>224791</v>
      </c>
      <c r="L138" s="169">
        <f t="shared" si="409"/>
        <v>222379</v>
      </c>
      <c r="M138" s="169">
        <f t="shared" si="409"/>
        <v>220191</v>
      </c>
      <c r="N138" s="169">
        <f t="shared" ref="N138:U138" si="410">N128+N132+N135+N136+N137</f>
        <v>223306</v>
      </c>
      <c r="O138" s="169">
        <f t="shared" si="410"/>
        <v>219852</v>
      </c>
      <c r="P138" s="169">
        <f t="shared" si="410"/>
        <v>206043</v>
      </c>
      <c r="Q138" s="169">
        <f t="shared" si="410"/>
        <v>218681</v>
      </c>
      <c r="R138" s="169">
        <f t="shared" si="410"/>
        <v>229242</v>
      </c>
      <c r="S138" s="169">
        <f t="shared" si="410"/>
        <v>232532</v>
      </c>
      <c r="T138" s="169">
        <f t="shared" si="410"/>
        <v>251414</v>
      </c>
      <c r="U138" s="169">
        <f t="shared" si="410"/>
        <v>274889</v>
      </c>
      <c r="V138" s="169">
        <f t="shared" ref="V138:W138" si="411">V128+V132+V135+V136+V137</f>
        <v>308787</v>
      </c>
      <c r="W138" s="169">
        <f t="shared" si="411"/>
        <v>333933</v>
      </c>
      <c r="X138" s="169">
        <f t="shared" ref="X138:Y138" si="412">X128+X132+X135+X136+X137</f>
        <v>345396</v>
      </c>
      <c r="Y138" s="248">
        <f t="shared" si="412"/>
        <v>361074</v>
      </c>
      <c r="Z138" s="248">
        <f t="shared" ref="Z138:AA138" si="413">Z128+Z132+Z135+Z136+Z137</f>
        <v>373483</v>
      </c>
      <c r="AA138" s="248">
        <f t="shared" si="413"/>
        <v>390190</v>
      </c>
      <c r="AB138" s="248">
        <f t="shared" ref="AB138:AC138" si="414">AB128+AB132+AB135+AB136+AB137</f>
        <v>402608</v>
      </c>
      <c r="AC138" s="248">
        <f t="shared" si="414"/>
        <v>426071</v>
      </c>
      <c r="AD138" s="248">
        <f t="shared" ref="AD138:AE138" si="415">AD128+AD132+AD135+AD136+AD137</f>
        <v>454670</v>
      </c>
      <c r="AE138" s="267">
        <f t="shared" si="415"/>
        <v>497083</v>
      </c>
      <c r="AF138" s="248">
        <f t="shared" ref="AF138:AG138" si="416">AF158</f>
        <v>536300</v>
      </c>
      <c r="AG138" s="248">
        <f t="shared" si="416"/>
        <v>575800</v>
      </c>
      <c r="AH138" s="248">
        <f t="shared" ref="AH138:AI138" si="417">AH158</f>
        <v>614900</v>
      </c>
      <c r="AI138" s="248">
        <f t="shared" si="417"/>
        <v>653400</v>
      </c>
      <c r="AJ138" s="248">
        <f t="shared" ref="AJ138" si="418">AJ158</f>
        <v>692600</v>
      </c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</row>
    <row r="139" spans="1:46">
      <c r="A139" s="229"/>
      <c r="B139" s="23" t="s">
        <v>28</v>
      </c>
      <c r="C139" s="23"/>
      <c r="D139" s="233"/>
      <c r="E139" s="233"/>
      <c r="F139" s="233"/>
      <c r="G139" s="233"/>
      <c r="H139" s="233"/>
      <c r="I139" s="233"/>
      <c r="J139" s="233"/>
      <c r="K139" s="233"/>
      <c r="L139" s="233"/>
      <c r="M139" s="233"/>
      <c r="N139" s="233"/>
      <c r="O139" s="233"/>
      <c r="P139" s="233"/>
      <c r="Q139" s="233"/>
      <c r="R139" s="233"/>
      <c r="S139" s="233"/>
      <c r="T139" s="233"/>
      <c r="U139" s="233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30"/>
      <c r="AF139" s="329"/>
      <c r="AG139" s="329"/>
      <c r="AH139" s="329"/>
      <c r="AI139" s="329"/>
      <c r="AJ139" s="329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</row>
    <row r="140" spans="1:46">
      <c r="A140" s="229"/>
      <c r="B140" s="233" t="s">
        <v>60</v>
      </c>
      <c r="C140" s="233" t="s">
        <v>59</v>
      </c>
      <c r="D140" s="242">
        <f>'Raw Data'!D141</f>
        <v>0</v>
      </c>
      <c r="E140" s="242">
        <f>'Raw Data'!E141</f>
        <v>22246</v>
      </c>
      <c r="F140" s="242">
        <f>'Raw Data'!F141</f>
        <v>21732</v>
      </c>
      <c r="G140" s="242">
        <f>'Raw Data'!G141</f>
        <v>20509</v>
      </c>
      <c r="H140" s="242">
        <f>'Raw Data'!H141</f>
        <v>21055</v>
      </c>
      <c r="I140" s="242">
        <f>'Raw Data'!I141</f>
        <v>21363</v>
      </c>
      <c r="J140" s="242">
        <f>'Raw Data'!J141</f>
        <v>18920</v>
      </c>
      <c r="K140" s="242">
        <f>'Raw Data'!K141</f>
        <v>19613</v>
      </c>
      <c r="L140" s="242">
        <f>'Raw Data'!L141</f>
        <v>18918</v>
      </c>
      <c r="M140" s="242">
        <f>'Raw Data'!M141</f>
        <v>18866</v>
      </c>
      <c r="N140" s="242">
        <f>'Raw Data'!N141</f>
        <v>19999</v>
      </c>
      <c r="O140" s="242">
        <f>'Raw Data'!O141</f>
        <v>19204</v>
      </c>
      <c r="P140" s="242">
        <f>'Raw Data'!P141</f>
        <v>19653</v>
      </c>
      <c r="Q140" s="233">
        <f>'Raw Data'!Q141</f>
        <v>20439</v>
      </c>
      <c r="R140" s="233">
        <f>'Raw Data'!R141</f>
        <v>18697</v>
      </c>
      <c r="S140" s="233">
        <f>'Raw Data'!S141</f>
        <v>18904</v>
      </c>
      <c r="T140" s="233">
        <f>'Raw Data'!T141</f>
        <v>21997</v>
      </c>
      <c r="U140" s="233">
        <f>'Raw Data'!U141</f>
        <v>21711</v>
      </c>
      <c r="V140" s="233">
        <f>'Raw Data'!V141</f>
        <v>24331</v>
      </c>
      <c r="W140" s="233">
        <f>'Raw Data'!W141</f>
        <v>24770</v>
      </c>
      <c r="X140" s="233">
        <f>'Raw Data'!X141</f>
        <v>23975</v>
      </c>
      <c r="Y140" s="233">
        <f>'Raw Data'!Y141</f>
        <v>24339</v>
      </c>
      <c r="Z140" s="233">
        <f>'Raw Data'!Z141</f>
        <v>26036</v>
      </c>
      <c r="AA140" s="233">
        <f>'Raw Data'!AA141</f>
        <v>26320</v>
      </c>
      <c r="AB140" s="233">
        <f>'Raw Data'!AB141</f>
        <v>25531</v>
      </c>
      <c r="AC140" s="233">
        <f>'Raw Data'!AC141</f>
        <v>24825</v>
      </c>
      <c r="AD140" s="233">
        <f>'Raw Data'!AD141</f>
        <v>28452</v>
      </c>
      <c r="AE140" s="244">
        <f>'Raw Data'!AE141</f>
        <v>32320</v>
      </c>
      <c r="AF140" s="1656">
        <f>ROUND(AE140*AF$14/AE$14*1,-2)</f>
        <v>35600</v>
      </c>
      <c r="AG140" s="1656">
        <f>ROUND(AF140*AG$14/AF$14*1,-2)</f>
        <v>36800</v>
      </c>
      <c r="AH140" s="1656">
        <f t="shared" ref="AH140:AJ140" si="419">ROUND(AG140*AH$14/AG$14*1,-2)</f>
        <v>37900</v>
      </c>
      <c r="AI140" s="1656">
        <f t="shared" si="419"/>
        <v>39100</v>
      </c>
      <c r="AJ140" s="1656">
        <f t="shared" si="419"/>
        <v>40200</v>
      </c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</row>
    <row r="141" spans="1:46">
      <c r="A141" s="229"/>
      <c r="B141" s="233" t="s">
        <v>101</v>
      </c>
      <c r="C141" s="233" t="s">
        <v>99</v>
      </c>
      <c r="D141" s="242">
        <f>'Raw Data'!D145</f>
        <v>0</v>
      </c>
      <c r="E141" s="242">
        <f>'Raw Data'!E145</f>
        <v>26116</v>
      </c>
      <c r="F141" s="242">
        <f>'Raw Data'!F145</f>
        <v>39190</v>
      </c>
      <c r="G141" s="242">
        <f>'Raw Data'!G145</f>
        <v>21267</v>
      </c>
      <c r="H141" s="242">
        <f>'Raw Data'!H145</f>
        <v>29499</v>
      </c>
      <c r="I141" s="242">
        <f>'Raw Data'!I145</f>
        <v>47559</v>
      </c>
      <c r="J141" s="242">
        <f>'Raw Data'!J145</f>
        <v>15667</v>
      </c>
      <c r="K141" s="242">
        <f>'Raw Data'!K145</f>
        <v>12818</v>
      </c>
      <c r="L141" s="242">
        <f>'Raw Data'!L145</f>
        <v>8599</v>
      </c>
      <c r="M141" s="242">
        <f>'Raw Data'!M145</f>
        <v>23917</v>
      </c>
      <c r="N141" s="242">
        <f>'Raw Data'!N145</f>
        <v>1798</v>
      </c>
      <c r="O141" s="242">
        <f>'Raw Data'!O145</f>
        <v>13172</v>
      </c>
      <c r="P141" s="242">
        <f>'Raw Data'!P145</f>
        <v>1583</v>
      </c>
      <c r="Q141" s="233">
        <f>'Raw Data'!Q145</f>
        <v>1617</v>
      </c>
      <c r="R141" s="233">
        <f>'Raw Data'!R145</f>
        <v>1766</v>
      </c>
      <c r="S141" s="233">
        <f>'Raw Data'!S145</f>
        <v>1997</v>
      </c>
      <c r="T141" s="233">
        <f>'Raw Data'!T145</f>
        <v>337</v>
      </c>
      <c r="U141" s="233">
        <f>'Raw Data'!U145</f>
        <v>212</v>
      </c>
      <c r="V141" s="233">
        <f>'Raw Data'!V145</f>
        <v>286</v>
      </c>
      <c r="W141" s="233">
        <f>'Raw Data'!W145</f>
        <v>257</v>
      </c>
      <c r="X141" s="233">
        <f>'Raw Data'!X145</f>
        <v>304</v>
      </c>
      <c r="Y141" s="233">
        <f>'Raw Data'!Y145</f>
        <v>267</v>
      </c>
      <c r="Z141" s="233">
        <f>'Raw Data'!Z145</f>
        <v>285</v>
      </c>
      <c r="AA141" s="233">
        <f>'Raw Data'!AA145</f>
        <v>644</v>
      </c>
      <c r="AB141" s="233">
        <f>'Raw Data'!AB145</f>
        <v>324</v>
      </c>
      <c r="AC141" s="233">
        <f>'Raw Data'!AC145</f>
        <v>350</v>
      </c>
      <c r="AD141" s="233">
        <f>'Raw Data'!AD145</f>
        <v>378</v>
      </c>
      <c r="AE141" s="244">
        <f>'Raw Data'!AE145</f>
        <v>377</v>
      </c>
      <c r="AF141" s="1656">
        <f t="shared" ref="AF141:AG141" si="420">AF172</f>
        <v>400</v>
      </c>
      <c r="AG141" s="1656">
        <f t="shared" si="420"/>
        <v>400</v>
      </c>
      <c r="AH141" s="1656">
        <f t="shared" ref="AH141:AI141" si="421">AH172</f>
        <v>400</v>
      </c>
      <c r="AI141" s="1656">
        <f t="shared" si="421"/>
        <v>400</v>
      </c>
      <c r="AJ141" s="1656">
        <f t="shared" ref="AJ141" si="422">AJ172</f>
        <v>400</v>
      </c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</row>
    <row r="142" spans="1:46">
      <c r="A142" s="229"/>
      <c r="B142" s="233" t="s">
        <v>142</v>
      </c>
      <c r="C142" s="233" t="s">
        <v>141</v>
      </c>
      <c r="D142" s="242">
        <f>'Raw Data'!D149</f>
        <v>0</v>
      </c>
      <c r="E142" s="242">
        <f>'Raw Data'!E149</f>
        <v>20458</v>
      </c>
      <c r="F142" s="242">
        <f>'Raw Data'!F149</f>
        <v>13993</v>
      </c>
      <c r="G142" s="242">
        <f>'Raw Data'!G149</f>
        <v>18069</v>
      </c>
      <c r="H142" s="242">
        <f>'Raw Data'!H149</f>
        <v>18064</v>
      </c>
      <c r="I142" s="242">
        <f>'Raw Data'!I149</f>
        <v>21370</v>
      </c>
      <c r="J142" s="242">
        <f>'Raw Data'!J149</f>
        <v>21973</v>
      </c>
      <c r="K142" s="242">
        <f>'Raw Data'!K149</f>
        <v>22988</v>
      </c>
      <c r="L142" s="242">
        <f>'Raw Data'!L149</f>
        <v>21062</v>
      </c>
      <c r="M142" s="242">
        <f>'Raw Data'!M149</f>
        <v>21718</v>
      </c>
      <c r="N142" s="242">
        <f>'Raw Data'!N149</f>
        <v>24776</v>
      </c>
      <c r="O142" s="242">
        <f>'Raw Data'!O149</f>
        <v>23080</v>
      </c>
      <c r="P142" s="242">
        <f>'Raw Data'!P149</f>
        <v>19982</v>
      </c>
      <c r="Q142" s="233">
        <f>'Raw Data'!Q149</f>
        <v>22473</v>
      </c>
      <c r="R142" s="233">
        <f>'Raw Data'!R149</f>
        <v>21476</v>
      </c>
      <c r="S142" s="233">
        <f>'Raw Data'!S149</f>
        <v>21094</v>
      </c>
      <c r="T142" s="233">
        <f>'Raw Data'!T149</f>
        <v>24531</v>
      </c>
      <c r="U142" s="233">
        <f>'Raw Data'!U149</f>
        <v>25244</v>
      </c>
      <c r="V142" s="233">
        <f>'Raw Data'!V149</f>
        <v>26052</v>
      </c>
      <c r="W142" s="233">
        <f>'Raw Data'!W149</f>
        <v>22833</v>
      </c>
      <c r="X142" s="233">
        <f>'Raw Data'!X149</f>
        <v>26210</v>
      </c>
      <c r="Y142" s="233">
        <f>'Raw Data'!Y149</f>
        <v>25613</v>
      </c>
      <c r="Z142" s="233">
        <f>'Raw Data'!Z149</f>
        <v>26758</v>
      </c>
      <c r="AA142" s="233">
        <f>'Raw Data'!AA149</f>
        <v>26906</v>
      </c>
      <c r="AB142" s="233">
        <f>'Raw Data'!AB149</f>
        <v>30801</v>
      </c>
      <c r="AC142" s="233">
        <f>'Raw Data'!AC149</f>
        <v>30095</v>
      </c>
      <c r="AD142" s="233">
        <f>'Raw Data'!AD149</f>
        <v>30208</v>
      </c>
      <c r="AE142" s="244">
        <f>'Raw Data'!AE149</f>
        <v>31951</v>
      </c>
      <c r="AF142" s="1656">
        <f>ROUND(AE142,-2)</f>
        <v>32000</v>
      </c>
      <c r="AG142" s="1656">
        <f t="shared" ref="AG142:AJ142" si="423">ROUND(AF142,-2)</f>
        <v>32000</v>
      </c>
      <c r="AH142" s="1656">
        <f t="shared" si="423"/>
        <v>32000</v>
      </c>
      <c r="AI142" s="1656">
        <f t="shared" si="423"/>
        <v>32000</v>
      </c>
      <c r="AJ142" s="1656">
        <f t="shared" si="423"/>
        <v>32000</v>
      </c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</row>
    <row r="143" spans="1:46">
      <c r="A143" s="229"/>
      <c r="B143" s="169" t="s">
        <v>140</v>
      </c>
      <c r="C143" s="169" t="s">
        <v>139</v>
      </c>
      <c r="D143" s="169">
        <f t="shared" ref="D143:U143" si="424">SUM(D140+D141+D142)</f>
        <v>0</v>
      </c>
      <c r="E143" s="169">
        <f t="shared" si="424"/>
        <v>68820</v>
      </c>
      <c r="F143" s="169">
        <f t="shared" si="424"/>
        <v>74915</v>
      </c>
      <c r="G143" s="169">
        <f t="shared" si="424"/>
        <v>59845</v>
      </c>
      <c r="H143" s="169">
        <f t="shared" si="424"/>
        <v>68618</v>
      </c>
      <c r="I143" s="169">
        <f t="shared" si="424"/>
        <v>90292</v>
      </c>
      <c r="J143" s="169">
        <f t="shared" si="424"/>
        <v>56560</v>
      </c>
      <c r="K143" s="169">
        <f t="shared" si="424"/>
        <v>55419</v>
      </c>
      <c r="L143" s="169">
        <f t="shared" si="424"/>
        <v>48579</v>
      </c>
      <c r="M143" s="169">
        <f t="shared" si="424"/>
        <v>64501</v>
      </c>
      <c r="N143" s="169">
        <f t="shared" si="424"/>
        <v>46573</v>
      </c>
      <c r="O143" s="169">
        <f t="shared" si="424"/>
        <v>55456</v>
      </c>
      <c r="P143" s="169">
        <f t="shared" si="424"/>
        <v>41218</v>
      </c>
      <c r="Q143" s="169">
        <f t="shared" si="424"/>
        <v>44529</v>
      </c>
      <c r="R143" s="169">
        <f t="shared" si="424"/>
        <v>41939</v>
      </c>
      <c r="S143" s="169">
        <f t="shared" si="424"/>
        <v>41995</v>
      </c>
      <c r="T143" s="169">
        <f t="shared" si="424"/>
        <v>46865</v>
      </c>
      <c r="U143" s="169">
        <f t="shared" si="424"/>
        <v>47167</v>
      </c>
      <c r="V143" s="169">
        <f t="shared" ref="V143:W143" si="425">SUM(V140+V141+V142)</f>
        <v>50669</v>
      </c>
      <c r="W143" s="169">
        <f t="shared" si="425"/>
        <v>47860</v>
      </c>
      <c r="X143" s="169">
        <f t="shared" ref="X143:Y143" si="426">SUM(X140+X141+X142)</f>
        <v>50489</v>
      </c>
      <c r="Y143" s="248">
        <f t="shared" si="426"/>
        <v>50219</v>
      </c>
      <c r="Z143" s="248">
        <f t="shared" ref="Z143:AA143" si="427">SUM(Z140+Z141+Z142)</f>
        <v>53079</v>
      </c>
      <c r="AA143" s="248">
        <f t="shared" si="427"/>
        <v>53870</v>
      </c>
      <c r="AB143" s="248">
        <f t="shared" ref="AB143:AC143" si="428">SUM(AB140+AB141+AB142)</f>
        <v>56656</v>
      </c>
      <c r="AC143" s="248">
        <f t="shared" si="428"/>
        <v>55270</v>
      </c>
      <c r="AD143" s="248">
        <f t="shared" ref="AD143:AE143" si="429">SUM(AD140+AD141+AD142)</f>
        <v>59038</v>
      </c>
      <c r="AE143" s="267">
        <f t="shared" si="429"/>
        <v>64648</v>
      </c>
      <c r="AF143" s="248">
        <f t="shared" ref="AF143:AG143" si="430">SUM(AF140+AF141+AF142)</f>
        <v>68000</v>
      </c>
      <c r="AG143" s="248">
        <f t="shared" si="430"/>
        <v>69200</v>
      </c>
      <c r="AH143" s="248">
        <f t="shared" ref="AH143:AI143" si="431">SUM(AH140+AH141+AH142)</f>
        <v>70300</v>
      </c>
      <c r="AI143" s="248">
        <f t="shared" si="431"/>
        <v>71500</v>
      </c>
      <c r="AJ143" s="248">
        <f t="shared" ref="AJ143" si="432">SUM(AJ140+AJ141+AJ142)</f>
        <v>72600</v>
      </c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</row>
    <row r="144" spans="1:46">
      <c r="A144" s="229"/>
      <c r="B144" s="23" t="s">
        <v>28</v>
      </c>
      <c r="C144" s="2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  <c r="AA144" s="233"/>
      <c r="AB144" s="233"/>
      <c r="AC144" s="233"/>
      <c r="AD144" s="233"/>
      <c r="AE144" s="244"/>
      <c r="AF144" s="233"/>
      <c r="AG144" s="233"/>
      <c r="AH144" s="233"/>
      <c r="AI144" s="233"/>
      <c r="AJ144" s="23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</row>
    <row r="145" spans="1:46">
      <c r="A145" s="229"/>
      <c r="B145" s="233" t="s">
        <v>96</v>
      </c>
      <c r="C145" s="233" t="s">
        <v>95</v>
      </c>
      <c r="D145" s="242">
        <f>'Raw Data'!D157</f>
        <v>0</v>
      </c>
      <c r="E145" s="242">
        <f>'Raw Data'!E157</f>
        <v>49748</v>
      </c>
      <c r="F145" s="242">
        <f>'Raw Data'!F157</f>
        <v>48743</v>
      </c>
      <c r="G145" s="242">
        <f>'Raw Data'!G157</f>
        <v>56593</v>
      </c>
      <c r="H145" s="242">
        <f>'Raw Data'!H157</f>
        <v>45469</v>
      </c>
      <c r="I145" s="242">
        <f>'Raw Data'!I157</f>
        <v>34466</v>
      </c>
      <c r="J145" s="242">
        <f>'Raw Data'!J157</f>
        <v>32865</v>
      </c>
      <c r="K145" s="242">
        <f>'Raw Data'!K157</f>
        <v>31480</v>
      </c>
      <c r="L145" s="242">
        <f>'Raw Data'!L157</f>
        <v>31240</v>
      </c>
      <c r="M145" s="242">
        <f>'Raw Data'!M157</f>
        <v>10680</v>
      </c>
      <c r="N145" s="242">
        <f>'Raw Data'!N157</f>
        <v>10487</v>
      </c>
      <c r="O145" s="242">
        <f>'Raw Data'!O157</f>
        <v>341</v>
      </c>
      <c r="P145" s="242">
        <f>'Raw Data'!P157</f>
        <v>198</v>
      </c>
      <c r="Q145" s="233">
        <f>'Raw Data'!Q157</f>
        <v>116</v>
      </c>
      <c r="R145" s="233">
        <f>'Raw Data'!R157</f>
        <v>64</v>
      </c>
      <c r="S145" s="233">
        <f>'Raw Data'!S157</f>
        <v>12</v>
      </c>
      <c r="T145" s="233">
        <f>'Raw Data'!T157</f>
        <v>0</v>
      </c>
      <c r="U145" s="233">
        <f>'Raw Data'!U157</f>
        <v>0</v>
      </c>
      <c r="V145" s="233">
        <f>'Raw Data'!V157</f>
        <v>30</v>
      </c>
      <c r="W145" s="233">
        <f>'Raw Data'!W157</f>
        <v>0</v>
      </c>
      <c r="X145" s="233">
        <f>'Raw Data'!X157</f>
        <v>0</v>
      </c>
      <c r="Y145" s="233">
        <f>'Raw Data'!Y157</f>
        <v>0</v>
      </c>
      <c r="Z145" s="233">
        <f>'Raw Data'!Z157</f>
        <v>0</v>
      </c>
      <c r="AA145" s="233">
        <f>'Raw Data'!AA157</f>
        <v>0</v>
      </c>
      <c r="AB145" s="233">
        <f>'Raw Data'!AB157</f>
        <v>0</v>
      </c>
      <c r="AC145" s="233">
        <f>'Raw Data'!AC157</f>
        <v>0</v>
      </c>
      <c r="AD145" s="233">
        <f>'Raw Data'!AD157</f>
        <v>0</v>
      </c>
      <c r="AE145" s="244">
        <f>'Raw Data'!AE157</f>
        <v>0</v>
      </c>
      <c r="AF145" s="233">
        <v>0</v>
      </c>
      <c r="AG145" s="233">
        <v>0</v>
      </c>
      <c r="AH145" s="233">
        <v>0</v>
      </c>
      <c r="AI145" s="233">
        <v>0</v>
      </c>
      <c r="AJ145" s="233">
        <v>0</v>
      </c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</row>
    <row r="146" spans="1:46">
      <c r="A146" s="229"/>
      <c r="B146" s="233" t="s">
        <v>138</v>
      </c>
      <c r="C146" s="233" t="s">
        <v>137</v>
      </c>
      <c r="D146" s="242">
        <f>'Raw Data'!D161</f>
        <v>0</v>
      </c>
      <c r="E146" s="242">
        <f>'Raw Data'!E161</f>
        <v>9555</v>
      </c>
      <c r="F146" s="242">
        <f>'Raw Data'!F161</f>
        <v>9892</v>
      </c>
      <c r="G146" s="242">
        <f>'Raw Data'!G161</f>
        <v>9791</v>
      </c>
      <c r="H146" s="242">
        <f>'Raw Data'!H161</f>
        <v>13477</v>
      </c>
      <c r="I146" s="242">
        <f>'Raw Data'!I161</f>
        <v>23701</v>
      </c>
      <c r="J146" s="242">
        <f>'Raw Data'!J161</f>
        <v>26167</v>
      </c>
      <c r="K146" s="242">
        <f>'Raw Data'!K161</f>
        <v>24243</v>
      </c>
      <c r="L146" s="242">
        <f>'Raw Data'!L161</f>
        <v>22951</v>
      </c>
      <c r="M146" s="242">
        <f>'Raw Data'!M161</f>
        <v>13639</v>
      </c>
      <c r="N146" s="242">
        <f>'Raw Data'!N161</f>
        <v>21833</v>
      </c>
      <c r="O146" s="242">
        <f>'Raw Data'!O161</f>
        <v>16554</v>
      </c>
      <c r="P146" s="242">
        <f>'Raw Data'!P161</f>
        <v>15527</v>
      </c>
      <c r="Q146" s="233">
        <f>'Raw Data'!Q161</f>
        <v>15348</v>
      </c>
      <c r="R146" s="233">
        <f>'Raw Data'!R161</f>
        <v>16951</v>
      </c>
      <c r="S146" s="233">
        <f>'Raw Data'!S161</f>
        <v>17718</v>
      </c>
      <c r="T146" s="233">
        <f>'Raw Data'!T161</f>
        <v>17884</v>
      </c>
      <c r="U146" s="233">
        <f>'Raw Data'!U161</f>
        <v>18550</v>
      </c>
      <c r="V146" s="233">
        <f>'Raw Data'!V161</f>
        <v>21152</v>
      </c>
      <c r="W146" s="233">
        <f>'Raw Data'!W161</f>
        <v>26124</v>
      </c>
      <c r="X146" s="233">
        <f>'Raw Data'!X161</f>
        <v>28707</v>
      </c>
      <c r="Y146" s="233">
        <f>'Raw Data'!Y161</f>
        <v>29060</v>
      </c>
      <c r="Z146" s="233">
        <f>'Raw Data'!Z161</f>
        <v>29523</v>
      </c>
      <c r="AA146" s="233">
        <f>'Raw Data'!AA161</f>
        <v>28593</v>
      </c>
      <c r="AB146" s="233">
        <f>'Raw Data'!AB161</f>
        <v>27960</v>
      </c>
      <c r="AC146" s="233">
        <f>'Raw Data'!AC161</f>
        <v>27484</v>
      </c>
      <c r="AD146" s="233">
        <f>'Raw Data'!AD161</f>
        <v>28489</v>
      </c>
      <c r="AE146" s="244">
        <f>'Raw Data'!AE161</f>
        <v>27687</v>
      </c>
      <c r="AF146" s="1656">
        <f>ROUND(AE146,-2)</f>
        <v>27700</v>
      </c>
      <c r="AG146" s="1656">
        <f t="shared" ref="AG146:AJ146" si="433">ROUND(AF146,-2)</f>
        <v>27700</v>
      </c>
      <c r="AH146" s="1656">
        <f t="shared" si="433"/>
        <v>27700</v>
      </c>
      <c r="AI146" s="1656">
        <f t="shared" si="433"/>
        <v>27700</v>
      </c>
      <c r="AJ146" s="1656">
        <f t="shared" si="433"/>
        <v>27700</v>
      </c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</row>
    <row r="147" spans="1:46">
      <c r="A147" s="255"/>
      <c r="B147" s="169" t="s">
        <v>136</v>
      </c>
      <c r="C147" s="169" t="s">
        <v>135</v>
      </c>
      <c r="D147" s="169">
        <f t="shared" ref="D147:U147" si="434">SUM(D145+D146)</f>
        <v>0</v>
      </c>
      <c r="E147" s="169">
        <f t="shared" si="434"/>
        <v>59303</v>
      </c>
      <c r="F147" s="169">
        <f t="shared" si="434"/>
        <v>58635</v>
      </c>
      <c r="G147" s="169">
        <f t="shared" si="434"/>
        <v>66384</v>
      </c>
      <c r="H147" s="169">
        <f t="shared" si="434"/>
        <v>58946</v>
      </c>
      <c r="I147" s="169">
        <f t="shared" si="434"/>
        <v>58167</v>
      </c>
      <c r="J147" s="169">
        <f t="shared" si="434"/>
        <v>59032</v>
      </c>
      <c r="K147" s="169">
        <f t="shared" si="434"/>
        <v>55723</v>
      </c>
      <c r="L147" s="169">
        <f t="shared" si="434"/>
        <v>54191</v>
      </c>
      <c r="M147" s="169">
        <f t="shared" si="434"/>
        <v>24319</v>
      </c>
      <c r="N147" s="169">
        <f t="shared" si="434"/>
        <v>32320</v>
      </c>
      <c r="O147" s="169">
        <f t="shared" si="434"/>
        <v>16895</v>
      </c>
      <c r="P147" s="169">
        <f t="shared" si="434"/>
        <v>15725</v>
      </c>
      <c r="Q147" s="169">
        <f t="shared" si="434"/>
        <v>15464</v>
      </c>
      <c r="R147" s="169">
        <f t="shared" si="434"/>
        <v>17015</v>
      </c>
      <c r="S147" s="169">
        <f t="shared" si="434"/>
        <v>17730</v>
      </c>
      <c r="T147" s="169">
        <f t="shared" si="434"/>
        <v>17884</v>
      </c>
      <c r="U147" s="169">
        <f t="shared" si="434"/>
        <v>18550</v>
      </c>
      <c r="V147" s="169">
        <f t="shared" ref="V147:W147" si="435">SUM(V145+V146)</f>
        <v>21182</v>
      </c>
      <c r="W147" s="169">
        <f t="shared" si="435"/>
        <v>26124</v>
      </c>
      <c r="X147" s="169">
        <f t="shared" ref="X147:Y147" si="436">SUM(X145+X146)</f>
        <v>28707</v>
      </c>
      <c r="Y147" s="248">
        <f t="shared" si="436"/>
        <v>29060</v>
      </c>
      <c r="Z147" s="248">
        <f t="shared" ref="Z147:AA147" si="437">SUM(Z145+Z146)</f>
        <v>29523</v>
      </c>
      <c r="AA147" s="248">
        <f t="shared" si="437"/>
        <v>28593</v>
      </c>
      <c r="AB147" s="248">
        <f t="shared" ref="AB147:AC147" si="438">SUM(AB145+AB146)</f>
        <v>27960</v>
      </c>
      <c r="AC147" s="248">
        <f t="shared" si="438"/>
        <v>27484</v>
      </c>
      <c r="AD147" s="248">
        <f t="shared" ref="AD147:AE147" si="439">SUM(AD145+AD146)</f>
        <v>28489</v>
      </c>
      <c r="AE147" s="267">
        <f t="shared" si="439"/>
        <v>27687</v>
      </c>
      <c r="AF147" s="248">
        <f t="shared" ref="AF147:AG147" si="440">SUM(AF145+AF146)</f>
        <v>27700</v>
      </c>
      <c r="AG147" s="248">
        <f t="shared" si="440"/>
        <v>27700</v>
      </c>
      <c r="AH147" s="248">
        <f t="shared" ref="AH147:AI147" si="441">SUM(AH145+AH146)</f>
        <v>27700</v>
      </c>
      <c r="AI147" s="248">
        <f t="shared" si="441"/>
        <v>27700</v>
      </c>
      <c r="AJ147" s="248">
        <f t="shared" ref="AJ147" si="442">SUM(AJ145+AJ146)</f>
        <v>27700</v>
      </c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</row>
    <row r="148" spans="1:46">
      <c r="A148" s="255"/>
      <c r="B148" s="169" t="s">
        <v>134</v>
      </c>
      <c r="C148" s="169" t="s">
        <v>133</v>
      </c>
      <c r="D148" s="169">
        <f t="shared" ref="D148:U148" si="443">IF(ISNUMBER(D147),D147+D143," ")</f>
        <v>0</v>
      </c>
      <c r="E148" s="169">
        <f t="shared" si="443"/>
        <v>128123</v>
      </c>
      <c r="F148" s="169">
        <f t="shared" si="443"/>
        <v>133550</v>
      </c>
      <c r="G148" s="169">
        <f t="shared" si="443"/>
        <v>126229</v>
      </c>
      <c r="H148" s="169">
        <f t="shared" si="443"/>
        <v>127564</v>
      </c>
      <c r="I148" s="169">
        <f t="shared" si="443"/>
        <v>148459</v>
      </c>
      <c r="J148" s="169">
        <f t="shared" si="443"/>
        <v>115592</v>
      </c>
      <c r="K148" s="169">
        <f t="shared" si="443"/>
        <v>111142</v>
      </c>
      <c r="L148" s="169">
        <f t="shared" si="443"/>
        <v>102770</v>
      </c>
      <c r="M148" s="169">
        <f t="shared" si="443"/>
        <v>88820</v>
      </c>
      <c r="N148" s="169">
        <f t="shared" si="443"/>
        <v>78893</v>
      </c>
      <c r="O148" s="169">
        <f t="shared" si="443"/>
        <v>72351</v>
      </c>
      <c r="P148" s="169">
        <f t="shared" si="443"/>
        <v>56943</v>
      </c>
      <c r="Q148" s="169">
        <f t="shared" si="443"/>
        <v>59993</v>
      </c>
      <c r="R148" s="169">
        <f t="shared" si="443"/>
        <v>58954</v>
      </c>
      <c r="S148" s="169">
        <f t="shared" si="443"/>
        <v>59725</v>
      </c>
      <c r="T148" s="169">
        <f t="shared" si="443"/>
        <v>64749</v>
      </c>
      <c r="U148" s="169">
        <f t="shared" si="443"/>
        <v>65717</v>
      </c>
      <c r="V148" s="169">
        <f t="shared" ref="V148:W148" si="444">IF(ISNUMBER(V147),V147+V143," ")</f>
        <v>71851</v>
      </c>
      <c r="W148" s="169">
        <f t="shared" si="444"/>
        <v>73984</v>
      </c>
      <c r="X148" s="169">
        <f t="shared" ref="X148:Y148" si="445">IF(ISNUMBER(X147),X147+X143," ")</f>
        <v>79196</v>
      </c>
      <c r="Y148" s="248">
        <f t="shared" si="445"/>
        <v>79279</v>
      </c>
      <c r="Z148" s="248">
        <f t="shared" ref="Z148:AA148" si="446">IF(ISNUMBER(Z147),Z147+Z143," ")</f>
        <v>82602</v>
      </c>
      <c r="AA148" s="248">
        <f t="shared" si="446"/>
        <v>82463</v>
      </c>
      <c r="AB148" s="248">
        <f t="shared" ref="AB148:AC148" si="447">IF(ISNUMBER(AB147),AB147+AB143," ")</f>
        <v>84616</v>
      </c>
      <c r="AC148" s="248">
        <f t="shared" si="447"/>
        <v>82754</v>
      </c>
      <c r="AD148" s="248">
        <f t="shared" ref="AD148:AE148" si="448">IF(ISNUMBER(AD147),AD147+AD143," ")</f>
        <v>87527</v>
      </c>
      <c r="AE148" s="267">
        <f t="shared" si="448"/>
        <v>92335</v>
      </c>
      <c r="AF148" s="248">
        <f t="shared" ref="AF148:AG148" si="449">+AF147+AF143</f>
        <v>95700</v>
      </c>
      <c r="AG148" s="248">
        <f t="shared" si="449"/>
        <v>96900</v>
      </c>
      <c r="AH148" s="248">
        <f t="shared" ref="AH148:AI148" si="450">+AH147+AH143</f>
        <v>98000</v>
      </c>
      <c r="AI148" s="248">
        <f t="shared" si="450"/>
        <v>99200</v>
      </c>
      <c r="AJ148" s="248">
        <f t="shared" ref="AJ148" si="451">+AJ147+AJ143</f>
        <v>100300</v>
      </c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</row>
    <row r="149" spans="1:46">
      <c r="A149" s="255"/>
      <c r="B149" s="114" t="s">
        <v>28</v>
      </c>
      <c r="C149" s="114"/>
      <c r="D149" s="168"/>
      <c r="E149" s="168"/>
      <c r="F149" s="168"/>
      <c r="G149" s="168"/>
      <c r="H149" s="168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246"/>
      <c r="AF149" s="168"/>
      <c r="AG149" s="168"/>
      <c r="AH149" s="168"/>
      <c r="AI149" s="168"/>
      <c r="AJ149" s="168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</row>
    <row r="150" spans="1:46">
      <c r="A150" s="229"/>
      <c r="B150" s="233" t="s">
        <v>132</v>
      </c>
      <c r="C150" s="233" t="s">
        <v>131</v>
      </c>
      <c r="D150" s="242">
        <f>'Raw Data'!D169</f>
        <v>0</v>
      </c>
      <c r="E150" s="242">
        <f>'Raw Data'!E169</f>
        <v>0</v>
      </c>
      <c r="F150" s="242">
        <f>'Raw Data'!F169</f>
        <v>0</v>
      </c>
      <c r="G150" s="242">
        <f>'Raw Data'!G169</f>
        <v>0</v>
      </c>
      <c r="H150" s="242">
        <f>'Raw Data'!H169</f>
        <v>0</v>
      </c>
      <c r="I150" s="242">
        <f>'Raw Data'!I169</f>
        <v>0</v>
      </c>
      <c r="J150" s="242">
        <f>'Raw Data'!J169</f>
        <v>0</v>
      </c>
      <c r="K150" s="242">
        <f>'Raw Data'!K169</f>
        <v>0</v>
      </c>
      <c r="L150" s="242">
        <f>'Raw Data'!L169</f>
        <v>0</v>
      </c>
      <c r="M150" s="242">
        <f>'Raw Data'!M169</f>
        <v>0</v>
      </c>
      <c r="N150" s="242">
        <f>'Raw Data'!N169</f>
        <v>0</v>
      </c>
      <c r="O150" s="242">
        <f>'Raw Data'!O169</f>
        <v>0</v>
      </c>
      <c r="P150" s="242">
        <f>'Raw Data'!P169</f>
        <v>0</v>
      </c>
      <c r="Q150" s="233">
        <f>'Raw Data'!Q169</f>
        <v>0</v>
      </c>
      <c r="R150" s="233">
        <f>'Raw Data'!R169</f>
        <v>0</v>
      </c>
      <c r="S150" s="233">
        <f>'Raw Data'!S169</f>
        <v>0</v>
      </c>
      <c r="T150" s="233">
        <f>'Raw Data'!T169</f>
        <v>0</v>
      </c>
      <c r="U150" s="233">
        <f>'Raw Data'!U169</f>
        <v>0</v>
      </c>
      <c r="V150" s="233">
        <f>'Raw Data'!V169</f>
        <v>0</v>
      </c>
      <c r="W150" s="233">
        <f>'Raw Data'!W169</f>
        <v>0</v>
      </c>
      <c r="X150" s="233">
        <f>'Raw Data'!X169</f>
        <v>0</v>
      </c>
      <c r="Y150" s="233">
        <f>'Raw Data'!Y169</f>
        <v>0</v>
      </c>
      <c r="Z150" s="233">
        <f>'Raw Data'!Z169</f>
        <v>0</v>
      </c>
      <c r="AA150" s="233">
        <f>'Raw Data'!AA169</f>
        <v>0</v>
      </c>
      <c r="AB150" s="233">
        <f>'Raw Data'!AB169</f>
        <v>0</v>
      </c>
      <c r="AC150" s="233">
        <f>'Raw Data'!AC169</f>
        <v>0</v>
      </c>
      <c r="AD150" s="233">
        <f>'Raw Data'!AD169</f>
        <v>0</v>
      </c>
      <c r="AE150" s="244">
        <f>'Raw Data'!AE169</f>
        <v>0</v>
      </c>
      <c r="AF150" s="280">
        <f t="shared" ref="AF150:AJ150" si="452">AE150</f>
        <v>0</v>
      </c>
      <c r="AG150" s="280">
        <f t="shared" si="452"/>
        <v>0</v>
      </c>
      <c r="AH150" s="280">
        <f t="shared" si="452"/>
        <v>0</v>
      </c>
      <c r="AI150" s="280">
        <f t="shared" si="452"/>
        <v>0</v>
      </c>
      <c r="AJ150" s="280">
        <f t="shared" si="452"/>
        <v>0</v>
      </c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</row>
    <row r="151" spans="1:46">
      <c r="A151" s="229"/>
      <c r="B151" s="233" t="s">
        <v>130</v>
      </c>
      <c r="C151" s="233" t="s">
        <v>129</v>
      </c>
      <c r="D151" s="242">
        <f>'Raw Data'!D173</f>
        <v>0</v>
      </c>
      <c r="E151" s="242">
        <f>'Raw Data'!E173</f>
        <v>39124</v>
      </c>
      <c r="F151" s="242">
        <f>'Raw Data'!F173</f>
        <v>39124</v>
      </c>
      <c r="G151" s="242">
        <f>'Raw Data'!G173</f>
        <v>39124</v>
      </c>
      <c r="H151" s="242">
        <f>'Raw Data'!H173</f>
        <v>39124</v>
      </c>
      <c r="I151" s="242">
        <f>'Raw Data'!I173</f>
        <v>39124</v>
      </c>
      <c r="J151" s="242">
        <f>'Raw Data'!J173</f>
        <v>39124</v>
      </c>
      <c r="K151" s="242">
        <f>'Raw Data'!K173</f>
        <v>39124</v>
      </c>
      <c r="L151" s="242">
        <f>'Raw Data'!L173</f>
        <v>39124</v>
      </c>
      <c r="M151" s="242">
        <f>'Raw Data'!M173</f>
        <v>39124</v>
      </c>
      <c r="N151" s="242">
        <f>'Raw Data'!N173</f>
        <v>39124</v>
      </c>
      <c r="O151" s="242">
        <f>'Raw Data'!O173</f>
        <v>40381</v>
      </c>
      <c r="P151" s="242">
        <f>'Raw Data'!P173</f>
        <v>40381</v>
      </c>
      <c r="Q151" s="233">
        <f>'Raw Data'!Q173</f>
        <v>40381</v>
      </c>
      <c r="R151" s="233">
        <f>'Raw Data'!R173</f>
        <v>41485</v>
      </c>
      <c r="S151" s="233">
        <f>'Raw Data'!S173</f>
        <v>41485</v>
      </c>
      <c r="T151" s="233">
        <f>'Raw Data'!T173</f>
        <v>41485</v>
      </c>
      <c r="U151" s="233">
        <f>'Raw Data'!U173</f>
        <v>41485</v>
      </c>
      <c r="V151" s="233">
        <f>'Raw Data'!V173</f>
        <v>41485</v>
      </c>
      <c r="W151" s="233">
        <f>'Raw Data'!W173</f>
        <v>41485</v>
      </c>
      <c r="X151" s="233">
        <f>'Raw Data'!X173</f>
        <v>41486</v>
      </c>
      <c r="Y151" s="233">
        <f>'Raw Data'!Y173</f>
        <v>41911</v>
      </c>
      <c r="Z151" s="233">
        <f>'Raw Data'!Z173</f>
        <v>41911</v>
      </c>
      <c r="AA151" s="233">
        <f>'Raw Data'!AA173</f>
        <v>41911</v>
      </c>
      <c r="AB151" s="233">
        <f>'Raw Data'!AB173</f>
        <v>41911</v>
      </c>
      <c r="AC151" s="233">
        <f>'Raw Data'!AC173</f>
        <v>41911</v>
      </c>
      <c r="AD151" s="233">
        <f>'Raw Data'!AD173</f>
        <v>41911</v>
      </c>
      <c r="AE151" s="244">
        <f>'Raw Data'!AE173</f>
        <v>41910</v>
      </c>
      <c r="AF151" s="233">
        <f>ROUND(AE151,-2)</f>
        <v>41900</v>
      </c>
      <c r="AG151" s="233">
        <f>ROUND(AF151,-2)</f>
        <v>41900</v>
      </c>
      <c r="AH151" s="233">
        <f t="shared" ref="AH151:AJ152" si="453">ROUND(AG151,-2)</f>
        <v>41900</v>
      </c>
      <c r="AI151" s="233">
        <f t="shared" si="453"/>
        <v>41900</v>
      </c>
      <c r="AJ151" s="233">
        <f t="shared" si="453"/>
        <v>41900</v>
      </c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</row>
    <row r="152" spans="1:46">
      <c r="A152" s="229"/>
      <c r="B152" s="233" t="s">
        <v>128</v>
      </c>
      <c r="C152" s="233" t="s">
        <v>127</v>
      </c>
      <c r="D152" s="331">
        <f>'Raw Data'!D177</f>
        <v>0</v>
      </c>
      <c r="E152" s="331">
        <f>'Raw Data'!E177</f>
        <v>-2</v>
      </c>
      <c r="F152" s="331">
        <f>'Raw Data'!F177</f>
        <v>-2</v>
      </c>
      <c r="G152" s="331">
        <f>'Raw Data'!G177</f>
        <v>-2</v>
      </c>
      <c r="H152" s="331">
        <f>'Raw Data'!H177</f>
        <v>-1032</v>
      </c>
      <c r="I152" s="331">
        <f>'Raw Data'!I177</f>
        <v>-4293</v>
      </c>
      <c r="J152" s="331">
        <f>'Raw Data'!J177</f>
        <v>-3957</v>
      </c>
      <c r="K152" s="331">
        <f>'Raw Data'!K177</f>
        <v>-1093</v>
      </c>
      <c r="L152" s="331">
        <f>'Raw Data'!L177</f>
        <v>-2853</v>
      </c>
      <c r="M152" s="331">
        <f>'Raw Data'!M177</f>
        <v>-2926</v>
      </c>
      <c r="N152" s="331">
        <f>'Raw Data'!N177</f>
        <v>-3049</v>
      </c>
      <c r="O152" s="331">
        <f>'Raw Data'!O177</f>
        <v>-6898</v>
      </c>
      <c r="P152" s="331">
        <f>'Raw Data'!P177</f>
        <v>-7001</v>
      </c>
      <c r="Q152" s="233">
        <f>'Raw Data'!Q177</f>
        <v>-7157</v>
      </c>
      <c r="R152" s="233">
        <f>'Raw Data'!R177</f>
        <v>-8086</v>
      </c>
      <c r="S152" s="233">
        <f>'Raw Data'!S177</f>
        <v>-8111</v>
      </c>
      <c r="T152" s="233">
        <f>'Raw Data'!T177</f>
        <v>-8129</v>
      </c>
      <c r="U152" s="233">
        <f>'Raw Data'!U177</f>
        <v>-8145</v>
      </c>
      <c r="V152" s="233">
        <f>'Raw Data'!V177</f>
        <v>-8207</v>
      </c>
      <c r="W152" s="233">
        <f>'Raw Data'!W177</f>
        <v>-8220</v>
      </c>
      <c r="X152" s="233">
        <f>'Raw Data'!X177</f>
        <v>-8225</v>
      </c>
      <c r="Y152" s="233">
        <f>'Raw Data'!Y177</f>
        <v>-8225</v>
      </c>
      <c r="Z152" s="233">
        <f>'Raw Data'!Z177</f>
        <v>-8227</v>
      </c>
      <c r="AA152" s="233">
        <f>'Raw Data'!AA177</f>
        <v>-8228</v>
      </c>
      <c r="AB152" s="233">
        <f>'Raw Data'!AB177</f>
        <v>-8230</v>
      </c>
      <c r="AC152" s="233">
        <f>'Raw Data'!AC177</f>
        <v>-8233</v>
      </c>
      <c r="AD152" s="233">
        <f>'Raw Data'!AD177</f>
        <v>-8234</v>
      </c>
      <c r="AE152" s="244">
        <f>'Raw Data'!AE177</f>
        <v>-8236</v>
      </c>
      <c r="AF152" s="233">
        <f>ROUND(AE152,-2)</f>
        <v>-8200</v>
      </c>
      <c r="AG152" s="233">
        <f>ROUND(AF152,-2)</f>
        <v>-8200</v>
      </c>
      <c r="AH152" s="233">
        <f t="shared" si="453"/>
        <v>-8200</v>
      </c>
      <c r="AI152" s="233">
        <f t="shared" si="453"/>
        <v>-8200</v>
      </c>
      <c r="AJ152" s="233">
        <f t="shared" si="453"/>
        <v>-8200</v>
      </c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</row>
    <row r="153" spans="1:46">
      <c r="A153" s="229"/>
      <c r="B153" s="233" t="s">
        <v>126</v>
      </c>
      <c r="C153" s="233" t="s">
        <v>125</v>
      </c>
      <c r="D153" s="242">
        <f>'Raw Data'!D171</f>
        <v>0</v>
      </c>
      <c r="E153" s="242">
        <f>'Raw Data'!E171</f>
        <v>54809</v>
      </c>
      <c r="F153" s="242">
        <f>'Raw Data'!F171</f>
        <v>54756</v>
      </c>
      <c r="G153" s="242">
        <f>'Raw Data'!G171</f>
        <v>54353</v>
      </c>
      <c r="H153" s="242">
        <f>'Raw Data'!H171</f>
        <v>58146</v>
      </c>
      <c r="I153" s="242">
        <f>'Raw Data'!I171</f>
        <v>57156</v>
      </c>
      <c r="J153" s="242">
        <f>'Raw Data'!J171</f>
        <v>62267</v>
      </c>
      <c r="K153" s="242">
        <f>'Raw Data'!K171</f>
        <v>68353</v>
      </c>
      <c r="L153" s="242">
        <f>'Raw Data'!L171</f>
        <v>75482</v>
      </c>
      <c r="M153" s="242">
        <f>'Raw Data'!M171</f>
        <v>86159</v>
      </c>
      <c r="N153" s="242">
        <f>'Raw Data'!N171</f>
        <v>98366</v>
      </c>
      <c r="O153" s="242">
        <f>'Raw Data'!O171</f>
        <v>101597</v>
      </c>
      <c r="P153" s="242">
        <f>'Raw Data'!P171</f>
        <v>110734</v>
      </c>
      <c r="Q153" s="233">
        <f>'Raw Data'!Q171</f>
        <v>121503</v>
      </c>
      <c r="R153" s="233">
        <f>'Raw Data'!R171</f>
        <v>136951</v>
      </c>
      <c r="S153" s="233">
        <f>'Raw Data'!S171</f>
        <v>144769</v>
      </c>
      <c r="T153" s="233">
        <f>'Raw Data'!T171</f>
        <v>158052</v>
      </c>
      <c r="U153" s="233">
        <f>'Raw Data'!U171</f>
        <v>171246</v>
      </c>
      <c r="V153" s="233">
        <f>'Raw Data'!V171</f>
        <v>189404</v>
      </c>
      <c r="W153" s="233">
        <f>'Raw Data'!W171</f>
        <v>200821</v>
      </c>
      <c r="X153" s="233">
        <f>'Raw Data'!X171</f>
        <v>213567</v>
      </c>
      <c r="Y153" s="233">
        <f>'Raw Data'!Y171</f>
        <v>228277</v>
      </c>
      <c r="Z153" s="233">
        <f>'Raw Data'!Z171</f>
        <v>240580</v>
      </c>
      <c r="AA153" s="233">
        <f>'Raw Data'!AA171</f>
        <v>252891</v>
      </c>
      <c r="AB153" s="233">
        <f>'Raw Data'!AB171</f>
        <v>268100</v>
      </c>
      <c r="AC153" s="233">
        <f>'Raw Data'!AC171</f>
        <v>289000</v>
      </c>
      <c r="AD153" s="233">
        <f>'Raw Data'!AD171</f>
        <v>302223</v>
      </c>
      <c r="AE153" s="244">
        <f>'Raw Data'!AE171</f>
        <v>326158</v>
      </c>
      <c r="AF153" s="233">
        <f>ROUND(AE153+AF76+AF84,-2)</f>
        <v>361700</v>
      </c>
      <c r="AG153" s="233">
        <f>ROUND(AF153+AG76+AG84,-2)</f>
        <v>399700</v>
      </c>
      <c r="AH153" s="233">
        <f t="shared" ref="AH153:AJ153" si="454">ROUND(AG153+AH76+AH84,-2)</f>
        <v>437400</v>
      </c>
      <c r="AI153" s="233">
        <f t="shared" si="454"/>
        <v>474400</v>
      </c>
      <c r="AJ153" s="233">
        <f t="shared" si="454"/>
        <v>512200</v>
      </c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</row>
    <row r="154" spans="1:46">
      <c r="A154" s="229"/>
      <c r="B154" s="233" t="s">
        <v>124</v>
      </c>
      <c r="C154" s="233" t="s">
        <v>123</v>
      </c>
      <c r="D154" s="242">
        <f>'Raw Data'!D179</f>
        <v>0</v>
      </c>
      <c r="E154" s="242">
        <f>'Raw Data'!E179</f>
        <v>0</v>
      </c>
      <c r="F154" s="242">
        <f>'Raw Data'!F179</f>
        <v>0</v>
      </c>
      <c r="G154" s="242">
        <f>'Raw Data'!G179</f>
        <v>0</v>
      </c>
      <c r="H154" s="242">
        <f>'Raw Data'!H179</f>
        <v>0</v>
      </c>
      <c r="I154" s="242">
        <f>'Raw Data'!I179</f>
        <v>0</v>
      </c>
      <c r="J154" s="242">
        <f>'Raw Data'!J179</f>
        <v>0</v>
      </c>
      <c r="K154" s="242">
        <f>'Raw Data'!K179</f>
        <v>0</v>
      </c>
      <c r="L154" s="242">
        <f>'Raw Data'!L179</f>
        <v>0</v>
      </c>
      <c r="M154" s="242">
        <f>'Raw Data'!M179</f>
        <v>0</v>
      </c>
      <c r="N154" s="242">
        <f>N155-N151-N152-N153</f>
        <v>0</v>
      </c>
      <c r="O154" s="242">
        <f>O155-O151-O152-O153</f>
        <v>1909</v>
      </c>
      <c r="P154" s="242">
        <f>'Raw Data'!P186</f>
        <v>-6337</v>
      </c>
      <c r="Q154" s="233">
        <f>'Raw Data'!Q186</f>
        <v>-7697</v>
      </c>
      <c r="R154" s="233">
        <f>'Raw Data'!R186</f>
        <v>-9340</v>
      </c>
      <c r="S154" s="233">
        <f>'Raw Data'!S186</f>
        <v>-15018</v>
      </c>
      <c r="T154" s="233">
        <f>'Raw Data'!T186</f>
        <v>-14895</v>
      </c>
      <c r="U154" s="233">
        <f>'Raw Data'!U186</f>
        <v>-5901</v>
      </c>
      <c r="V154" s="233">
        <f>'Raw Data'!V186</f>
        <v>883</v>
      </c>
      <c r="W154" s="233">
        <f>'Raw Data'!W186</f>
        <v>15622</v>
      </c>
      <c r="X154" s="233">
        <f>'Raw Data'!X186</f>
        <v>8599</v>
      </c>
      <c r="Y154" s="233">
        <f>'Raw Data'!Y186</f>
        <v>9235</v>
      </c>
      <c r="Z154" s="233">
        <f>'Raw Data'!Z186</f>
        <v>5642</v>
      </c>
      <c r="AA154" s="233">
        <f>'Raw Data'!AA186</f>
        <v>10063</v>
      </c>
      <c r="AB154" s="233">
        <f>'Raw Data'!AB186</f>
        <v>4866</v>
      </c>
      <c r="AC154" s="233">
        <f>'Raw Data'!AC186</f>
        <v>8780</v>
      </c>
      <c r="AD154" s="233">
        <f>'Raw Data'!AD186</f>
        <v>18981</v>
      </c>
      <c r="AE154" s="244">
        <f>'Raw Data'!AE186</f>
        <v>32343</v>
      </c>
      <c r="AF154" s="1656">
        <f>ROUND(AE154,-2)</f>
        <v>32300</v>
      </c>
      <c r="AG154" s="1656">
        <f t="shared" ref="AG154:AJ154" si="455">ROUND(AF154,-2)</f>
        <v>32300</v>
      </c>
      <c r="AH154" s="1656">
        <f t="shared" si="455"/>
        <v>32300</v>
      </c>
      <c r="AI154" s="1656">
        <f t="shared" si="455"/>
        <v>32300</v>
      </c>
      <c r="AJ154" s="1656">
        <f t="shared" si="455"/>
        <v>32300</v>
      </c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</row>
    <row r="155" spans="1:46">
      <c r="A155" s="229"/>
      <c r="B155" s="169" t="s">
        <v>122</v>
      </c>
      <c r="C155" s="169" t="s">
        <v>121</v>
      </c>
      <c r="D155" s="169">
        <f t="shared" ref="D155:M155" si="456">D151+D153+D154+D152</f>
        <v>0</v>
      </c>
      <c r="E155" s="169">
        <f t="shared" si="456"/>
        <v>93931</v>
      </c>
      <c r="F155" s="169">
        <f t="shared" si="456"/>
        <v>93878</v>
      </c>
      <c r="G155" s="169">
        <f t="shared" si="456"/>
        <v>93475</v>
      </c>
      <c r="H155" s="169">
        <f t="shared" si="456"/>
        <v>96238</v>
      </c>
      <c r="I155" s="169">
        <f t="shared" si="456"/>
        <v>91987</v>
      </c>
      <c r="J155" s="169">
        <f t="shared" si="456"/>
        <v>97434</v>
      </c>
      <c r="K155" s="169">
        <f t="shared" si="456"/>
        <v>106384</v>
      </c>
      <c r="L155" s="169">
        <f t="shared" si="456"/>
        <v>111753</v>
      </c>
      <c r="M155" s="169">
        <f t="shared" si="456"/>
        <v>122357</v>
      </c>
      <c r="N155" s="169">
        <f>N157-N156</f>
        <v>134441</v>
      </c>
      <c r="O155" s="169">
        <f>O157-O156</f>
        <v>136989</v>
      </c>
      <c r="P155" s="169">
        <f>P157-P156</f>
        <v>137777</v>
      </c>
      <c r="Q155" s="169">
        <f>Q157-Q156</f>
        <v>147030</v>
      </c>
      <c r="R155" s="169">
        <f t="shared" ref="R155:U155" si="457">R151+R153+R154+R152</f>
        <v>161010</v>
      </c>
      <c r="S155" s="169">
        <f t="shared" si="457"/>
        <v>163125</v>
      </c>
      <c r="T155" s="169">
        <f t="shared" si="457"/>
        <v>176513</v>
      </c>
      <c r="U155" s="169">
        <f t="shared" si="457"/>
        <v>198685</v>
      </c>
      <c r="V155" s="169">
        <f t="shared" ref="V155" si="458">V151+V153+V154+V152</f>
        <v>223565</v>
      </c>
      <c r="W155" s="169">
        <f t="shared" ref="W155:AB155" si="459">W151+W153+W154+W152</f>
        <v>249708</v>
      </c>
      <c r="X155" s="169">
        <f t="shared" si="459"/>
        <v>255427</v>
      </c>
      <c r="Y155" s="248">
        <f t="shared" si="459"/>
        <v>271198</v>
      </c>
      <c r="Z155" s="248">
        <f t="shared" si="459"/>
        <v>279906</v>
      </c>
      <c r="AA155" s="248">
        <f t="shared" si="459"/>
        <v>296637</v>
      </c>
      <c r="AB155" s="248">
        <f t="shared" si="459"/>
        <v>306647</v>
      </c>
      <c r="AC155" s="248">
        <f t="shared" ref="AC155:AD155" si="460">AC151+AC153+AC154+AC152</f>
        <v>331458</v>
      </c>
      <c r="AD155" s="248">
        <f t="shared" si="460"/>
        <v>354881</v>
      </c>
      <c r="AE155" s="267">
        <f t="shared" ref="AE155" si="461">AE151+AE153+AE154+AE152</f>
        <v>392175</v>
      </c>
      <c r="AF155" s="248">
        <f t="shared" ref="AF155:AG155" si="462">AF151+AF153+AF154+AF152</f>
        <v>427700</v>
      </c>
      <c r="AG155" s="248">
        <f t="shared" si="462"/>
        <v>465700</v>
      </c>
      <c r="AH155" s="248">
        <f t="shared" ref="AH155:AI155" si="463">AH151+AH153+AH154+AH152</f>
        <v>503400</v>
      </c>
      <c r="AI155" s="248">
        <f t="shared" si="463"/>
        <v>540400</v>
      </c>
      <c r="AJ155" s="248">
        <f t="shared" ref="AJ155" si="464">AJ151+AJ153+AJ154+AJ152</f>
        <v>578200</v>
      </c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</row>
    <row r="156" spans="1:46">
      <c r="A156" s="229"/>
      <c r="B156" s="233" t="s">
        <v>120</v>
      </c>
      <c r="C156" s="233" t="s">
        <v>73</v>
      </c>
      <c r="D156" s="242">
        <f>'Raw Data'!D185</f>
        <v>0</v>
      </c>
      <c r="E156" s="242">
        <f>'Raw Data'!E185</f>
        <v>1846</v>
      </c>
      <c r="F156" s="242">
        <f>'Raw Data'!F185</f>
        <v>1932</v>
      </c>
      <c r="G156" s="242">
        <f>'Raw Data'!G185</f>
        <v>2498</v>
      </c>
      <c r="H156" s="242">
        <f>'Raw Data'!H185</f>
        <v>6961</v>
      </c>
      <c r="I156" s="242">
        <f>'Raw Data'!I185</f>
        <v>8985</v>
      </c>
      <c r="J156" s="242">
        <f>'Raw Data'!J185</f>
        <v>9686</v>
      </c>
      <c r="K156" s="242">
        <f>'Raw Data'!K185</f>
        <v>7265</v>
      </c>
      <c r="L156" s="242">
        <f>'Raw Data'!L185</f>
        <v>7856</v>
      </c>
      <c r="M156" s="242">
        <f>'Raw Data'!M185</f>
        <v>9014</v>
      </c>
      <c r="N156" s="242">
        <f>'Raw Data'!N185</f>
        <v>9972</v>
      </c>
      <c r="O156" s="242">
        <f>'Raw Data'!O185</f>
        <v>10512</v>
      </c>
      <c r="P156" s="242">
        <f>'Raw Data'!P185</f>
        <v>11323</v>
      </c>
      <c r="Q156" s="233">
        <f>'Raw Data'!Q185</f>
        <v>11658</v>
      </c>
      <c r="R156" s="233">
        <f>'Raw Data'!R185</f>
        <v>9278</v>
      </c>
      <c r="S156" s="233">
        <f>'Raw Data'!S185</f>
        <v>9682</v>
      </c>
      <c r="T156" s="233">
        <f>'Raw Data'!T185</f>
        <v>10152</v>
      </c>
      <c r="U156" s="233">
        <f>'Raw Data'!U185</f>
        <v>10487</v>
      </c>
      <c r="V156" s="233">
        <f>'Raw Data'!V185</f>
        <v>13371</v>
      </c>
      <c r="W156" s="233">
        <f>'Raw Data'!W185</f>
        <v>10241</v>
      </c>
      <c r="X156" s="233">
        <f>'Raw Data'!X185</f>
        <v>10773</v>
      </c>
      <c r="Y156" s="233">
        <f>'Raw Data'!Y185</f>
        <v>10597</v>
      </c>
      <c r="Z156" s="233">
        <f>'Raw Data'!Z185</f>
        <v>10974</v>
      </c>
      <c r="AA156" s="233">
        <f>'Raw Data'!AA185</f>
        <v>11090</v>
      </c>
      <c r="AB156" s="233">
        <f>'Raw Data'!AB185</f>
        <v>11345</v>
      </c>
      <c r="AC156" s="233">
        <f>'Raw Data'!AC185</f>
        <v>11860</v>
      </c>
      <c r="AD156" s="233">
        <f>'Raw Data'!AD185</f>
        <v>12262</v>
      </c>
      <c r="AE156" s="244">
        <f>'Raw Data'!AE185</f>
        <v>12573</v>
      </c>
      <c r="AF156" s="233">
        <f>ROUND(AE156-AF73+AF219,-2)</f>
        <v>12900</v>
      </c>
      <c r="AG156" s="233">
        <f>ROUND(AF156-AG73+AG219,-2)</f>
        <v>13200</v>
      </c>
      <c r="AH156" s="233">
        <f>ROUND(AG156-AH73+AH219,-2)</f>
        <v>13500</v>
      </c>
      <c r="AI156" s="233">
        <f t="shared" ref="AI156:AJ156" si="465">ROUND(AH156-AI73+AI219,-2)</f>
        <v>13800</v>
      </c>
      <c r="AJ156" s="233">
        <f t="shared" si="465"/>
        <v>14100</v>
      </c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</row>
    <row r="157" spans="1:46">
      <c r="A157" s="229"/>
      <c r="B157" s="169" t="s">
        <v>119</v>
      </c>
      <c r="C157" s="169" t="s">
        <v>118</v>
      </c>
      <c r="D157" s="169">
        <f t="shared" ref="D157:M157" si="466">D155+D150+D156</f>
        <v>0</v>
      </c>
      <c r="E157" s="169">
        <f t="shared" si="466"/>
        <v>95777</v>
      </c>
      <c r="F157" s="169">
        <f t="shared" si="466"/>
        <v>95810</v>
      </c>
      <c r="G157" s="169">
        <f t="shared" si="466"/>
        <v>95973</v>
      </c>
      <c r="H157" s="169">
        <f t="shared" si="466"/>
        <v>103199</v>
      </c>
      <c r="I157" s="169">
        <f t="shared" si="466"/>
        <v>100972</v>
      </c>
      <c r="J157" s="169">
        <f t="shared" si="466"/>
        <v>107120</v>
      </c>
      <c r="K157" s="169">
        <f t="shared" si="466"/>
        <v>113649</v>
      </c>
      <c r="L157" s="169">
        <f t="shared" si="466"/>
        <v>119609</v>
      </c>
      <c r="M157" s="169">
        <f t="shared" si="466"/>
        <v>131371</v>
      </c>
      <c r="N157" s="247">
        <f>+'Raw Data'!N187</f>
        <v>144413</v>
      </c>
      <c r="O157" s="247">
        <f>+'Raw Data'!O187</f>
        <v>147501</v>
      </c>
      <c r="P157" s="247">
        <f>+'Raw Data'!P187</f>
        <v>149100</v>
      </c>
      <c r="Q157" s="169">
        <f>+'Raw Data'!Q187</f>
        <v>158688</v>
      </c>
      <c r="R157" s="169">
        <f>+'Raw Data'!R187</f>
        <v>170288</v>
      </c>
      <c r="S157" s="169">
        <f>+'Raw Data'!S187</f>
        <v>172807</v>
      </c>
      <c r="T157" s="169">
        <f>+'Raw Data'!T187</f>
        <v>186665</v>
      </c>
      <c r="U157" s="169">
        <f>+'Raw Data'!U187</f>
        <v>209172</v>
      </c>
      <c r="V157" s="169">
        <f>+'Raw Data'!V187</f>
        <v>236936</v>
      </c>
      <c r="W157" s="169">
        <f>+'Raw Data'!W187</f>
        <v>259949</v>
      </c>
      <c r="X157" s="169">
        <f>+'Raw Data'!X187</f>
        <v>266200</v>
      </c>
      <c r="Y157" s="248">
        <f>+'Raw Data'!Y187</f>
        <v>281795</v>
      </c>
      <c r="Z157" s="248">
        <f>+'Raw Data'!Z187</f>
        <v>290881</v>
      </c>
      <c r="AA157" s="248">
        <f>+'Raw Data'!AA187</f>
        <v>307729</v>
      </c>
      <c r="AB157" s="248">
        <f>+'Raw Data'!AB187</f>
        <v>317994</v>
      </c>
      <c r="AC157" s="248">
        <f>+'Raw Data'!AC187</f>
        <v>343319</v>
      </c>
      <c r="AD157" s="248">
        <f>+'Raw Data'!AD187</f>
        <v>367145</v>
      </c>
      <c r="AE157" s="267">
        <f>+'Raw Data'!AE187</f>
        <v>404750</v>
      </c>
      <c r="AF157" s="248">
        <f t="shared" ref="AF157:AG157" si="467">AF155+AF150+AF156</f>
        <v>440600</v>
      </c>
      <c r="AG157" s="248">
        <f t="shared" si="467"/>
        <v>478900</v>
      </c>
      <c r="AH157" s="248">
        <f t="shared" ref="AH157:AI157" si="468">AH155+AH150+AH156</f>
        <v>516900</v>
      </c>
      <c r="AI157" s="248">
        <f t="shared" si="468"/>
        <v>554200</v>
      </c>
      <c r="AJ157" s="248">
        <f t="shared" ref="AJ157" si="469">AJ155+AJ150+AJ156</f>
        <v>592300</v>
      </c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</row>
    <row r="158" spans="1:46">
      <c r="A158" s="229"/>
      <c r="B158" s="169" t="s">
        <v>117</v>
      </c>
      <c r="C158" s="169" t="s">
        <v>116</v>
      </c>
      <c r="D158" s="247">
        <f>+'Raw Data'!D189</f>
        <v>0</v>
      </c>
      <c r="E158" s="247">
        <f>+'Raw Data'!E189</f>
        <v>223900</v>
      </c>
      <c r="F158" s="247">
        <f>+'Raw Data'!F189</f>
        <v>229360</v>
      </c>
      <c r="G158" s="247">
        <f>+'Raw Data'!G189</f>
        <v>222202</v>
      </c>
      <c r="H158" s="247">
        <f>+'Raw Data'!H189</f>
        <v>230763</v>
      </c>
      <c r="I158" s="247">
        <f>+'Raw Data'!I189</f>
        <v>249431</v>
      </c>
      <c r="J158" s="247">
        <f>+'Raw Data'!J189</f>
        <v>222712</v>
      </c>
      <c r="K158" s="247">
        <f>+'Raw Data'!K189</f>
        <v>224791</v>
      </c>
      <c r="L158" s="247">
        <f>+'Raw Data'!L189</f>
        <v>222379</v>
      </c>
      <c r="M158" s="247">
        <f>+'Raw Data'!M189</f>
        <v>220191</v>
      </c>
      <c r="N158" s="247">
        <f>+'Raw Data'!N189</f>
        <v>223306</v>
      </c>
      <c r="O158" s="247">
        <f>+'Raw Data'!O189</f>
        <v>219852</v>
      </c>
      <c r="P158" s="247">
        <f>+'Raw Data'!P189</f>
        <v>206043</v>
      </c>
      <c r="Q158" s="169">
        <f>+'Raw Data'!Q189</f>
        <v>218681</v>
      </c>
      <c r="R158" s="169">
        <f>+'Raw Data'!R189</f>
        <v>229242</v>
      </c>
      <c r="S158" s="169">
        <f>+'Raw Data'!S189</f>
        <v>232532</v>
      </c>
      <c r="T158" s="169">
        <f>+'Raw Data'!T189</f>
        <v>251414</v>
      </c>
      <c r="U158" s="169">
        <f>+'Raw Data'!U189</f>
        <v>274889</v>
      </c>
      <c r="V158" s="169">
        <f>+'Raw Data'!V189</f>
        <v>308787</v>
      </c>
      <c r="W158" s="169">
        <f>+'Raw Data'!W189</f>
        <v>333933</v>
      </c>
      <c r="X158" s="169">
        <f>+'Raw Data'!X189</f>
        <v>345396</v>
      </c>
      <c r="Y158" s="248">
        <f>+'Raw Data'!Y189</f>
        <v>361074</v>
      </c>
      <c r="Z158" s="248">
        <f>+'Raw Data'!Z189</f>
        <v>373483</v>
      </c>
      <c r="AA158" s="248">
        <f>+'Raw Data'!AA189</f>
        <v>390190</v>
      </c>
      <c r="AB158" s="248">
        <f>+'Raw Data'!AB189</f>
        <v>402608</v>
      </c>
      <c r="AC158" s="248">
        <f>+'Raw Data'!AC189</f>
        <v>426071</v>
      </c>
      <c r="AD158" s="248">
        <f>+'Raw Data'!AD189</f>
        <v>454670</v>
      </c>
      <c r="AE158" s="267">
        <f>+'Raw Data'!AE189</f>
        <v>497083</v>
      </c>
      <c r="AF158" s="248">
        <f t="shared" ref="AF158:AG158" si="470">AF157+AF148</f>
        <v>536300</v>
      </c>
      <c r="AG158" s="248">
        <f t="shared" si="470"/>
        <v>575800</v>
      </c>
      <c r="AH158" s="248">
        <f t="shared" ref="AH158:AI158" si="471">AH157+AH148</f>
        <v>614900</v>
      </c>
      <c r="AI158" s="248">
        <f t="shared" si="471"/>
        <v>653400</v>
      </c>
      <c r="AJ158" s="248">
        <f t="shared" ref="AJ158" si="472">AJ157+AJ148</f>
        <v>692600</v>
      </c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</row>
    <row r="159" spans="1:46">
      <c r="A159" s="229"/>
      <c r="B159" s="233"/>
      <c r="C159" s="233"/>
      <c r="D159" s="233"/>
      <c r="E159" s="233"/>
      <c r="F159" s="233"/>
      <c r="G159" s="233"/>
      <c r="H159" s="233"/>
      <c r="I159" s="233"/>
      <c r="J159" s="233"/>
      <c r="K159" s="233"/>
      <c r="L159" s="233"/>
      <c r="M159" s="233"/>
      <c r="N159" s="233"/>
      <c r="O159" s="233"/>
      <c r="P159" s="233"/>
      <c r="Q159" s="233"/>
      <c r="R159" s="233"/>
      <c r="S159" s="233"/>
      <c r="T159" s="233"/>
      <c r="U159" s="233"/>
      <c r="V159" s="233"/>
      <c r="W159" s="233"/>
      <c r="X159" s="233"/>
      <c r="Y159" s="233"/>
      <c r="Z159" s="233"/>
      <c r="AA159" s="233"/>
      <c r="AB159" s="233"/>
      <c r="AC159" s="233"/>
      <c r="AD159" s="233"/>
      <c r="AE159" s="244"/>
      <c r="AF159" s="233"/>
      <c r="AG159" s="233"/>
      <c r="AH159" s="233"/>
      <c r="AI159" s="233"/>
      <c r="AJ159" s="23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</row>
    <row r="160" spans="1:46">
      <c r="A160" s="229"/>
      <c r="B160" s="332" t="s">
        <v>115</v>
      </c>
      <c r="C160" s="332"/>
      <c r="D160" s="233">
        <f t="shared" ref="D160:M160" si="473">ROUND(D158-D138,0)</f>
        <v>0</v>
      </c>
      <c r="E160" s="233">
        <f t="shared" si="473"/>
        <v>0</v>
      </c>
      <c r="F160" s="233">
        <f t="shared" si="473"/>
        <v>0</v>
      </c>
      <c r="G160" s="233">
        <f t="shared" si="473"/>
        <v>0</v>
      </c>
      <c r="H160" s="233">
        <f t="shared" si="473"/>
        <v>0</v>
      </c>
      <c r="I160" s="233">
        <f t="shared" si="473"/>
        <v>0</v>
      </c>
      <c r="J160" s="233">
        <f t="shared" si="473"/>
        <v>0</v>
      </c>
      <c r="K160" s="233">
        <f t="shared" si="473"/>
        <v>0</v>
      </c>
      <c r="L160" s="233">
        <f t="shared" si="473"/>
        <v>0</v>
      </c>
      <c r="M160" s="233">
        <f t="shared" si="473"/>
        <v>0</v>
      </c>
      <c r="N160" s="233">
        <f t="shared" ref="N160:U160" si="474">ROUND(N158-N138,5)</f>
        <v>0</v>
      </c>
      <c r="O160" s="233">
        <f t="shared" si="474"/>
        <v>0</v>
      </c>
      <c r="P160" s="233">
        <f t="shared" si="474"/>
        <v>0</v>
      </c>
      <c r="Q160" s="233">
        <f t="shared" si="474"/>
        <v>0</v>
      </c>
      <c r="R160" s="233">
        <f t="shared" si="474"/>
        <v>0</v>
      </c>
      <c r="S160" s="233">
        <f t="shared" si="474"/>
        <v>0</v>
      </c>
      <c r="T160" s="233">
        <f t="shared" si="474"/>
        <v>0</v>
      </c>
      <c r="U160" s="233">
        <f t="shared" si="474"/>
        <v>0</v>
      </c>
      <c r="V160" s="233">
        <f t="shared" ref="V160:W160" si="475">ROUND(V158-V138,5)</f>
        <v>0</v>
      </c>
      <c r="W160" s="233">
        <f t="shared" si="475"/>
        <v>0</v>
      </c>
      <c r="X160" s="233">
        <f t="shared" ref="X160:Y160" si="476">ROUND(X158-X138,5)</f>
        <v>0</v>
      </c>
      <c r="Y160" s="233">
        <f t="shared" si="476"/>
        <v>0</v>
      </c>
      <c r="Z160" s="233">
        <f t="shared" ref="Z160" si="477">ROUND(Z158-Z138,5)</f>
        <v>0</v>
      </c>
      <c r="AA160" s="233">
        <f t="shared" ref="AA160:AB160" si="478">ROUND(AA158-AA138,5)</f>
        <v>0</v>
      </c>
      <c r="AB160" s="233">
        <f t="shared" si="478"/>
        <v>0</v>
      </c>
      <c r="AC160" s="233">
        <f t="shared" ref="AC160:AD160" si="479">ROUND(AC158-AC138,5)</f>
        <v>0</v>
      </c>
      <c r="AD160" s="233">
        <f t="shared" si="479"/>
        <v>0</v>
      </c>
      <c r="AE160" s="2239">
        <f>+AE155/AE158</f>
        <v>0.78895275034551571</v>
      </c>
      <c r="AF160" s="233">
        <f t="shared" ref="AF160:AG160" si="480">ROUND(AF158-AF138,5)</f>
        <v>0</v>
      </c>
      <c r="AG160" s="233">
        <f t="shared" si="480"/>
        <v>0</v>
      </c>
      <c r="AH160" s="2239">
        <f>+AH155/AH158</f>
        <v>0.81866970239063264</v>
      </c>
      <c r="AI160" s="233">
        <f t="shared" ref="AI160" si="481">ROUND(AI158-AI138,5)</f>
        <v>0</v>
      </c>
      <c r="AJ160" s="233">
        <f t="shared" ref="AJ160" si="482">ROUND(AJ158-AJ138,5)</f>
        <v>0</v>
      </c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</row>
    <row r="161" spans="1:46">
      <c r="A161" s="240"/>
      <c r="B161" s="333"/>
      <c r="C161" s="333"/>
      <c r="D161" s="233"/>
      <c r="E161" s="233"/>
      <c r="F161" s="233"/>
      <c r="G161" s="233"/>
      <c r="H161" s="233"/>
      <c r="I161" s="233"/>
      <c r="J161" s="233"/>
      <c r="K161" s="233"/>
      <c r="L161" s="233"/>
      <c r="M161" s="233"/>
      <c r="N161" s="233"/>
      <c r="O161" s="233"/>
      <c r="P161" s="233"/>
      <c r="Q161" s="233"/>
      <c r="R161" s="233"/>
      <c r="S161" s="233"/>
      <c r="T161" s="233"/>
      <c r="U161" s="233"/>
      <c r="V161" s="233"/>
      <c r="W161" s="233"/>
      <c r="X161" s="233"/>
      <c r="Y161" s="334">
        <v>12000000000</v>
      </c>
      <c r="Z161" s="233">
        <v>1875000</v>
      </c>
      <c r="AA161" s="233"/>
      <c r="AB161" s="233"/>
      <c r="AC161" s="233"/>
      <c r="AD161" s="233"/>
      <c r="AE161" s="244"/>
      <c r="AF161" s="233"/>
      <c r="AG161" s="233"/>
      <c r="AH161" s="233"/>
      <c r="AI161" s="233"/>
      <c r="AJ161" s="23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</row>
    <row r="162" spans="1:46">
      <c r="A162" s="240"/>
      <c r="B162" s="25" t="s">
        <v>114</v>
      </c>
      <c r="C162" s="25" t="s">
        <v>113</v>
      </c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/>
      <c r="Q162" s="322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  <c r="AD162" s="322"/>
      <c r="AE162" s="323"/>
      <c r="AF162" s="322"/>
      <c r="AG162" s="322"/>
      <c r="AH162" s="322"/>
      <c r="AI162" s="322"/>
      <c r="AJ162" s="322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</row>
    <row r="163" spans="1:46" outlineLevel="1">
      <c r="A163" s="240"/>
      <c r="B163" s="335"/>
      <c r="C163" s="335"/>
      <c r="D163" s="233"/>
      <c r="E163" s="233"/>
      <c r="F163" s="233"/>
      <c r="G163" s="233"/>
      <c r="H163" s="233"/>
      <c r="I163" s="233"/>
      <c r="J163" s="233"/>
      <c r="K163" s="233"/>
      <c r="L163" s="233"/>
      <c r="M163" s="233"/>
      <c r="N163" s="233"/>
      <c r="O163" s="233"/>
      <c r="P163" s="313"/>
      <c r="Q163" s="233"/>
      <c r="R163" s="233"/>
      <c r="S163" s="233"/>
      <c r="T163" s="233"/>
      <c r="U163" s="233"/>
      <c r="V163" s="233"/>
      <c r="W163" s="233"/>
      <c r="X163" s="233"/>
      <c r="Y163" s="233"/>
      <c r="Z163" s="233"/>
      <c r="AA163" s="233"/>
      <c r="AB163" s="233"/>
      <c r="AC163" s="233"/>
      <c r="AD163" s="233"/>
      <c r="AE163" s="244"/>
      <c r="AF163" s="314"/>
      <c r="AG163" s="314"/>
      <c r="AH163" s="314"/>
      <c r="AI163" s="314"/>
      <c r="AJ163" s="314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</row>
    <row r="164" spans="1:46" outlineLevel="1">
      <c r="A164" s="240"/>
      <c r="B164" s="271" t="s">
        <v>112</v>
      </c>
      <c r="C164" s="271" t="s">
        <v>63</v>
      </c>
      <c r="D164" s="233">
        <f t="shared" ref="D164:U164" si="483">SUM(D165:D166)</f>
        <v>0</v>
      </c>
      <c r="E164" s="233">
        <f t="shared" si="483"/>
        <v>43613</v>
      </c>
      <c r="F164" s="233">
        <f t="shared" si="483"/>
        <v>42297</v>
      </c>
      <c r="G164" s="233">
        <f t="shared" si="483"/>
        <v>39835</v>
      </c>
      <c r="H164" s="233">
        <f t="shared" si="483"/>
        <v>40854</v>
      </c>
      <c r="I164" s="233">
        <f t="shared" si="483"/>
        <v>44658</v>
      </c>
      <c r="J164" s="233">
        <f t="shared" si="483"/>
        <v>44317</v>
      </c>
      <c r="K164" s="233">
        <f t="shared" si="483"/>
        <v>41316</v>
      </c>
      <c r="L164" s="233">
        <f t="shared" si="483"/>
        <v>39472</v>
      </c>
      <c r="M164" s="233">
        <f t="shared" si="483"/>
        <v>39945</v>
      </c>
      <c r="N164" s="233">
        <f t="shared" si="483"/>
        <v>43024</v>
      </c>
      <c r="O164" s="233">
        <f t="shared" si="483"/>
        <v>43066</v>
      </c>
      <c r="P164" s="233">
        <f t="shared" si="483"/>
        <v>39032</v>
      </c>
      <c r="Q164" s="233">
        <f t="shared" si="483"/>
        <v>38635</v>
      </c>
      <c r="R164" s="233">
        <f t="shared" si="483"/>
        <v>38461</v>
      </c>
      <c r="S164" s="233">
        <f t="shared" si="483"/>
        <v>39261</v>
      </c>
      <c r="T164" s="233">
        <f t="shared" si="483"/>
        <v>48235</v>
      </c>
      <c r="U164" s="233">
        <f t="shared" si="483"/>
        <v>45441</v>
      </c>
      <c r="V164" s="233">
        <f t="shared" ref="V164:W164" si="484">SUM(V165:V166)</f>
        <v>48488</v>
      </c>
      <c r="W164" s="233">
        <f t="shared" si="484"/>
        <v>46303</v>
      </c>
      <c r="X164" s="233">
        <f t="shared" ref="X164:Y164" si="485">SUM(X165:X166)</f>
        <v>48409</v>
      </c>
      <c r="Y164" s="233">
        <f t="shared" si="485"/>
        <v>49822</v>
      </c>
      <c r="Z164" s="233">
        <f t="shared" ref="Z164:AA164" si="486">SUM(Z165:Z166)</f>
        <v>53759</v>
      </c>
      <c r="AA164" s="233">
        <f t="shared" si="486"/>
        <v>53804</v>
      </c>
      <c r="AB164" s="233">
        <f t="shared" ref="AB164:AC164" si="487">SUM(AB165:AB166)</f>
        <v>56457</v>
      </c>
      <c r="AC164" s="233">
        <f t="shared" si="487"/>
        <v>50968</v>
      </c>
      <c r="AD164" s="233">
        <f t="shared" ref="AD164:AE164" si="488">SUM(AD165:AD166)</f>
        <v>56077</v>
      </c>
      <c r="AE164" s="244">
        <f t="shared" si="488"/>
        <v>58805</v>
      </c>
      <c r="AF164" s="233">
        <f t="shared" ref="AF164:AG164" si="489">SUM(AF165:AF166)</f>
        <v>64900</v>
      </c>
      <c r="AG164" s="233">
        <f t="shared" si="489"/>
        <v>67000</v>
      </c>
      <c r="AH164" s="233">
        <f t="shared" ref="AH164:AI164" si="490">SUM(AH165:AH166)</f>
        <v>69000</v>
      </c>
      <c r="AI164" s="233">
        <f t="shared" si="490"/>
        <v>71200</v>
      </c>
      <c r="AJ164" s="233">
        <f t="shared" ref="AJ164" si="491">SUM(AJ165:AJ166)</f>
        <v>73300</v>
      </c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</row>
    <row r="165" spans="1:46" outlineLevel="1">
      <c r="A165" s="240"/>
      <c r="B165" s="315" t="s">
        <v>111</v>
      </c>
      <c r="C165" s="315" t="s">
        <v>110</v>
      </c>
      <c r="D165" s="242">
        <f>'Raw Data'!D101</f>
        <v>0</v>
      </c>
      <c r="E165" s="242">
        <f>'Raw Data'!E101</f>
        <v>43911</v>
      </c>
      <c r="F165" s="242">
        <f>'Raw Data'!F101</f>
        <v>42608</v>
      </c>
      <c r="G165" s="242">
        <f>'Raw Data'!G101</f>
        <v>40101</v>
      </c>
      <c r="H165" s="242">
        <f>'Raw Data'!H101</f>
        <v>41055</v>
      </c>
      <c r="I165" s="242">
        <f>'Raw Data'!I101</f>
        <v>45815</v>
      </c>
      <c r="J165" s="242">
        <f>'Raw Data'!J101</f>
        <v>44763</v>
      </c>
      <c r="K165" s="242">
        <f>'Raw Data'!K101</f>
        <v>41669</v>
      </c>
      <c r="L165" s="242">
        <f>'Raw Data'!L101</f>
        <v>40568</v>
      </c>
      <c r="M165" s="242">
        <f>'Raw Data'!M101</f>
        <v>41468</v>
      </c>
      <c r="N165" s="242">
        <f>'Raw Data'!N101</f>
        <v>43086</v>
      </c>
      <c r="O165" s="242">
        <f>'Raw Data'!O101</f>
        <v>43271</v>
      </c>
      <c r="P165" s="242">
        <f>'Raw Data'!P101</f>
        <v>39276</v>
      </c>
      <c r="Q165" s="233">
        <f>'Raw Data'!Q101</f>
        <v>39191</v>
      </c>
      <c r="R165" s="233">
        <f>'Raw Data'!R101</f>
        <v>39004</v>
      </c>
      <c r="S165" s="233">
        <f>'Raw Data'!S101</f>
        <v>39785</v>
      </c>
      <c r="T165" s="233">
        <f>'Raw Data'!T101</f>
        <v>48746</v>
      </c>
      <c r="U165" s="233">
        <f>'Raw Data'!U101</f>
        <v>45948</v>
      </c>
      <c r="V165" s="233">
        <f>'Raw Data'!V101</f>
        <v>48989</v>
      </c>
      <c r="W165" s="233">
        <f>'Raw Data'!W101</f>
        <v>46788</v>
      </c>
      <c r="X165" s="233">
        <f>'Raw Data'!X101</f>
        <v>48899</v>
      </c>
      <c r="Y165" s="233">
        <f>'Raw Data'!Y101</f>
        <v>50315</v>
      </c>
      <c r="Z165" s="233">
        <f>'Raw Data'!Z101</f>
        <v>54161</v>
      </c>
      <c r="AA165" s="233">
        <f>'Raw Data'!AA101</f>
        <v>54432</v>
      </c>
      <c r="AB165" s="233">
        <f>'Raw Data'!AB101</f>
        <v>57106</v>
      </c>
      <c r="AC165" s="233">
        <f>'Raw Data'!AC101</f>
        <v>51567</v>
      </c>
      <c r="AD165" s="233">
        <f>'Raw Data'!AD101</f>
        <v>56688</v>
      </c>
      <c r="AE165" s="244">
        <f>'Raw Data'!AE101</f>
        <v>59443</v>
      </c>
      <c r="AF165" s="1656">
        <f t="shared" ref="AF165:AJ165" si="492">ROUND(AE165*AF$14/AE$14,-2)</f>
        <v>65500</v>
      </c>
      <c r="AG165" s="1656">
        <f t="shared" si="492"/>
        <v>67600</v>
      </c>
      <c r="AH165" s="1656">
        <f t="shared" si="492"/>
        <v>69600</v>
      </c>
      <c r="AI165" s="1656">
        <f t="shared" si="492"/>
        <v>71800</v>
      </c>
      <c r="AJ165" s="1656">
        <f t="shared" si="492"/>
        <v>73900</v>
      </c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</row>
    <row r="166" spans="1:46" outlineLevel="1">
      <c r="A166" s="240"/>
      <c r="B166" s="315" t="s">
        <v>109</v>
      </c>
      <c r="C166" s="315" t="s">
        <v>108</v>
      </c>
      <c r="D166" s="242">
        <f>'Raw Data'!D102</f>
        <v>0</v>
      </c>
      <c r="E166" s="242">
        <f>'Raw Data'!E102</f>
        <v>-298</v>
      </c>
      <c r="F166" s="242">
        <f>'Raw Data'!F102</f>
        <v>-311</v>
      </c>
      <c r="G166" s="242">
        <f>'Raw Data'!G102</f>
        <v>-266</v>
      </c>
      <c r="H166" s="242">
        <f>'Raw Data'!H102</f>
        <v>-201</v>
      </c>
      <c r="I166" s="242">
        <f>'Raw Data'!I102</f>
        <v>-1157</v>
      </c>
      <c r="J166" s="242">
        <f>'Raw Data'!J102</f>
        <v>-446</v>
      </c>
      <c r="K166" s="242">
        <f>'Raw Data'!K102</f>
        <v>-353</v>
      </c>
      <c r="L166" s="242">
        <f>'Raw Data'!L102</f>
        <v>-1096</v>
      </c>
      <c r="M166" s="242">
        <f>'Raw Data'!M102</f>
        <v>-1523</v>
      </c>
      <c r="N166" s="242">
        <f>'Raw Data'!N102</f>
        <v>-62</v>
      </c>
      <c r="O166" s="242">
        <f>'Raw Data'!O102</f>
        <v>-205</v>
      </c>
      <c r="P166" s="242">
        <f>'Raw Data'!P102</f>
        <v>-244</v>
      </c>
      <c r="Q166" s="233">
        <f>'Raw Data'!Q102</f>
        <v>-556</v>
      </c>
      <c r="R166" s="233">
        <f>'Raw Data'!R102</f>
        <v>-543</v>
      </c>
      <c r="S166" s="233">
        <f>'Raw Data'!S102</f>
        <v>-524</v>
      </c>
      <c r="T166" s="233">
        <f>'Raw Data'!T102</f>
        <v>-511</v>
      </c>
      <c r="U166" s="233">
        <f>'Raw Data'!U102</f>
        <v>-507</v>
      </c>
      <c r="V166" s="233">
        <f>'Raw Data'!V102</f>
        <v>-501</v>
      </c>
      <c r="W166" s="233">
        <f>'Raw Data'!W102</f>
        <v>-485</v>
      </c>
      <c r="X166" s="233">
        <f>'Raw Data'!X102</f>
        <v>-490</v>
      </c>
      <c r="Y166" s="233">
        <f>'Raw Data'!Y102</f>
        <v>-493</v>
      </c>
      <c r="Z166" s="233">
        <f>'Raw Data'!Z102</f>
        <v>-402</v>
      </c>
      <c r="AA166" s="233">
        <f>'Raw Data'!AA102</f>
        <v>-628</v>
      </c>
      <c r="AB166" s="233">
        <f>'Raw Data'!AB102</f>
        <v>-649</v>
      </c>
      <c r="AC166" s="233">
        <f>'Raw Data'!AC102</f>
        <v>-599</v>
      </c>
      <c r="AD166" s="233">
        <f>'Raw Data'!AD102</f>
        <v>-611</v>
      </c>
      <c r="AE166" s="244">
        <f>'Raw Data'!AE102</f>
        <v>-638</v>
      </c>
      <c r="AF166" s="233">
        <f t="shared" ref="AF166:AJ166" si="493">ROUND(AE166,-2)</f>
        <v>-600</v>
      </c>
      <c r="AG166" s="233">
        <f t="shared" si="493"/>
        <v>-600</v>
      </c>
      <c r="AH166" s="233">
        <f t="shared" si="493"/>
        <v>-600</v>
      </c>
      <c r="AI166" s="233">
        <f t="shared" si="493"/>
        <v>-600</v>
      </c>
      <c r="AJ166" s="233">
        <f t="shared" si="493"/>
        <v>-600</v>
      </c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</row>
    <row r="167" spans="1:46" outlineLevel="1">
      <c r="A167" s="240"/>
      <c r="B167" s="315"/>
      <c r="C167" s="315"/>
      <c r="D167" s="233"/>
      <c r="E167" s="233"/>
      <c r="F167" s="233"/>
      <c r="G167" s="233"/>
      <c r="H167" s="233"/>
      <c r="I167" s="233"/>
      <c r="J167" s="233"/>
      <c r="K167" s="233"/>
      <c r="L167" s="233"/>
      <c r="M167" s="233"/>
      <c r="N167" s="233"/>
      <c r="O167" s="233"/>
      <c r="P167" s="233"/>
      <c r="Q167" s="233"/>
      <c r="R167" s="233"/>
      <c r="S167" s="233"/>
      <c r="T167" s="233"/>
      <c r="U167" s="233"/>
      <c r="V167" s="233"/>
      <c r="W167" s="233"/>
      <c r="X167" s="233"/>
      <c r="Y167" s="233"/>
      <c r="Z167" s="233"/>
      <c r="AA167" s="233"/>
      <c r="AB167" s="233"/>
      <c r="AC167" s="233"/>
      <c r="AD167" s="233"/>
      <c r="AE167" s="244"/>
      <c r="AF167" s="233"/>
      <c r="AG167" s="233"/>
      <c r="AH167" s="233"/>
      <c r="AI167" s="233"/>
      <c r="AJ167" s="23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</row>
    <row r="168" spans="1:46" outlineLevel="1">
      <c r="A168" s="240"/>
      <c r="B168" s="271" t="s">
        <v>107</v>
      </c>
      <c r="C168" s="271" t="s">
        <v>106</v>
      </c>
      <c r="D168" s="233">
        <f t="shared" ref="D168:U168" si="494">SUM(D169:D170)</f>
        <v>0</v>
      </c>
      <c r="E168" s="233">
        <f t="shared" si="494"/>
        <v>12356</v>
      </c>
      <c r="F168" s="233">
        <f t="shared" si="494"/>
        <v>11889</v>
      </c>
      <c r="G168" s="233">
        <f t="shared" si="494"/>
        <v>13175</v>
      </c>
      <c r="H168" s="233">
        <f t="shared" si="494"/>
        <v>12923</v>
      </c>
      <c r="I168" s="233">
        <f t="shared" si="494"/>
        <v>22364</v>
      </c>
      <c r="J168" s="233">
        <f t="shared" si="494"/>
        <v>16521</v>
      </c>
      <c r="K168" s="233">
        <f t="shared" si="494"/>
        <v>13553</v>
      </c>
      <c r="L168" s="233">
        <f t="shared" si="494"/>
        <v>16243</v>
      </c>
      <c r="M168" s="233">
        <f t="shared" si="494"/>
        <v>15686</v>
      </c>
      <c r="N168" s="233">
        <f t="shared" si="494"/>
        <v>18721</v>
      </c>
      <c r="O168" s="233">
        <f t="shared" si="494"/>
        <v>18318</v>
      </c>
      <c r="P168" s="233">
        <f t="shared" si="494"/>
        <v>14903</v>
      </c>
      <c r="Q168" s="233">
        <f t="shared" si="494"/>
        <v>13594</v>
      </c>
      <c r="R168" s="233">
        <f t="shared" si="494"/>
        <v>14690</v>
      </c>
      <c r="S168" s="233">
        <f t="shared" si="494"/>
        <v>14160</v>
      </c>
      <c r="T168" s="233">
        <f t="shared" si="494"/>
        <v>14947</v>
      </c>
      <c r="U168" s="233">
        <f t="shared" si="494"/>
        <v>18385</v>
      </c>
      <c r="V168" s="233">
        <f t="shared" ref="V168:W168" si="495">SUM(V169:V170)</f>
        <v>20114</v>
      </c>
      <c r="W168" s="233">
        <f t="shared" si="495"/>
        <v>26745</v>
      </c>
      <c r="X168" s="233">
        <f t="shared" ref="X168:Y168" si="496">SUM(X169:X170)</f>
        <v>28105</v>
      </c>
      <c r="Y168" s="233">
        <f t="shared" si="496"/>
        <v>29689</v>
      </c>
      <c r="Z168" s="233">
        <f t="shared" ref="Z168:AA168" si="497">SUM(Z169:Z170)</f>
        <v>31316</v>
      </c>
      <c r="AA168" s="233">
        <f t="shared" si="497"/>
        <v>30409</v>
      </c>
      <c r="AB168" s="233">
        <f t="shared" ref="AB168:AC168" si="498">SUM(AB169:AB170)</f>
        <v>27018</v>
      </c>
      <c r="AC168" s="233">
        <f t="shared" si="498"/>
        <v>29169</v>
      </c>
      <c r="AD168" s="233">
        <f t="shared" ref="AD168:AE168" si="499">SUM(AD169:AD170)</f>
        <v>28256</v>
      </c>
      <c r="AE168" s="244">
        <f t="shared" si="499"/>
        <v>28256</v>
      </c>
      <c r="AF168" s="1656">
        <f>ROUND(AE168+AF60,-2)</f>
        <v>28400</v>
      </c>
      <c r="AG168" s="1656">
        <f t="shared" ref="AG168:AJ168" si="500">ROUND(AF168+AG60,-2)</f>
        <v>28500</v>
      </c>
      <c r="AH168" s="1656">
        <f t="shared" si="500"/>
        <v>28600</v>
      </c>
      <c r="AI168" s="1656">
        <f t="shared" si="500"/>
        <v>28700</v>
      </c>
      <c r="AJ168" s="1656">
        <f t="shared" si="500"/>
        <v>28800</v>
      </c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</row>
    <row r="169" spans="1:46" outlineLevel="1">
      <c r="A169" s="240"/>
      <c r="B169" s="315" t="s">
        <v>105</v>
      </c>
      <c r="C169" s="315" t="s">
        <v>104</v>
      </c>
      <c r="D169" s="242">
        <f>'Raw Data'!D121</f>
        <v>0</v>
      </c>
      <c r="E169" s="242">
        <f>'Raw Data'!E121</f>
        <v>0</v>
      </c>
      <c r="F169" s="242">
        <f>'Raw Data'!F121</f>
        <v>0</v>
      </c>
      <c r="G169" s="242">
        <f>'Raw Data'!G121</f>
        <v>0</v>
      </c>
      <c r="H169" s="242">
        <f>'Raw Data'!H121</f>
        <v>0</v>
      </c>
      <c r="I169" s="242">
        <f>'Raw Data'!I121</f>
        <v>0</v>
      </c>
      <c r="J169" s="242">
        <f>'Raw Data'!J121</f>
        <v>0</v>
      </c>
      <c r="K169" s="242">
        <f>'Raw Data'!K121</f>
        <v>0</v>
      </c>
      <c r="L169" s="242">
        <f>'Raw Data'!L121</f>
        <v>0</v>
      </c>
      <c r="M169" s="242">
        <f>'Raw Data'!M121</f>
        <v>0</v>
      </c>
      <c r="N169" s="242">
        <f>'Raw Data'!N121</f>
        <v>0</v>
      </c>
      <c r="O169" s="242">
        <f>'Raw Data'!O121</f>
        <v>0</v>
      </c>
      <c r="P169" s="242">
        <f>'Raw Data'!P121</f>
        <v>0</v>
      </c>
      <c r="Q169" s="233">
        <f>'Raw Data'!Q121</f>
        <v>0</v>
      </c>
      <c r="R169" s="233">
        <f>'Raw Data'!R121</f>
        <v>0</v>
      </c>
      <c r="S169" s="233">
        <f>'Raw Data'!S121</f>
        <v>0</v>
      </c>
      <c r="T169" s="233">
        <f>'Raw Data'!T121</f>
        <v>0</v>
      </c>
      <c r="U169" s="233">
        <f>'Raw Data'!U121</f>
        <v>0</v>
      </c>
      <c r="V169" s="233">
        <f>'Raw Data'!V121</f>
        <v>0</v>
      </c>
      <c r="W169" s="233">
        <f>'Raw Data'!W121</f>
        <v>0</v>
      </c>
      <c r="X169" s="233">
        <f>'Raw Data'!X121</f>
        <v>0</v>
      </c>
      <c r="Y169" s="233">
        <f>'Raw Data'!Y121</f>
        <v>0</v>
      </c>
      <c r="Z169" s="233">
        <f>'Raw Data'!Z121</f>
        <v>0</v>
      </c>
      <c r="AA169" s="233">
        <f>'Raw Data'!AA121</f>
        <v>0</v>
      </c>
      <c r="AB169" s="233">
        <f>'Raw Data'!AB121</f>
        <v>0</v>
      </c>
      <c r="AC169" s="233">
        <f>'Raw Data'!AC121</f>
        <v>0</v>
      </c>
      <c r="AD169" s="233">
        <f>'Raw Data'!AD121</f>
        <v>0</v>
      </c>
      <c r="AE169" s="244">
        <f>'Raw Data'!AE121</f>
        <v>0</v>
      </c>
      <c r="AF169" s="233">
        <f t="shared" ref="AF169:AJ169" si="501">ROUND(AE169,-2)</f>
        <v>0</v>
      </c>
      <c r="AG169" s="233">
        <f t="shared" si="501"/>
        <v>0</v>
      </c>
      <c r="AH169" s="233">
        <f t="shared" si="501"/>
        <v>0</v>
      </c>
      <c r="AI169" s="233">
        <f t="shared" si="501"/>
        <v>0</v>
      </c>
      <c r="AJ169" s="233">
        <f t="shared" si="501"/>
        <v>0</v>
      </c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</row>
    <row r="170" spans="1:46" outlineLevel="1">
      <c r="A170" s="240"/>
      <c r="B170" s="315" t="s">
        <v>103</v>
      </c>
      <c r="C170" s="315" t="s">
        <v>102</v>
      </c>
      <c r="D170" s="242">
        <f>'Raw Data'!D122</f>
        <v>0</v>
      </c>
      <c r="E170" s="242">
        <f>'Raw Data'!E122</f>
        <v>12356</v>
      </c>
      <c r="F170" s="242">
        <f>'Raw Data'!F122</f>
        <v>11889</v>
      </c>
      <c r="G170" s="242">
        <f>'Raw Data'!G122</f>
        <v>13175</v>
      </c>
      <c r="H170" s="242">
        <f>'Raw Data'!H122</f>
        <v>12923</v>
      </c>
      <c r="I170" s="242">
        <f>'Raw Data'!I122</f>
        <v>22364</v>
      </c>
      <c r="J170" s="242">
        <f>'Raw Data'!J122</f>
        <v>16521</v>
      </c>
      <c r="K170" s="242">
        <f>'Raw Data'!K122</f>
        <v>13553</v>
      </c>
      <c r="L170" s="242">
        <f>'Raw Data'!L122</f>
        <v>16243</v>
      </c>
      <c r="M170" s="242">
        <f>'Raw Data'!M122</f>
        <v>15686</v>
      </c>
      <c r="N170" s="242">
        <f>'Raw Data'!N122</f>
        <v>18721</v>
      </c>
      <c r="O170" s="242">
        <f>'Raw Data'!O122</f>
        <v>18318</v>
      </c>
      <c r="P170" s="242">
        <f>'Raw Data'!P122</f>
        <v>14903</v>
      </c>
      <c r="Q170" s="233">
        <f>'Raw Data'!Q122</f>
        <v>13594</v>
      </c>
      <c r="R170" s="233">
        <f>'Raw Data'!R122</f>
        <v>14690</v>
      </c>
      <c r="S170" s="233">
        <f>'Raw Data'!S122</f>
        <v>14160</v>
      </c>
      <c r="T170" s="233">
        <f>'Raw Data'!T122</f>
        <v>14947</v>
      </c>
      <c r="U170" s="233">
        <f>'Raw Data'!U122</f>
        <v>18385</v>
      </c>
      <c r="V170" s="233">
        <f>'Raw Data'!V122</f>
        <v>20114</v>
      </c>
      <c r="W170" s="233">
        <f>'Raw Data'!W122</f>
        <v>26745</v>
      </c>
      <c r="X170" s="233">
        <f>'Raw Data'!X122</f>
        <v>28105</v>
      </c>
      <c r="Y170" s="233">
        <f>'Raw Data'!Y122</f>
        <v>29689</v>
      </c>
      <c r="Z170" s="233">
        <f>'Raw Data'!Z122</f>
        <v>31316</v>
      </c>
      <c r="AA170" s="233">
        <f>'Raw Data'!AA122</f>
        <v>30409</v>
      </c>
      <c r="AB170" s="233">
        <f>'Raw Data'!AB122</f>
        <v>27018</v>
      </c>
      <c r="AC170" s="233">
        <f>'Raw Data'!AC122</f>
        <v>29169</v>
      </c>
      <c r="AD170" s="233">
        <f>'Raw Data'!AD122</f>
        <v>28256</v>
      </c>
      <c r="AE170" s="244">
        <f>'Raw Data'!AE122</f>
        <v>28256</v>
      </c>
      <c r="AF170" s="233">
        <f t="shared" ref="AF170:AG170" si="502">AF168-AF169</f>
        <v>28400</v>
      </c>
      <c r="AG170" s="233">
        <f t="shared" si="502"/>
        <v>28500</v>
      </c>
      <c r="AH170" s="233">
        <f t="shared" ref="AH170:AI170" si="503">AH168-AH169</f>
        <v>28600</v>
      </c>
      <c r="AI170" s="233">
        <f t="shared" si="503"/>
        <v>28700</v>
      </c>
      <c r="AJ170" s="233">
        <f t="shared" ref="AJ170" si="504">AJ168-AJ169</f>
        <v>28800</v>
      </c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</row>
    <row r="171" spans="1:46" outlineLevel="1">
      <c r="A171" s="240"/>
      <c r="B171" s="315"/>
      <c r="C171" s="315"/>
      <c r="D171" s="233"/>
      <c r="E171" s="233"/>
      <c r="F171" s="233"/>
      <c r="G171" s="233"/>
      <c r="H171" s="233"/>
      <c r="I171" s="233"/>
      <c r="J171" s="233"/>
      <c r="K171" s="233"/>
      <c r="L171" s="233"/>
      <c r="M171" s="233"/>
      <c r="N171" s="233"/>
      <c r="O171" s="233"/>
      <c r="P171" s="233"/>
      <c r="Q171" s="233"/>
      <c r="R171" s="233"/>
      <c r="S171" s="233"/>
      <c r="T171" s="233"/>
      <c r="U171" s="233"/>
      <c r="V171" s="233"/>
      <c r="W171" s="233"/>
      <c r="X171" s="233"/>
      <c r="Y171" s="233"/>
      <c r="Z171" s="233"/>
      <c r="AA171" s="233"/>
      <c r="AB171" s="233"/>
      <c r="AC171" s="233"/>
      <c r="AD171" s="233"/>
      <c r="AE171" s="244"/>
      <c r="AF171" s="233"/>
      <c r="AG171" s="233"/>
      <c r="AH171" s="233"/>
      <c r="AI171" s="233"/>
      <c r="AJ171" s="23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</row>
    <row r="172" spans="1:46" outlineLevel="1">
      <c r="A172" s="240"/>
      <c r="B172" s="271" t="s">
        <v>101</v>
      </c>
      <c r="C172" s="271" t="s">
        <v>99</v>
      </c>
      <c r="D172" s="233">
        <f t="shared" ref="D172:U172" si="505">SUM(D173:D174)</f>
        <v>0</v>
      </c>
      <c r="E172" s="233">
        <f t="shared" si="505"/>
        <v>26116</v>
      </c>
      <c r="F172" s="233">
        <f t="shared" si="505"/>
        <v>39190</v>
      </c>
      <c r="G172" s="233">
        <f t="shared" si="505"/>
        <v>21267</v>
      </c>
      <c r="H172" s="233">
        <f t="shared" si="505"/>
        <v>29499</v>
      </c>
      <c r="I172" s="233">
        <f t="shared" si="505"/>
        <v>47559</v>
      </c>
      <c r="J172" s="233">
        <f t="shared" si="505"/>
        <v>15667</v>
      </c>
      <c r="K172" s="233">
        <f t="shared" si="505"/>
        <v>12818</v>
      </c>
      <c r="L172" s="233">
        <f t="shared" si="505"/>
        <v>8599</v>
      </c>
      <c r="M172" s="233">
        <f t="shared" si="505"/>
        <v>23917</v>
      </c>
      <c r="N172" s="233">
        <f t="shared" si="505"/>
        <v>1798</v>
      </c>
      <c r="O172" s="233">
        <f t="shared" si="505"/>
        <v>13172</v>
      </c>
      <c r="P172" s="233">
        <f t="shared" si="505"/>
        <v>1583</v>
      </c>
      <c r="Q172" s="233">
        <f t="shared" si="505"/>
        <v>1617</v>
      </c>
      <c r="R172" s="233">
        <f t="shared" si="505"/>
        <v>1766</v>
      </c>
      <c r="S172" s="233">
        <f t="shared" si="505"/>
        <v>1997</v>
      </c>
      <c r="T172" s="233">
        <f t="shared" si="505"/>
        <v>337</v>
      </c>
      <c r="U172" s="233">
        <f t="shared" si="505"/>
        <v>212</v>
      </c>
      <c r="V172" s="233">
        <f t="shared" ref="V172:W172" si="506">SUM(V173:V174)</f>
        <v>286</v>
      </c>
      <c r="W172" s="233">
        <f t="shared" si="506"/>
        <v>257</v>
      </c>
      <c r="X172" s="233">
        <f t="shared" ref="X172:Y172" si="507">SUM(X173:X174)</f>
        <v>304</v>
      </c>
      <c r="Y172" s="233">
        <f t="shared" si="507"/>
        <v>267</v>
      </c>
      <c r="Z172" s="233">
        <f t="shared" ref="Z172:AA172" si="508">SUM(Z173:Z174)</f>
        <v>285</v>
      </c>
      <c r="AA172" s="233">
        <f t="shared" si="508"/>
        <v>644</v>
      </c>
      <c r="AB172" s="233">
        <f t="shared" ref="AB172:AC172" si="509">SUM(AB173:AB174)</f>
        <v>324</v>
      </c>
      <c r="AC172" s="233">
        <f t="shared" si="509"/>
        <v>350</v>
      </c>
      <c r="AD172" s="233">
        <f t="shared" ref="AD172:AE172" si="510">SUM(AD173:AD174)</f>
        <v>378</v>
      </c>
      <c r="AE172" s="244">
        <f t="shared" si="510"/>
        <v>377</v>
      </c>
      <c r="AF172" s="233">
        <f t="shared" ref="AF172:AG172" si="511">SUM(AF173:AF174)</f>
        <v>400</v>
      </c>
      <c r="AG172" s="233">
        <f t="shared" si="511"/>
        <v>400</v>
      </c>
      <c r="AH172" s="233">
        <f t="shared" ref="AH172:AI172" si="512">SUM(AH173:AH174)</f>
        <v>400</v>
      </c>
      <c r="AI172" s="233">
        <f t="shared" si="512"/>
        <v>400</v>
      </c>
      <c r="AJ172" s="233">
        <f t="shared" ref="AJ172" si="513">SUM(AJ173:AJ174)</f>
        <v>400</v>
      </c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</row>
    <row r="173" spans="1:46" s="239" customFormat="1" outlineLevel="1">
      <c r="A173" s="240"/>
      <c r="B173" s="325" t="s">
        <v>100</v>
      </c>
      <c r="C173" s="325" t="s">
        <v>99</v>
      </c>
      <c r="D173" s="242">
        <f>'Raw Data'!D143</f>
        <v>0</v>
      </c>
      <c r="E173" s="242">
        <f>'Raw Data'!E143</f>
        <v>26116</v>
      </c>
      <c r="F173" s="242">
        <f>'Raw Data'!F143</f>
        <v>25033</v>
      </c>
      <c r="G173" s="242">
        <f>'Raw Data'!G143</f>
        <v>21267</v>
      </c>
      <c r="H173" s="242">
        <f>'Raw Data'!H143</f>
        <v>19499</v>
      </c>
      <c r="I173" s="242">
        <f>'Raw Data'!I143</f>
        <v>17559</v>
      </c>
      <c r="J173" s="242">
        <f>'Raw Data'!J143</f>
        <v>15667</v>
      </c>
      <c r="K173" s="242">
        <f>'Raw Data'!K143</f>
        <v>12818</v>
      </c>
      <c r="L173" s="242">
        <f>'Raw Data'!L143</f>
        <v>8410</v>
      </c>
      <c r="M173" s="242">
        <f>'Raw Data'!M143</f>
        <v>3728</v>
      </c>
      <c r="N173" s="242">
        <f>'Raw Data'!N143</f>
        <v>1632</v>
      </c>
      <c r="O173" s="242">
        <f>'Raw Data'!O143</f>
        <v>3030</v>
      </c>
      <c r="P173" s="242">
        <f>'Raw Data'!P143</f>
        <v>1441</v>
      </c>
      <c r="Q173" s="233">
        <f>'Raw Data'!Q143</f>
        <v>1535</v>
      </c>
      <c r="R173" s="233">
        <f>'Raw Data'!R143</f>
        <v>1714</v>
      </c>
      <c r="S173" s="233">
        <f>'Raw Data'!S143</f>
        <v>1945</v>
      </c>
      <c r="T173" s="233">
        <f>'Raw Data'!T143</f>
        <v>325</v>
      </c>
      <c r="U173" s="233">
        <f>'Raw Data'!U143</f>
        <v>212</v>
      </c>
      <c r="V173" s="233">
        <f>'Raw Data'!V143</f>
        <v>201</v>
      </c>
      <c r="W173" s="233">
        <f>'Raw Data'!W143</f>
        <v>227</v>
      </c>
      <c r="X173" s="233">
        <f>'Raw Data'!X143</f>
        <v>274</v>
      </c>
      <c r="Y173" s="233">
        <f>'Raw Data'!Y143</f>
        <v>267</v>
      </c>
      <c r="Z173" s="233">
        <f>'Raw Data'!Z143</f>
        <v>285</v>
      </c>
      <c r="AA173" s="233">
        <f>'Raw Data'!AA143</f>
        <v>644</v>
      </c>
      <c r="AB173" s="233">
        <f>'Raw Data'!AB143</f>
        <v>324</v>
      </c>
      <c r="AC173" s="233">
        <f>'Raw Data'!AC143</f>
        <v>350</v>
      </c>
      <c r="AD173" s="233">
        <f>'Raw Data'!AD143</f>
        <v>378</v>
      </c>
      <c r="AE173" s="244">
        <f>'Raw Data'!AE143</f>
        <v>377</v>
      </c>
      <c r="AF173" s="233">
        <f t="shared" ref="AF173:AJ173" si="514">ROUND(AE173,-2)</f>
        <v>400</v>
      </c>
      <c r="AG173" s="233">
        <f t="shared" si="514"/>
        <v>400</v>
      </c>
      <c r="AH173" s="233">
        <f t="shared" si="514"/>
        <v>400</v>
      </c>
      <c r="AI173" s="233">
        <f t="shared" si="514"/>
        <v>400</v>
      </c>
      <c r="AJ173" s="233">
        <f t="shared" si="514"/>
        <v>400</v>
      </c>
    </row>
    <row r="174" spans="1:46" s="239" customFormat="1" outlineLevel="1">
      <c r="A174" s="240"/>
      <c r="B174" s="325" t="s">
        <v>98</v>
      </c>
      <c r="C174" s="325" t="s">
        <v>97</v>
      </c>
      <c r="D174" s="242">
        <f>'Raw Data'!D144</f>
        <v>0</v>
      </c>
      <c r="E174" s="242">
        <f>'Raw Data'!E144</f>
        <v>0</v>
      </c>
      <c r="F174" s="242">
        <f>'Raw Data'!F144</f>
        <v>14157</v>
      </c>
      <c r="G174" s="242">
        <f>'Raw Data'!G144</f>
        <v>0</v>
      </c>
      <c r="H174" s="242">
        <f>'Raw Data'!H144</f>
        <v>10000</v>
      </c>
      <c r="I174" s="242">
        <f>'Raw Data'!I144</f>
        <v>30000</v>
      </c>
      <c r="J174" s="242">
        <f>'Raw Data'!J144</f>
        <v>0</v>
      </c>
      <c r="K174" s="242">
        <f>'Raw Data'!K144</f>
        <v>0</v>
      </c>
      <c r="L174" s="242">
        <f>'Raw Data'!L144</f>
        <v>189</v>
      </c>
      <c r="M174" s="242">
        <f>'Raw Data'!M144</f>
        <v>20189</v>
      </c>
      <c r="N174" s="242">
        <f>'Raw Data'!N144</f>
        <v>166</v>
      </c>
      <c r="O174" s="242">
        <f>'Raw Data'!O144</f>
        <v>10142</v>
      </c>
      <c r="P174" s="242">
        <f>'Raw Data'!P144</f>
        <v>142</v>
      </c>
      <c r="Q174" s="233">
        <f>'Raw Data'!Q144</f>
        <v>82</v>
      </c>
      <c r="R174" s="233">
        <f>'Raw Data'!R144</f>
        <v>52</v>
      </c>
      <c r="S174" s="233">
        <f>'Raw Data'!S144</f>
        <v>52</v>
      </c>
      <c r="T174" s="233">
        <f>'Raw Data'!T144</f>
        <v>12</v>
      </c>
      <c r="U174" s="233">
        <f>'Raw Data'!U144</f>
        <v>0</v>
      </c>
      <c r="V174" s="233">
        <f>'Raw Data'!V144</f>
        <v>85</v>
      </c>
      <c r="W174" s="233">
        <f>'Raw Data'!W144</f>
        <v>30</v>
      </c>
      <c r="X174" s="233">
        <f>'Raw Data'!X144</f>
        <v>30</v>
      </c>
      <c r="Y174" s="233">
        <f>'Raw Data'!Y144</f>
        <v>0</v>
      </c>
      <c r="Z174" s="233">
        <f>'Raw Data'!Z144</f>
        <v>0</v>
      </c>
      <c r="AA174" s="233">
        <f>'Raw Data'!AA144</f>
        <v>0</v>
      </c>
      <c r="AB174" s="233">
        <f>'Raw Data'!AB144</f>
        <v>0</v>
      </c>
      <c r="AC174" s="233">
        <f>'Raw Data'!AC144</f>
        <v>0</v>
      </c>
      <c r="AD174" s="233">
        <f>'Raw Data'!AD144</f>
        <v>0</v>
      </c>
      <c r="AE174" s="244">
        <f>'Raw Data'!AE144</f>
        <v>0</v>
      </c>
      <c r="AF174" s="251">
        <f t="shared" ref="AF174:AJ174" si="515">AE174</f>
        <v>0</v>
      </c>
      <c r="AG174" s="251">
        <f t="shared" si="515"/>
        <v>0</v>
      </c>
      <c r="AH174" s="251">
        <f t="shared" si="515"/>
        <v>0</v>
      </c>
      <c r="AI174" s="251">
        <f t="shared" si="515"/>
        <v>0</v>
      </c>
      <c r="AJ174" s="251">
        <f t="shared" si="515"/>
        <v>0</v>
      </c>
    </row>
    <row r="175" spans="1:46" s="239" customFormat="1" outlineLevel="1">
      <c r="A175" s="240"/>
      <c r="B175" s="336"/>
      <c r="C175" s="336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33"/>
      <c r="R175" s="233"/>
      <c r="S175" s="233"/>
      <c r="T175" s="233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44"/>
      <c r="AF175" s="251"/>
      <c r="AG175" s="251"/>
      <c r="AH175" s="251"/>
      <c r="AI175" s="251"/>
      <c r="AJ175" s="251"/>
    </row>
    <row r="176" spans="1:46" s="239" customFormat="1" outlineLevel="1">
      <c r="A176" s="240"/>
      <c r="B176" s="271" t="s">
        <v>96</v>
      </c>
      <c r="C176" s="271" t="s">
        <v>95</v>
      </c>
      <c r="D176" s="233">
        <f t="shared" ref="D176:U176" si="516">SUM(D177:D178)</f>
        <v>0</v>
      </c>
      <c r="E176" s="233">
        <f t="shared" si="516"/>
        <v>49748</v>
      </c>
      <c r="F176" s="233">
        <f t="shared" si="516"/>
        <v>48743</v>
      </c>
      <c r="G176" s="233">
        <f t="shared" si="516"/>
        <v>56593</v>
      </c>
      <c r="H176" s="233">
        <f t="shared" si="516"/>
        <v>45469</v>
      </c>
      <c r="I176" s="233">
        <f t="shared" si="516"/>
        <v>34466</v>
      </c>
      <c r="J176" s="233">
        <f t="shared" si="516"/>
        <v>32865</v>
      </c>
      <c r="K176" s="233">
        <f t="shared" si="516"/>
        <v>31480</v>
      </c>
      <c r="L176" s="233">
        <f t="shared" si="516"/>
        <v>31240</v>
      </c>
      <c r="M176" s="233">
        <f t="shared" si="516"/>
        <v>10680</v>
      </c>
      <c r="N176" s="233">
        <f t="shared" si="516"/>
        <v>10487</v>
      </c>
      <c r="O176" s="233">
        <f t="shared" si="516"/>
        <v>341</v>
      </c>
      <c r="P176" s="233">
        <f t="shared" si="516"/>
        <v>198</v>
      </c>
      <c r="Q176" s="233">
        <f t="shared" si="516"/>
        <v>116</v>
      </c>
      <c r="R176" s="233">
        <f t="shared" si="516"/>
        <v>64</v>
      </c>
      <c r="S176" s="233">
        <f t="shared" si="516"/>
        <v>12</v>
      </c>
      <c r="T176" s="233">
        <f t="shared" si="516"/>
        <v>0</v>
      </c>
      <c r="U176" s="233">
        <f t="shared" si="516"/>
        <v>0</v>
      </c>
      <c r="V176" s="233">
        <f t="shared" ref="V176:W176" si="517">SUM(V177:V178)</f>
        <v>30</v>
      </c>
      <c r="W176" s="233">
        <f t="shared" si="517"/>
        <v>0</v>
      </c>
      <c r="X176" s="233">
        <f t="shared" ref="X176:Y176" si="518">SUM(X177:X178)</f>
        <v>0</v>
      </c>
      <c r="Y176" s="233">
        <f t="shared" si="518"/>
        <v>0</v>
      </c>
      <c r="Z176" s="233">
        <f t="shared" ref="Z176:AA176" si="519">SUM(Z177:Z178)</f>
        <v>0</v>
      </c>
      <c r="AA176" s="233">
        <f t="shared" si="519"/>
        <v>0</v>
      </c>
      <c r="AB176" s="233">
        <f t="shared" ref="AB176:AC176" si="520">SUM(AB177:AB178)</f>
        <v>0</v>
      </c>
      <c r="AC176" s="233">
        <f t="shared" si="520"/>
        <v>0</v>
      </c>
      <c r="AD176" s="233">
        <f t="shared" ref="AD176:AE176" si="521">SUM(AD177:AD178)</f>
        <v>0</v>
      </c>
      <c r="AE176" s="244">
        <f t="shared" si="521"/>
        <v>0</v>
      </c>
      <c r="AF176" s="233">
        <f t="shared" ref="AF176:AG176" si="522">SUM(AF177:AF178)</f>
        <v>0</v>
      </c>
      <c r="AG176" s="233">
        <f t="shared" si="522"/>
        <v>0</v>
      </c>
      <c r="AH176" s="233">
        <f t="shared" ref="AH176:AI176" si="523">SUM(AH177:AH178)</f>
        <v>0</v>
      </c>
      <c r="AI176" s="233">
        <f t="shared" si="523"/>
        <v>0</v>
      </c>
      <c r="AJ176" s="233">
        <f t="shared" ref="AJ176" si="524">SUM(AJ177:AJ178)</f>
        <v>0</v>
      </c>
    </row>
    <row r="177" spans="1:46" s="239" customFormat="1" outlineLevel="1">
      <c r="A177" s="240"/>
      <c r="B177" s="325" t="s">
        <v>96</v>
      </c>
      <c r="C177" s="325" t="s">
        <v>95</v>
      </c>
      <c r="D177" s="242">
        <f>'Raw Data'!D155</f>
        <v>0</v>
      </c>
      <c r="E177" s="242">
        <f>'Raw Data'!E155</f>
        <v>5591</v>
      </c>
      <c r="F177" s="242">
        <f>'Raw Data'!F155</f>
        <v>8743</v>
      </c>
      <c r="G177" s="242">
        <f>'Raw Data'!G155</f>
        <v>6593</v>
      </c>
      <c r="H177" s="242">
        <f>'Raw Data'!H155</f>
        <v>5469</v>
      </c>
      <c r="I177" s="242">
        <f>'Raw Data'!I155</f>
        <v>4466</v>
      </c>
      <c r="J177" s="242">
        <f>'Raw Data'!J155</f>
        <v>2865</v>
      </c>
      <c r="K177" s="242">
        <f>'Raw Data'!K155</f>
        <v>1480</v>
      </c>
      <c r="L177" s="242">
        <f>'Raw Data'!L155</f>
        <v>1240</v>
      </c>
      <c r="M177" s="242">
        <f>'Raw Data'!M155</f>
        <v>680</v>
      </c>
      <c r="N177" s="242">
        <f>'Raw Data'!N155</f>
        <v>487</v>
      </c>
      <c r="O177" s="242">
        <f>'Raw Data'!O155</f>
        <v>341</v>
      </c>
      <c r="P177" s="242">
        <f>'Raw Data'!P155</f>
        <v>198</v>
      </c>
      <c r="Q177" s="233">
        <f>'Raw Data'!Q155</f>
        <v>116</v>
      </c>
      <c r="R177" s="233">
        <f>'Raw Data'!R155</f>
        <v>64</v>
      </c>
      <c r="S177" s="233">
        <f>'Raw Data'!S155</f>
        <v>12</v>
      </c>
      <c r="T177" s="233">
        <f>'Raw Data'!T155</f>
        <v>0</v>
      </c>
      <c r="U177" s="233">
        <f>'Raw Data'!U155</f>
        <v>0</v>
      </c>
      <c r="V177" s="233">
        <f>'Raw Data'!V155</f>
        <v>30</v>
      </c>
      <c r="W177" s="233">
        <f>'Raw Data'!W155</f>
        <v>0</v>
      </c>
      <c r="X177" s="233">
        <f>'Raw Data'!X155</f>
        <v>0</v>
      </c>
      <c r="Y177" s="233">
        <f>'Raw Data'!Y155</f>
        <v>0</v>
      </c>
      <c r="Z177" s="233">
        <f>'Raw Data'!Z155</f>
        <v>0</v>
      </c>
      <c r="AA177" s="233">
        <f>'Raw Data'!AA155</f>
        <v>0</v>
      </c>
      <c r="AB177" s="233">
        <f>'Raw Data'!AB155</f>
        <v>0</v>
      </c>
      <c r="AC177" s="233">
        <f>'Raw Data'!AC155</f>
        <v>0</v>
      </c>
      <c r="AD177" s="233">
        <f>'Raw Data'!AD155</f>
        <v>0</v>
      </c>
      <c r="AE177" s="244">
        <f>'Raw Data'!AE155</f>
        <v>0</v>
      </c>
      <c r="AF177" s="233"/>
      <c r="AG177" s="233"/>
      <c r="AH177" s="233"/>
      <c r="AI177" s="233"/>
      <c r="AJ177" s="233"/>
    </row>
    <row r="178" spans="1:46" outlineLevel="1">
      <c r="A178" s="240"/>
      <c r="B178" s="325" t="s">
        <v>94</v>
      </c>
      <c r="C178" s="325" t="s">
        <v>93</v>
      </c>
      <c r="D178" s="242">
        <f>'Raw Data'!D156</f>
        <v>0</v>
      </c>
      <c r="E178" s="242">
        <f>'Raw Data'!E156</f>
        <v>44157</v>
      </c>
      <c r="F178" s="242">
        <f>'Raw Data'!F156</f>
        <v>40000</v>
      </c>
      <c r="G178" s="242">
        <f>'Raw Data'!G156</f>
        <v>50000</v>
      </c>
      <c r="H178" s="242">
        <f>'Raw Data'!H156</f>
        <v>40000</v>
      </c>
      <c r="I178" s="242">
        <f>'Raw Data'!I156</f>
        <v>30000</v>
      </c>
      <c r="J178" s="242">
        <f>'Raw Data'!J156</f>
        <v>30000</v>
      </c>
      <c r="K178" s="242">
        <f>'Raw Data'!K156</f>
        <v>30000</v>
      </c>
      <c r="L178" s="242">
        <f>'Raw Data'!L156</f>
        <v>30000</v>
      </c>
      <c r="M178" s="242">
        <f>'Raw Data'!M156</f>
        <v>10000</v>
      </c>
      <c r="N178" s="242">
        <f>'Raw Data'!N156</f>
        <v>10000</v>
      </c>
      <c r="O178" s="242">
        <f>'Raw Data'!O156</f>
        <v>0</v>
      </c>
      <c r="P178" s="242">
        <f>'Raw Data'!P156</f>
        <v>0</v>
      </c>
      <c r="Q178" s="233">
        <f>'Raw Data'!Q156</f>
        <v>0</v>
      </c>
      <c r="R178" s="233">
        <f>'Raw Data'!R156</f>
        <v>0</v>
      </c>
      <c r="S178" s="233">
        <f>'Raw Data'!S156</f>
        <v>0</v>
      </c>
      <c r="T178" s="233">
        <f>'Raw Data'!T156</f>
        <v>0</v>
      </c>
      <c r="U178" s="233">
        <f>'Raw Data'!U156</f>
        <v>0</v>
      </c>
      <c r="V178" s="233">
        <f>'Raw Data'!V156</f>
        <v>0</v>
      </c>
      <c r="W178" s="233">
        <f>'Raw Data'!W156</f>
        <v>0</v>
      </c>
      <c r="X178" s="233">
        <f>'Raw Data'!X156</f>
        <v>0</v>
      </c>
      <c r="Y178" s="233">
        <f>'Raw Data'!Y156</f>
        <v>0</v>
      </c>
      <c r="Z178" s="233">
        <f>'Raw Data'!Z156</f>
        <v>0</v>
      </c>
      <c r="AA178" s="233">
        <f>'Raw Data'!AA156</f>
        <v>0</v>
      </c>
      <c r="AB178" s="233">
        <f>'Raw Data'!AB156</f>
        <v>0</v>
      </c>
      <c r="AC178" s="233">
        <f>'Raw Data'!AC156</f>
        <v>0</v>
      </c>
      <c r="AD178" s="233">
        <f>'Raw Data'!AD156</f>
        <v>0</v>
      </c>
      <c r="AE178" s="244">
        <f>'Raw Data'!AE156</f>
        <v>0</v>
      </c>
      <c r="AF178" s="280">
        <f t="shared" ref="AF178:AJ178" si="525">AE178</f>
        <v>0</v>
      </c>
      <c r="AG178" s="280">
        <f t="shared" si="525"/>
        <v>0</v>
      </c>
      <c r="AH178" s="280">
        <f t="shared" si="525"/>
        <v>0</v>
      </c>
      <c r="AI178" s="280">
        <f t="shared" si="525"/>
        <v>0</v>
      </c>
      <c r="AJ178" s="280">
        <f t="shared" si="525"/>
        <v>0</v>
      </c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</row>
    <row r="179" spans="1:46" s="239" customFormat="1" outlineLevel="1">
      <c r="A179" s="240"/>
      <c r="B179" s="325"/>
      <c r="C179" s="325"/>
      <c r="D179" s="337"/>
      <c r="E179" s="337"/>
      <c r="F179" s="337"/>
      <c r="G179" s="337"/>
      <c r="H179" s="337"/>
      <c r="I179" s="337"/>
      <c r="J179" s="337"/>
      <c r="K179" s="337"/>
      <c r="L179" s="337"/>
      <c r="M179" s="337"/>
      <c r="N179" s="337"/>
      <c r="O179" s="337"/>
      <c r="P179" s="337"/>
      <c r="Q179" s="316"/>
      <c r="R179" s="316"/>
      <c r="S179" s="316"/>
      <c r="T179" s="316"/>
      <c r="U179" s="316"/>
      <c r="V179" s="316"/>
      <c r="W179" s="316"/>
      <c r="X179" s="316"/>
      <c r="Y179" s="316"/>
      <c r="Z179" s="316"/>
      <c r="AA179" s="316"/>
      <c r="AB179" s="316"/>
      <c r="AC179" s="316"/>
      <c r="AD179" s="316"/>
      <c r="AE179" s="317"/>
      <c r="AF179" s="337"/>
      <c r="AG179" s="337"/>
      <c r="AH179" s="337"/>
      <c r="AI179" s="337"/>
      <c r="AJ179" s="337"/>
    </row>
    <row r="180" spans="1:46" outlineLevel="1">
      <c r="A180" s="240"/>
      <c r="B180" s="315" t="s">
        <v>92</v>
      </c>
      <c r="C180" s="315" t="s">
        <v>91</v>
      </c>
      <c r="D180" s="338" t="e">
        <f t="shared" ref="D180:U180" si="526">D125/D14*12</f>
        <v>#DIV/0!</v>
      </c>
      <c r="E180" s="338">
        <f t="shared" si="526"/>
        <v>1.7126980698619647</v>
      </c>
      <c r="F180" s="338">
        <f t="shared" si="526"/>
        <v>1.6151239272315334</v>
      </c>
      <c r="G180" s="338">
        <f t="shared" si="526"/>
        <v>1.5785563088425174</v>
      </c>
      <c r="H180" s="338">
        <f t="shared" si="526"/>
        <v>1.5823537385982918</v>
      </c>
      <c r="I180" s="338">
        <f t="shared" si="526"/>
        <v>1.6797404673468428</v>
      </c>
      <c r="J180" s="338">
        <f t="shared" si="526"/>
        <v>1.6296309915607934</v>
      </c>
      <c r="K180" s="338">
        <f t="shared" si="526"/>
        <v>1.5523917175215187</v>
      </c>
      <c r="L180" s="338">
        <f t="shared" si="526"/>
        <v>1.5265105126783802</v>
      </c>
      <c r="M180" s="338">
        <f t="shared" si="526"/>
        <v>1.5585200984520147</v>
      </c>
      <c r="N180" s="338">
        <f t="shared" si="526"/>
        <v>1.5852664740434599</v>
      </c>
      <c r="O180" s="338">
        <f t="shared" si="526"/>
        <v>1.6081604202193205</v>
      </c>
      <c r="P180" s="338">
        <f t="shared" si="526"/>
        <v>1.488142744579722</v>
      </c>
      <c r="Q180" s="339">
        <f t="shared" si="526"/>
        <v>1.4395320170277244</v>
      </c>
      <c r="R180" s="339">
        <f t="shared" si="526"/>
        <v>1.4636151165261291</v>
      </c>
      <c r="S180" s="339">
        <f t="shared" si="526"/>
        <v>1.5400949949495115</v>
      </c>
      <c r="T180" s="339">
        <f t="shared" si="526"/>
        <v>1.8032449811207898</v>
      </c>
      <c r="U180" s="339">
        <f t="shared" si="526"/>
        <v>1.5827264626574986</v>
      </c>
      <c r="V180" s="339">
        <f t="shared" ref="V180:W180" si="527">V125/V14*12</f>
        <v>1.5631583613401356</v>
      </c>
      <c r="W180" s="339">
        <f t="shared" si="527"/>
        <v>1.4573714981154544</v>
      </c>
      <c r="X180" s="339">
        <f t="shared" ref="X180:Y180" si="528">X125/X14*12</f>
        <v>1.5156388607687412</v>
      </c>
      <c r="Y180" s="339">
        <f t="shared" si="528"/>
        <v>1.5623160986521305</v>
      </c>
      <c r="Z180" s="339">
        <f t="shared" ref="Z180" si="529">Z125/Z14*12</f>
        <v>1.6592411978487489</v>
      </c>
      <c r="AA180" s="339">
        <f t="shared" ref="AA180:AB180" si="530">AA125/AA14*12</f>
        <v>1.6098378313685597</v>
      </c>
      <c r="AB180" s="339">
        <f t="shared" si="530"/>
        <v>1.6284459571522314</v>
      </c>
      <c r="AC180" s="339">
        <f t="shared" ref="AC180:AD180" si="531">AC125/AC14*12</f>
        <v>1.4649099065653359</v>
      </c>
      <c r="AD180" s="339">
        <f t="shared" si="531"/>
        <v>1.8615029253516648</v>
      </c>
      <c r="AE180" s="340">
        <f t="shared" ref="AE180" si="532">AE125/AE14*12</f>
        <v>1.6192810232545332</v>
      </c>
      <c r="AF180" s="339">
        <f t="shared" ref="AF180:AG180" si="533">AF125/AF14*12</f>
        <v>1.620811654526535</v>
      </c>
      <c r="AG180" s="339">
        <f t="shared" si="533"/>
        <v>1.6206409997984277</v>
      </c>
      <c r="AH180" s="339">
        <f t="shared" ref="AH180:AI180" si="534">AH125/AH14*12</f>
        <v>1.6203522504892367</v>
      </c>
      <c r="AI180" s="339">
        <f t="shared" si="534"/>
        <v>1.6203299829319173</v>
      </c>
      <c r="AJ180" s="339">
        <f t="shared" ref="AJ180" si="535">AJ125/AJ14*12</f>
        <v>1.6216814159292037</v>
      </c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</row>
    <row r="181" spans="1:46" outlineLevel="1">
      <c r="A181" s="240"/>
      <c r="B181" s="315" t="s">
        <v>90</v>
      </c>
      <c r="C181" s="315" t="s">
        <v>89</v>
      </c>
      <c r="D181" s="338" t="e">
        <f t="shared" ref="D181:U181" si="536">D126/D14*12</f>
        <v>#DIV/0!</v>
      </c>
      <c r="E181" s="338">
        <f t="shared" si="536"/>
        <v>1.2580258791651122</v>
      </c>
      <c r="F181" s="338">
        <f t="shared" si="536"/>
        <v>1.0796513681477262</v>
      </c>
      <c r="G181" s="338">
        <f t="shared" si="536"/>
        <v>0.78430491940783498</v>
      </c>
      <c r="H181" s="338">
        <f t="shared" si="536"/>
        <v>0.77479326839281915</v>
      </c>
      <c r="I181" s="338">
        <f t="shared" si="536"/>
        <v>0.78841506417791152</v>
      </c>
      <c r="J181" s="338">
        <f t="shared" si="536"/>
        <v>0.78291566309364025</v>
      </c>
      <c r="K181" s="338">
        <f t="shared" si="536"/>
        <v>0.88835311688840335</v>
      </c>
      <c r="L181" s="338">
        <f t="shared" si="536"/>
        <v>0.8060278705219599</v>
      </c>
      <c r="M181" s="338">
        <f t="shared" si="536"/>
        <v>0.84510064670097962</v>
      </c>
      <c r="N181" s="338">
        <f t="shared" si="536"/>
        <v>0.80092360882955305</v>
      </c>
      <c r="O181" s="338">
        <f t="shared" si="536"/>
        <v>0.75154034777629786</v>
      </c>
      <c r="P181" s="338">
        <f t="shared" si="536"/>
        <v>0.72176753170830898</v>
      </c>
      <c r="Q181" s="339">
        <f t="shared" si="536"/>
        <v>0.74303474785989077</v>
      </c>
      <c r="R181" s="339">
        <f t="shared" si="536"/>
        <v>0.65674500613629228</v>
      </c>
      <c r="S181" s="339">
        <f t="shared" si="536"/>
        <v>0.63418445234071352</v>
      </c>
      <c r="T181" s="339">
        <f t="shared" si="536"/>
        <v>0.77898239186511642</v>
      </c>
      <c r="U181" s="339">
        <f t="shared" si="536"/>
        <v>0.70266771544755557</v>
      </c>
      <c r="V181" s="339">
        <f t="shared" ref="V181:W181" si="537">V126/V14*12</f>
        <v>0.74424752371511238</v>
      </c>
      <c r="W181" s="339">
        <f t="shared" si="537"/>
        <v>0.74170052379091378</v>
      </c>
      <c r="X181" s="339">
        <f t="shared" ref="X181:Y181" si="538">X126/X14*12</f>
        <v>0.64881704046170385</v>
      </c>
      <c r="Y181" s="339">
        <f t="shared" si="538"/>
        <v>0.67087211702789296</v>
      </c>
      <c r="Z181" s="339">
        <f t="shared" ref="Z181" si="539">Z126/Z14*12</f>
        <v>0.73531431569688044</v>
      </c>
      <c r="AA181" s="339">
        <f t="shared" ref="AA181:AB181" si="540">AA126/AA14*12</f>
        <v>0.78457303572497161</v>
      </c>
      <c r="AB181" s="339">
        <f t="shared" si="540"/>
        <v>0.5770819962935454</v>
      </c>
      <c r="AC181" s="339">
        <f t="shared" ref="AC181:AD181" si="541">AC126/AC14*12</f>
        <v>0.62544938935740613</v>
      </c>
      <c r="AD181" s="339">
        <f t="shared" si="541"/>
        <v>0.72236683771559773</v>
      </c>
      <c r="AE181" s="340">
        <f t="shared" ref="AE181" si="542">AE126/AE14*12</f>
        <v>0.9473916096432653</v>
      </c>
      <c r="AF181" s="339">
        <f t="shared" ref="AF181:AG181" si="543">AF126/AF14*12</f>
        <v>0.94651404786680549</v>
      </c>
      <c r="AG181" s="339">
        <f t="shared" si="543"/>
        <v>0.94577706107639581</v>
      </c>
      <c r="AH181" s="339">
        <f t="shared" ref="AH181:AI181" si="544">AH126/AH14*12</f>
        <v>0.94637964774951078</v>
      </c>
      <c r="AI181" s="339">
        <f t="shared" si="544"/>
        <v>0.94670965294898546</v>
      </c>
      <c r="AJ181" s="339">
        <f t="shared" ref="AJ181" si="545">AJ126/AJ14*12</f>
        <v>0.94690265486725667</v>
      </c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</row>
    <row r="182" spans="1:46" outlineLevel="1">
      <c r="A182" s="240"/>
      <c r="B182" s="315" t="s">
        <v>88</v>
      </c>
      <c r="C182" s="315" t="s">
        <v>87</v>
      </c>
      <c r="D182" s="338" t="e">
        <f t="shared" ref="D182:U182" si="546">D140/D14*12</f>
        <v>#DIV/0!</v>
      </c>
      <c r="E182" s="338">
        <f t="shared" si="546"/>
        <v>0.87360835673192083</v>
      </c>
      <c r="F182" s="338">
        <f t="shared" si="546"/>
        <v>0.82984309020960545</v>
      </c>
      <c r="G182" s="338">
        <f t="shared" si="546"/>
        <v>0.81271774414588149</v>
      </c>
      <c r="H182" s="338">
        <f t="shared" si="546"/>
        <v>0.81550051319790073</v>
      </c>
      <c r="I182" s="338">
        <f t="shared" si="546"/>
        <v>0.80353566223141648</v>
      </c>
      <c r="J182" s="338">
        <f t="shared" si="546"/>
        <v>0.69572891577341012</v>
      </c>
      <c r="K182" s="338">
        <f t="shared" si="546"/>
        <v>0.73693142501088071</v>
      </c>
      <c r="L182" s="338">
        <f t="shared" si="546"/>
        <v>0.73162053807381433</v>
      </c>
      <c r="M182" s="338">
        <f t="shared" si="546"/>
        <v>0.73608812560760306</v>
      </c>
      <c r="N182" s="338">
        <f t="shared" si="546"/>
        <v>0.73688509237623556</v>
      </c>
      <c r="O182" s="338">
        <f t="shared" si="546"/>
        <v>0.71711124111577196</v>
      </c>
      <c r="P182" s="338">
        <f t="shared" si="546"/>
        <v>0.7492946648704979</v>
      </c>
      <c r="Q182" s="339">
        <f t="shared" si="546"/>
        <v>0.76155286388066934</v>
      </c>
      <c r="R182" s="339">
        <f t="shared" si="546"/>
        <v>0.71150546875247755</v>
      </c>
      <c r="S182" s="339">
        <f t="shared" si="546"/>
        <v>0.741549012621318</v>
      </c>
      <c r="T182" s="339">
        <f t="shared" si="546"/>
        <v>0.82234849900930884</v>
      </c>
      <c r="U182" s="339">
        <f t="shared" si="546"/>
        <v>0.75620198126707061</v>
      </c>
      <c r="V182" s="339">
        <f t="shared" ref="V182:W182" si="547">V140/V14*12</f>
        <v>0.78438389064854896</v>
      </c>
      <c r="W182" s="339">
        <f t="shared" si="547"/>
        <v>0.77962749731809611</v>
      </c>
      <c r="X182" s="339">
        <f t="shared" ref="X182:Y182" si="548">X140/X14*12</f>
        <v>0.75063400786900303</v>
      </c>
      <c r="Y182" s="339">
        <f t="shared" si="548"/>
        <v>0.76322129832391727</v>
      </c>
      <c r="Z182" s="339">
        <f t="shared" ref="Z182" si="549">Z140/Z14*12</f>
        <v>0.80358644742629182</v>
      </c>
      <c r="AA182" s="339">
        <f t="shared" ref="AA182:AB182" si="550">AA140/AA14*12</f>
        <v>0.78750523607204825</v>
      </c>
      <c r="AB182" s="339">
        <f t="shared" si="550"/>
        <v>0.7364162766716903</v>
      </c>
      <c r="AC182" s="339">
        <f t="shared" ref="AC182:AD182" si="551">AC140/AC14*12</f>
        <v>0.71351413495692328</v>
      </c>
      <c r="AD182" s="339">
        <f t="shared" si="551"/>
        <v>0.94447779360710382</v>
      </c>
      <c r="AE182" s="340">
        <f t="shared" ref="AE182" si="552">AE140/AE14*12</f>
        <v>0.88997810852115489</v>
      </c>
      <c r="AF182" s="339">
        <f t="shared" ref="AF182:AG182" si="553">AF140/AF14*12</f>
        <v>0.88907388137356924</v>
      </c>
      <c r="AG182" s="339">
        <f t="shared" si="553"/>
        <v>0.89014311630719611</v>
      </c>
      <c r="AH182" s="339">
        <f t="shared" ref="AH182:AI182" si="554">AH140/AH14*12</f>
        <v>0.89001956947162419</v>
      </c>
      <c r="AI182" s="339">
        <f t="shared" si="554"/>
        <v>0.88981604399772429</v>
      </c>
      <c r="AJ182" s="339">
        <f t="shared" ref="AJ182" si="555">AJ140/AJ14*12</f>
        <v>0.88938053097345138</v>
      </c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</row>
    <row r="183" spans="1:46" outlineLevel="1">
      <c r="A183" s="240"/>
      <c r="B183" s="315"/>
      <c r="C183" s="315"/>
      <c r="D183" s="338"/>
      <c r="E183" s="338"/>
      <c r="F183" s="338"/>
      <c r="G183" s="338"/>
      <c r="H183" s="338"/>
      <c r="I183" s="338"/>
      <c r="J183" s="338"/>
      <c r="K183" s="338"/>
      <c r="L183" s="338"/>
      <c r="M183" s="338"/>
      <c r="N183" s="338"/>
      <c r="O183" s="338"/>
      <c r="P183" s="338"/>
      <c r="Q183" s="338"/>
      <c r="R183" s="338"/>
      <c r="S183" s="338"/>
      <c r="T183" s="338"/>
      <c r="U183" s="338"/>
      <c r="V183" s="338"/>
      <c r="W183" s="338"/>
      <c r="X183" s="338"/>
      <c r="Y183" s="338"/>
      <c r="Z183" s="338"/>
      <c r="AA183" s="338"/>
      <c r="AB183" s="338"/>
      <c r="AC183" s="338"/>
      <c r="AD183" s="338"/>
      <c r="AE183" s="341"/>
      <c r="AF183" s="338"/>
      <c r="AG183" s="338"/>
      <c r="AH183" s="338"/>
      <c r="AI183" s="338"/>
      <c r="AJ183" s="338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</row>
    <row r="184" spans="1:46" outlineLevel="1">
      <c r="A184" s="240"/>
      <c r="B184" s="315" t="s">
        <v>86</v>
      </c>
      <c r="C184" s="315" t="s">
        <v>85</v>
      </c>
      <c r="D184" s="233" t="e">
        <f t="shared" ref="D184:U184" si="556">IF(ISNUMBER(D90),D155/D90," ")</f>
        <v>#DIV/0!</v>
      </c>
      <c r="E184" s="233">
        <f t="shared" si="556"/>
        <v>847.13307713805432</v>
      </c>
      <c r="F184" s="233">
        <f t="shared" si="556"/>
        <v>846.65508741061285</v>
      </c>
      <c r="G184" s="233">
        <f t="shared" si="556"/>
        <v>843.02056174723612</v>
      </c>
      <c r="H184" s="233">
        <f t="shared" si="556"/>
        <v>867.93915829291802</v>
      </c>
      <c r="I184" s="233">
        <f t="shared" si="556"/>
        <v>829.60077468246072</v>
      </c>
      <c r="J184" s="233">
        <f t="shared" si="556"/>
        <v>878.83445808942622</v>
      </c>
      <c r="K184" s="233">
        <f t="shared" si="556"/>
        <v>960.19226662354299</v>
      </c>
      <c r="L184" s="233">
        <f t="shared" si="556"/>
        <v>1022.18251209477</v>
      </c>
      <c r="M184" s="233">
        <f t="shared" si="556"/>
        <v>1136.3776307773232</v>
      </c>
      <c r="N184" s="233">
        <f t="shared" si="556"/>
        <v>1249.5927514195562</v>
      </c>
      <c r="O184" s="233">
        <f t="shared" si="556"/>
        <v>1342.4982562781338</v>
      </c>
      <c r="P184" s="233">
        <f t="shared" si="556"/>
        <v>1350.8599776770873</v>
      </c>
      <c r="Q184" s="233">
        <f t="shared" si="556"/>
        <v>1442.4639509343676</v>
      </c>
      <c r="R184" s="233">
        <f t="shared" si="556"/>
        <v>1575.672979265461</v>
      </c>
      <c r="S184" s="233">
        <f t="shared" si="556"/>
        <v>1596.5746185243704</v>
      </c>
      <c r="T184" s="233">
        <f t="shared" si="556"/>
        <v>1727.75660319761</v>
      </c>
      <c r="U184" s="233">
        <f t="shared" si="556"/>
        <v>1944.9162633695312</v>
      </c>
      <c r="V184" s="233">
        <f t="shared" ref="V184:W184" si="557">IF(ISNUMBER(V90),V155/V90," ")</f>
        <v>2188.8875905156392</v>
      </c>
      <c r="W184" s="233">
        <f t="shared" si="557"/>
        <v>2444.9921321166012</v>
      </c>
      <c r="X184" s="233">
        <f t="shared" ref="X184:Y184" si="558">IF(ISNUMBER(X90),X155/X90," ")</f>
        <v>2501.0072735879612</v>
      </c>
      <c r="Y184" s="233">
        <f t="shared" si="558"/>
        <v>2655.4326935622271</v>
      </c>
      <c r="Z184" s="233">
        <f t="shared" ref="Z184" si="559">IF(ISNUMBER(Z90),Z155/Z90," ")</f>
        <v>2740.7063601608888</v>
      </c>
      <c r="AA184" s="233">
        <f t="shared" ref="AA184:AB184" si="560">IF(ISNUMBER(AA90),AA155/AA90," ")</f>
        <v>2904.5315360566319</v>
      </c>
      <c r="AB184" s="233">
        <f t="shared" si="560"/>
        <v>3002.5591473710006</v>
      </c>
      <c r="AC184" s="233">
        <f t="shared" ref="AC184:AD184" si="561">IF(ISNUMBER(AC90),AC155/AC90," ")</f>
        <v>3245.5133977669452</v>
      </c>
      <c r="AD184" s="233">
        <f t="shared" si="561"/>
        <v>3474.8736878454993</v>
      </c>
      <c r="AE184" s="244">
        <f t="shared" ref="AE184" si="562">IF(ISNUMBER(AE90),AE155/AE90," ")</f>
        <v>3840.0576879624396</v>
      </c>
      <c r="AF184" s="233">
        <f t="shared" ref="AF184:AG184" si="563">IF(ISNUMBER(AF90),AF155/AF90," ")</f>
        <v>4187.907625783223</v>
      </c>
      <c r="AG184" s="233">
        <f t="shared" si="563"/>
        <v>4559.9920068441588</v>
      </c>
      <c r="AH184" s="233">
        <f t="shared" ref="AH184:AI184" si="564">IF(ISNUMBER(AH90),AH155/AH90," ")</f>
        <v>4929.1388796335614</v>
      </c>
      <c r="AI184" s="233">
        <f t="shared" si="564"/>
        <v>5291.4315664560518</v>
      </c>
      <c r="AJ184" s="233">
        <f t="shared" ref="AJ184" si="565">IF(ISNUMBER(AJ90),AJ155/AJ90," ")</f>
        <v>5661.557608669299</v>
      </c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</row>
    <row r="185" spans="1:46" outlineLevel="1">
      <c r="A185" s="240"/>
      <c r="B185" s="315" t="s">
        <v>84</v>
      </c>
      <c r="C185" s="315" t="s">
        <v>83</v>
      </c>
      <c r="D185" s="233">
        <f t="shared" ref="D185:U185" si="566">D128-D143</f>
        <v>0</v>
      </c>
      <c r="E185" s="233">
        <f t="shared" si="566"/>
        <v>43669</v>
      </c>
      <c r="F185" s="233">
        <f t="shared" si="566"/>
        <v>37362</v>
      </c>
      <c r="G185" s="233">
        <f t="shared" si="566"/>
        <v>44572</v>
      </c>
      <c r="H185" s="233">
        <f t="shared" si="566"/>
        <v>46054</v>
      </c>
      <c r="I185" s="233">
        <f t="shared" si="566"/>
        <v>30025</v>
      </c>
      <c r="J185" s="233">
        <f t="shared" si="566"/>
        <v>35195</v>
      </c>
      <c r="K185" s="233">
        <f t="shared" si="566"/>
        <v>41744</v>
      </c>
      <c r="L185" s="233">
        <f t="shared" si="566"/>
        <v>48863</v>
      </c>
      <c r="M185" s="233">
        <f t="shared" si="566"/>
        <v>36448</v>
      </c>
      <c r="N185" s="233">
        <f t="shared" si="566"/>
        <v>56494</v>
      </c>
      <c r="O185" s="233">
        <f t="shared" si="566"/>
        <v>49627</v>
      </c>
      <c r="P185" s="233">
        <f t="shared" si="566"/>
        <v>59314</v>
      </c>
      <c r="Q185" s="233">
        <f t="shared" si="566"/>
        <v>68895</v>
      </c>
      <c r="R185" s="233">
        <f t="shared" si="566"/>
        <v>66670</v>
      </c>
      <c r="S185" s="233">
        <f t="shared" si="566"/>
        <v>76729</v>
      </c>
      <c r="T185" s="233">
        <f t="shared" si="566"/>
        <v>87331</v>
      </c>
      <c r="U185" s="233">
        <f t="shared" si="566"/>
        <v>102194</v>
      </c>
      <c r="V185" s="233">
        <f t="shared" ref="V185:W185" si="567">V128-V143</f>
        <v>114235</v>
      </c>
      <c r="W185" s="233">
        <f t="shared" si="567"/>
        <v>133383</v>
      </c>
      <c r="X185" s="233">
        <f t="shared" ref="X185:Y185" si="568">X128-X143</f>
        <v>136599</v>
      </c>
      <c r="Y185" s="233">
        <f t="shared" si="568"/>
        <v>147095</v>
      </c>
      <c r="Z185" s="233">
        <f t="shared" ref="Z185" si="569">Z128-Z143</f>
        <v>149335</v>
      </c>
      <c r="AA185" s="233">
        <f t="shared" ref="AA185:AB185" si="570">AA128-AA143</f>
        <v>149428</v>
      </c>
      <c r="AB185" s="233">
        <f t="shared" si="570"/>
        <v>158976</v>
      </c>
      <c r="AC185" s="233">
        <f t="shared" ref="AC185:AD185" si="571">AC128-AC143</f>
        <v>180128</v>
      </c>
      <c r="AD185" s="233">
        <f t="shared" si="571"/>
        <v>204368</v>
      </c>
      <c r="AE185" s="244">
        <f t="shared" ref="AE185" si="572">AE128-AE143</f>
        <v>220428</v>
      </c>
      <c r="AF185" s="233">
        <f t="shared" ref="AF185:AG185" si="573">AF128-AF143</f>
        <v>238600</v>
      </c>
      <c r="AG185" s="233">
        <f t="shared" si="573"/>
        <v>255700</v>
      </c>
      <c r="AH185" s="233">
        <f t="shared" ref="AH185:AI185" si="574">AH128-AH143</f>
        <v>272300</v>
      </c>
      <c r="AI185" s="233">
        <f t="shared" si="574"/>
        <v>293900</v>
      </c>
      <c r="AJ185" s="233">
        <f t="shared" ref="AJ185" si="575">AJ128-AJ143</f>
        <v>316800</v>
      </c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</row>
    <row r="186" spans="1:46" outlineLevel="1">
      <c r="A186" s="240"/>
      <c r="B186" s="315" t="s">
        <v>82</v>
      </c>
      <c r="C186" s="315" t="s">
        <v>81</v>
      </c>
      <c r="D186" s="233">
        <f t="shared" ref="D186:U186" si="576">+D145+D141</f>
        <v>0</v>
      </c>
      <c r="E186" s="233">
        <f t="shared" si="576"/>
        <v>75864</v>
      </c>
      <c r="F186" s="233">
        <f t="shared" si="576"/>
        <v>87933</v>
      </c>
      <c r="G186" s="233">
        <f t="shared" si="576"/>
        <v>77860</v>
      </c>
      <c r="H186" s="233">
        <f t="shared" si="576"/>
        <v>74968</v>
      </c>
      <c r="I186" s="233">
        <f t="shared" si="576"/>
        <v>82025</v>
      </c>
      <c r="J186" s="233">
        <f t="shared" si="576"/>
        <v>48532</v>
      </c>
      <c r="K186" s="233">
        <f t="shared" si="576"/>
        <v>44298</v>
      </c>
      <c r="L186" s="233">
        <f t="shared" si="576"/>
        <v>39839</v>
      </c>
      <c r="M186" s="233">
        <f t="shared" si="576"/>
        <v>34597</v>
      </c>
      <c r="N186" s="233">
        <f t="shared" si="576"/>
        <v>12285</v>
      </c>
      <c r="O186" s="233">
        <f t="shared" si="576"/>
        <v>13513</v>
      </c>
      <c r="P186" s="233">
        <f t="shared" si="576"/>
        <v>1781</v>
      </c>
      <c r="Q186" s="233">
        <f t="shared" si="576"/>
        <v>1733</v>
      </c>
      <c r="R186" s="233">
        <f t="shared" si="576"/>
        <v>1830</v>
      </c>
      <c r="S186" s="233">
        <f t="shared" si="576"/>
        <v>2009</v>
      </c>
      <c r="T186" s="233">
        <f t="shared" si="576"/>
        <v>337</v>
      </c>
      <c r="U186" s="233">
        <f t="shared" si="576"/>
        <v>212</v>
      </c>
      <c r="V186" s="233">
        <f t="shared" ref="V186:W186" si="577">+V145+V141</f>
        <v>316</v>
      </c>
      <c r="W186" s="233">
        <f t="shared" si="577"/>
        <v>257</v>
      </c>
      <c r="X186" s="233">
        <f t="shared" ref="X186" si="578">+X145+X141</f>
        <v>304</v>
      </c>
      <c r="Y186" s="233">
        <f>+Y145+Y141</f>
        <v>267</v>
      </c>
      <c r="Z186" s="233">
        <f t="shared" ref="Z186" si="579">+Z145+Z141</f>
        <v>285</v>
      </c>
      <c r="AA186" s="233">
        <f t="shared" ref="AA186:AB186" si="580">+AA145+AA141</f>
        <v>644</v>
      </c>
      <c r="AB186" s="233">
        <f t="shared" si="580"/>
        <v>324</v>
      </c>
      <c r="AC186" s="233">
        <f t="shared" ref="AC186:AD186" si="581">+AC145+AC141</f>
        <v>350</v>
      </c>
      <c r="AD186" s="233">
        <f t="shared" si="581"/>
        <v>378</v>
      </c>
      <c r="AE186" s="244">
        <f t="shared" ref="AE186" si="582">+AE145+AE141</f>
        <v>377</v>
      </c>
      <c r="AF186" s="233">
        <f t="shared" ref="AF186:AG186" si="583">+AF145+AF141</f>
        <v>400</v>
      </c>
      <c r="AG186" s="233">
        <f t="shared" si="583"/>
        <v>400</v>
      </c>
      <c r="AH186" s="233">
        <f t="shared" ref="AH186:AI186" si="584">+AH145+AH141</f>
        <v>400</v>
      </c>
      <c r="AI186" s="233">
        <f t="shared" si="584"/>
        <v>400</v>
      </c>
      <c r="AJ186" s="233">
        <f t="shared" ref="AJ186" si="585">+AJ145+AJ141</f>
        <v>400</v>
      </c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</row>
    <row r="187" spans="1:46" outlineLevel="1">
      <c r="A187" s="240"/>
      <c r="B187" s="315" t="s">
        <v>17</v>
      </c>
      <c r="C187" s="315" t="s">
        <v>80</v>
      </c>
      <c r="D187" s="233">
        <f t="shared" ref="D187:U187" si="586">+D145+D141-D124</f>
        <v>0</v>
      </c>
      <c r="E187" s="233">
        <f t="shared" si="586"/>
        <v>43299</v>
      </c>
      <c r="F187" s="233">
        <f t="shared" si="586"/>
        <v>52584</v>
      </c>
      <c r="G187" s="233">
        <f t="shared" si="586"/>
        <v>38026</v>
      </c>
      <c r="H187" s="233">
        <f t="shared" si="586"/>
        <v>26744</v>
      </c>
      <c r="I187" s="233">
        <f t="shared" si="586"/>
        <v>33886</v>
      </c>
      <c r="J187" s="233">
        <f t="shared" si="586"/>
        <v>27853</v>
      </c>
      <c r="K187" s="233">
        <f t="shared" si="586"/>
        <v>19977</v>
      </c>
      <c r="L187" s="233">
        <f t="shared" si="586"/>
        <v>10958</v>
      </c>
      <c r="M187" s="233">
        <f t="shared" si="586"/>
        <v>2911</v>
      </c>
      <c r="N187" s="233">
        <f t="shared" si="586"/>
        <v>-20808</v>
      </c>
      <c r="O187" s="233">
        <f t="shared" si="586"/>
        <v>-23714</v>
      </c>
      <c r="P187" s="233">
        <f t="shared" si="586"/>
        <v>-36052</v>
      </c>
      <c r="Q187" s="233">
        <f t="shared" si="586"/>
        <v>-48267</v>
      </c>
      <c r="R187" s="233">
        <f t="shared" si="586"/>
        <v>-45304</v>
      </c>
      <c r="S187" s="233">
        <f t="shared" si="586"/>
        <v>-55639</v>
      </c>
      <c r="T187" s="233">
        <f t="shared" si="586"/>
        <v>-59871</v>
      </c>
      <c r="U187" s="233">
        <f t="shared" si="586"/>
        <v>-77785</v>
      </c>
      <c r="V187" s="233">
        <f t="shared" ref="V187:W187" si="587">+V145+V141-V124</f>
        <v>-87966</v>
      </c>
      <c r="W187" s="233">
        <f t="shared" si="587"/>
        <v>-106074</v>
      </c>
      <c r="X187" s="233">
        <f t="shared" ref="X187:Y187" si="588">+X145+X141-X124</f>
        <v>-112260</v>
      </c>
      <c r="Y187" s="233">
        <f t="shared" si="588"/>
        <v>-120942</v>
      </c>
      <c r="Z187" s="233">
        <f t="shared" ref="Z187" si="589">+Z145+Z141-Z124</f>
        <v>-118485</v>
      </c>
      <c r="AA187" s="233">
        <f t="shared" ref="AA187:AB187" si="590">+AA145+AA141-AA124</f>
        <v>-117636</v>
      </c>
      <c r="AB187" s="233">
        <f t="shared" si="590"/>
        <v>-135430</v>
      </c>
      <c r="AC187" s="233">
        <f t="shared" ref="AC187:AD187" si="591">+AC145+AC141-AC124</f>
        <v>-159194</v>
      </c>
      <c r="AD187" s="233">
        <f t="shared" si="591"/>
        <v>-177544</v>
      </c>
      <c r="AE187" s="244">
        <f>+AE145+AE141-AE124</f>
        <v>-185636</v>
      </c>
      <c r="AF187" s="233">
        <f t="shared" ref="AF187" si="592">+AF145+AF141-AF124</f>
        <v>-191700</v>
      </c>
      <c r="AG187" s="233">
        <f>+AG145+AG141-AG124</f>
        <v>-200900</v>
      </c>
      <c r="AH187" s="233">
        <f>+AH145+AH141-AH124</f>
        <v>-209600</v>
      </c>
      <c r="AI187" s="233">
        <f>+AI145+AI141-AI124</f>
        <v>-223100</v>
      </c>
      <c r="AJ187" s="233">
        <f>+AJ145+AJ141-AJ124</f>
        <v>-238000</v>
      </c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</row>
    <row r="188" spans="1:46" outlineLevel="1">
      <c r="A188" s="240"/>
      <c r="B188" s="315" t="s">
        <v>1130</v>
      </c>
      <c r="C188" s="315" t="s">
        <v>1291</v>
      </c>
      <c r="D188" s="233"/>
      <c r="E188" s="233">
        <f t="shared" ref="E188:U188" si="593">E187-E170</f>
        <v>30943</v>
      </c>
      <c r="F188" s="233">
        <f t="shared" si="593"/>
        <v>40695</v>
      </c>
      <c r="G188" s="233">
        <f t="shared" si="593"/>
        <v>24851</v>
      </c>
      <c r="H188" s="233">
        <f t="shared" si="593"/>
        <v>13821</v>
      </c>
      <c r="I188" s="233">
        <f t="shared" si="593"/>
        <v>11522</v>
      </c>
      <c r="J188" s="233">
        <f t="shared" si="593"/>
        <v>11332</v>
      </c>
      <c r="K188" s="233">
        <f t="shared" si="593"/>
        <v>6424</v>
      </c>
      <c r="L188" s="233">
        <f t="shared" si="593"/>
        <v>-5285</v>
      </c>
      <c r="M188" s="233">
        <f t="shared" si="593"/>
        <v>-12775</v>
      </c>
      <c r="N188" s="233">
        <f t="shared" si="593"/>
        <v>-39529</v>
      </c>
      <c r="O188" s="233">
        <f t="shared" si="593"/>
        <v>-42032</v>
      </c>
      <c r="P188" s="233">
        <f t="shared" si="593"/>
        <v>-50955</v>
      </c>
      <c r="Q188" s="233">
        <f t="shared" si="593"/>
        <v>-61861</v>
      </c>
      <c r="R188" s="233">
        <f t="shared" si="593"/>
        <v>-59994</v>
      </c>
      <c r="S188" s="233">
        <f t="shared" si="593"/>
        <v>-69799</v>
      </c>
      <c r="T188" s="233">
        <f t="shared" si="593"/>
        <v>-74818</v>
      </c>
      <c r="U188" s="233">
        <f t="shared" si="593"/>
        <v>-96170</v>
      </c>
      <c r="V188" s="233">
        <f t="shared" ref="V188:W188" si="594">V187-V170</f>
        <v>-108080</v>
      </c>
      <c r="W188" s="233">
        <f t="shared" si="594"/>
        <v>-132819</v>
      </c>
      <c r="X188" s="233">
        <f t="shared" ref="X188:Y188" si="595">X187-X170</f>
        <v>-140365</v>
      </c>
      <c r="Y188" s="233">
        <f t="shared" si="595"/>
        <v>-150631</v>
      </c>
      <c r="Z188" s="233">
        <f t="shared" ref="Z188" si="596">Z187-Z170</f>
        <v>-149801</v>
      </c>
      <c r="AA188" s="233">
        <f t="shared" ref="AA188:AB188" si="597">AA187-AA170</f>
        <v>-148045</v>
      </c>
      <c r="AB188" s="233">
        <f t="shared" si="597"/>
        <v>-162448</v>
      </c>
      <c r="AC188" s="233">
        <f t="shared" ref="AC188:AD188" si="598">AC187-AC170</f>
        <v>-188363</v>
      </c>
      <c r="AD188" s="233">
        <f t="shared" si="598"/>
        <v>-205800</v>
      </c>
      <c r="AE188" s="244">
        <f>AE187-AE170</f>
        <v>-213892</v>
      </c>
      <c r="AF188" s="233">
        <f t="shared" ref="AF188:AG188" si="599">AF187-AF170</f>
        <v>-220100</v>
      </c>
      <c r="AG188" s="233">
        <f t="shared" si="599"/>
        <v>-229400</v>
      </c>
      <c r="AH188" s="233">
        <f t="shared" ref="AH188:AI188" si="600">AH187-AH170</f>
        <v>-238200</v>
      </c>
      <c r="AI188" s="233">
        <f t="shared" si="600"/>
        <v>-251800</v>
      </c>
      <c r="AJ188" s="233">
        <f>AJ187-AJ170</f>
        <v>-266800</v>
      </c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</row>
    <row r="189" spans="1:46" outlineLevel="1">
      <c r="A189" s="240"/>
      <c r="B189" s="315" t="s">
        <v>11</v>
      </c>
      <c r="C189" s="315" t="s">
        <v>79</v>
      </c>
      <c r="D189" s="233"/>
      <c r="E189" s="233"/>
      <c r="F189" s="233"/>
      <c r="G189" s="233"/>
      <c r="H189" s="233"/>
      <c r="I189" s="233"/>
      <c r="J189" s="233"/>
      <c r="K189" s="233"/>
      <c r="L189" s="233"/>
      <c r="M189" s="233"/>
      <c r="N189" s="233"/>
      <c r="O189" s="233"/>
      <c r="P189" s="342">
        <f t="shared" ref="P189:AJ189" si="601">P76/((P155+O155)*0.5)</f>
        <v>8.2848678511897395E-2</v>
      </c>
      <c r="Q189" s="343">
        <f t="shared" si="601"/>
        <v>9.7111377178229472E-2</v>
      </c>
      <c r="R189" s="343">
        <f t="shared" si="601"/>
        <v>0.12015322685365537</v>
      </c>
      <c r="S189" s="343">
        <f t="shared" si="601"/>
        <v>7.6603884184059112E-2</v>
      </c>
      <c r="T189" s="343">
        <f t="shared" si="601"/>
        <v>9.4918707565113447E-2</v>
      </c>
      <c r="U189" s="343">
        <f t="shared" si="601"/>
        <v>9.211136519917483E-2</v>
      </c>
      <c r="V189" s="343">
        <f t="shared" si="601"/>
        <v>0.10762818235642392</v>
      </c>
      <c r="W189" s="343">
        <f t="shared" si="601"/>
        <v>7.1421779818413481E-2</v>
      </c>
      <c r="X189" s="343">
        <f t="shared" si="601"/>
        <v>7.2705316400566183E-2</v>
      </c>
      <c r="Y189" s="343">
        <f t="shared" si="601"/>
        <v>7.9134108711132203E-2</v>
      </c>
      <c r="Z189" s="343">
        <f t="shared" si="601"/>
        <v>6.6887556613633728E-2</v>
      </c>
      <c r="AA189" s="343">
        <f t="shared" si="601"/>
        <v>6.3960537201908613E-2</v>
      </c>
      <c r="AB189" s="343">
        <f t="shared" si="601"/>
        <v>7.7505785003414637E-2</v>
      </c>
      <c r="AC189" s="343">
        <f t="shared" si="601"/>
        <v>9.1113531472093154E-2</v>
      </c>
      <c r="AD189" s="343">
        <f t="shared" si="601"/>
        <v>6.5314662287878147E-2</v>
      </c>
      <c r="AE189" s="344">
        <f t="shared" si="601"/>
        <v>8.8684114711614664E-2</v>
      </c>
      <c r="AF189" s="343">
        <f>AF76/((AF155+AE155)*0.5)</f>
        <v>0.11904253697209941</v>
      </c>
      <c r="AG189" s="343">
        <f t="shared" si="601"/>
        <v>0.11708081486456234</v>
      </c>
      <c r="AH189" s="343">
        <f t="shared" si="601"/>
        <v>0.11144360747084923</v>
      </c>
      <c r="AI189" s="343">
        <f t="shared" si="601"/>
        <v>0.10615060356390113</v>
      </c>
      <c r="AJ189" s="343">
        <f t="shared" si="601"/>
        <v>0.10227069551224745</v>
      </c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</row>
    <row r="190" spans="1:46">
      <c r="A190" s="240"/>
      <c r="B190" s="315"/>
      <c r="C190" s="315"/>
      <c r="D190" s="233"/>
      <c r="E190" s="233"/>
      <c r="F190" s="233"/>
      <c r="G190" s="233"/>
      <c r="H190" s="233"/>
      <c r="I190" s="233"/>
      <c r="J190" s="233"/>
      <c r="K190" s="233"/>
      <c r="L190" s="233"/>
      <c r="M190" s="233"/>
      <c r="N190" s="233"/>
      <c r="O190" s="233"/>
      <c r="P190" s="233"/>
      <c r="Q190" s="233"/>
      <c r="R190" s="233"/>
      <c r="S190" s="233"/>
      <c r="T190" s="233"/>
      <c r="U190" s="233"/>
      <c r="V190" s="233"/>
      <c r="W190" s="233"/>
      <c r="X190" s="233"/>
      <c r="Y190" s="233"/>
      <c r="Z190" s="233"/>
      <c r="AA190" s="233"/>
      <c r="AB190" s="233"/>
      <c r="AC190" s="233"/>
      <c r="AD190" s="233"/>
      <c r="AE190" s="2229">
        <f>+AE187/AE155</f>
        <v>-0.47334990756677503</v>
      </c>
      <c r="AF190" s="1308">
        <f t="shared" ref="AF190" si="602">+AF187/AF155</f>
        <v>-0.44821136310498011</v>
      </c>
      <c r="AG190" s="1308">
        <f>+AG187/AG155</f>
        <v>-0.43139360103070645</v>
      </c>
      <c r="AH190" s="1308">
        <f t="shared" ref="AH190" si="603">+AH187/AH155</f>
        <v>-0.41636869288835915</v>
      </c>
      <c r="AI190" s="233"/>
      <c r="AJ190" s="23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</row>
    <row r="191" spans="1:46">
      <c r="A191" s="240"/>
      <c r="B191" s="100"/>
      <c r="C191" s="100"/>
      <c r="D191" s="233"/>
      <c r="E191" s="233"/>
      <c r="F191" s="233"/>
      <c r="G191" s="233"/>
      <c r="H191" s="233"/>
      <c r="I191" s="233"/>
      <c r="J191" s="233"/>
      <c r="K191" s="233"/>
      <c r="L191" s="233"/>
      <c r="M191" s="233"/>
      <c r="N191" s="233"/>
      <c r="O191" s="233"/>
      <c r="P191" s="233"/>
      <c r="Q191" s="233"/>
      <c r="R191" s="233"/>
      <c r="S191" s="233"/>
      <c r="T191" s="233"/>
      <c r="U191" s="233"/>
      <c r="V191" s="233"/>
      <c r="W191" s="233"/>
      <c r="X191" s="233"/>
      <c r="Y191" s="233"/>
      <c r="Z191" s="233"/>
      <c r="AA191" s="233"/>
      <c r="AB191" s="233"/>
      <c r="AC191" s="233"/>
      <c r="AD191" s="233"/>
      <c r="AE191" s="244"/>
      <c r="AF191" s="233"/>
      <c r="AG191" s="233"/>
      <c r="AH191" s="233"/>
      <c r="AI191" s="233"/>
      <c r="AJ191" s="23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</row>
    <row r="192" spans="1:46" s="1" customFormat="1">
      <c r="A192" s="208"/>
      <c r="B192" s="25" t="s">
        <v>78</v>
      </c>
      <c r="C192" s="25" t="s">
        <v>77</v>
      </c>
      <c r="D192" s="108">
        <f t="shared" ref="D192:U192" si="604">D4</f>
        <v>1995</v>
      </c>
      <c r="E192" s="108">
        <f t="shared" si="604"/>
        <v>1996</v>
      </c>
      <c r="F192" s="108">
        <f t="shared" si="604"/>
        <v>1997</v>
      </c>
      <c r="G192" s="108">
        <f t="shared" si="604"/>
        <v>1998</v>
      </c>
      <c r="H192" s="108">
        <f t="shared" si="604"/>
        <v>1999</v>
      </c>
      <c r="I192" s="108">
        <f t="shared" si="604"/>
        <v>2000</v>
      </c>
      <c r="J192" s="108">
        <f t="shared" si="604"/>
        <v>2001</v>
      </c>
      <c r="K192" s="108">
        <f t="shared" si="604"/>
        <v>2002</v>
      </c>
      <c r="L192" s="108">
        <f t="shared" si="604"/>
        <v>2003</v>
      </c>
      <c r="M192" s="108">
        <f t="shared" si="604"/>
        <v>2004</v>
      </c>
      <c r="N192" s="108">
        <f t="shared" si="604"/>
        <v>2005</v>
      </c>
      <c r="O192" s="108">
        <f t="shared" si="604"/>
        <v>2006</v>
      </c>
      <c r="P192" s="108">
        <f t="shared" si="604"/>
        <v>2007</v>
      </c>
      <c r="Q192" s="108">
        <f t="shared" si="604"/>
        <v>2008</v>
      </c>
      <c r="R192" s="108">
        <f t="shared" si="604"/>
        <v>2009</v>
      </c>
      <c r="S192" s="108">
        <f t="shared" si="604"/>
        <v>2010</v>
      </c>
      <c r="T192" s="108">
        <f t="shared" si="604"/>
        <v>2011</v>
      </c>
      <c r="U192" s="108">
        <f t="shared" si="604"/>
        <v>2012</v>
      </c>
      <c r="V192" s="108">
        <f t="shared" ref="V192:W192" si="605">V4</f>
        <v>2013</v>
      </c>
      <c r="W192" s="108">
        <f t="shared" si="605"/>
        <v>2014</v>
      </c>
      <c r="X192" s="108">
        <f t="shared" ref="X192:Y192" si="606">X4</f>
        <v>2015</v>
      </c>
      <c r="Y192" s="108">
        <f t="shared" si="606"/>
        <v>2016</v>
      </c>
      <c r="Z192" s="108">
        <f t="shared" ref="Z192" si="607">Z4</f>
        <v>2017</v>
      </c>
      <c r="AA192" s="108">
        <f t="shared" ref="AA192:AB192" si="608">AA4</f>
        <v>2018</v>
      </c>
      <c r="AB192" s="108">
        <f t="shared" si="608"/>
        <v>2019</v>
      </c>
      <c r="AC192" s="108">
        <f t="shared" ref="AC192:AD192" si="609">AC4</f>
        <v>2020</v>
      </c>
      <c r="AD192" s="108">
        <f t="shared" si="609"/>
        <v>2021</v>
      </c>
      <c r="AE192" s="226">
        <f t="shared" ref="AE192" si="610">AE4</f>
        <v>2022</v>
      </c>
      <c r="AF192" s="108" t="str">
        <f t="shared" ref="AF192:AG192" si="611">AF4</f>
        <v>2023E</v>
      </c>
      <c r="AG192" s="108" t="str">
        <f t="shared" si="611"/>
        <v>2024E</v>
      </c>
      <c r="AH192" s="108" t="str">
        <f t="shared" ref="AH192:AI192" si="612">AH4</f>
        <v>2025E</v>
      </c>
      <c r="AI192" s="108" t="str">
        <f t="shared" si="612"/>
        <v>2026E</v>
      </c>
      <c r="AJ192" s="108" t="str">
        <f t="shared" ref="AJ192" si="613">AJ4</f>
        <v>2027E</v>
      </c>
    </row>
    <row r="193" spans="1:46">
      <c r="A193" s="240"/>
      <c r="B193" s="315"/>
      <c r="C193" s="315"/>
      <c r="D193" s="233"/>
      <c r="E193" s="233"/>
      <c r="F193" s="233"/>
      <c r="G193" s="233"/>
      <c r="H193" s="233"/>
      <c r="I193" s="233"/>
      <c r="J193" s="233"/>
      <c r="K193" s="233"/>
      <c r="L193" s="233"/>
      <c r="M193" s="233"/>
      <c r="N193" s="233"/>
      <c r="O193" s="233"/>
      <c r="P193" s="233"/>
      <c r="Q193" s="233"/>
      <c r="R193" s="233"/>
      <c r="S193" s="233"/>
      <c r="T193" s="233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44"/>
      <c r="AF193" s="233"/>
      <c r="AG193" s="233"/>
      <c r="AH193" s="233"/>
      <c r="AI193" s="233"/>
      <c r="AJ193" s="23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</row>
    <row r="194" spans="1:46" s="114" customFormat="1">
      <c r="A194" s="345"/>
      <c r="B194" s="168" t="s">
        <v>76</v>
      </c>
      <c r="C194" s="168" t="s">
        <v>75</v>
      </c>
      <c r="D194" s="168"/>
      <c r="E194" s="168">
        <f t="shared" ref="E194:U194" si="614">+E76-E74</f>
        <v>4398</v>
      </c>
      <c r="F194" s="168">
        <f t="shared" si="614"/>
        <v>2067</v>
      </c>
      <c r="G194" s="168">
        <f t="shared" si="614"/>
        <v>3464</v>
      </c>
      <c r="H194" s="168">
        <f t="shared" si="614"/>
        <v>4781</v>
      </c>
      <c r="I194" s="168">
        <f t="shared" si="614"/>
        <v>842</v>
      </c>
      <c r="J194" s="168">
        <f t="shared" si="614"/>
        <v>6474</v>
      </c>
      <c r="K194" s="168">
        <f t="shared" si="614"/>
        <v>7396</v>
      </c>
      <c r="L194" s="168">
        <f t="shared" si="614"/>
        <v>9081</v>
      </c>
      <c r="M194" s="168">
        <f t="shared" si="614"/>
        <v>11967</v>
      </c>
      <c r="N194" s="168">
        <f t="shared" si="614"/>
        <v>13813</v>
      </c>
      <c r="O194" s="168">
        <f t="shared" si="614"/>
        <v>6176</v>
      </c>
      <c r="P194" s="168">
        <f t="shared" si="614"/>
        <v>11382</v>
      </c>
      <c r="Q194" s="168">
        <f t="shared" si="614"/>
        <v>13829</v>
      </c>
      <c r="R194" s="168">
        <f t="shared" si="614"/>
        <v>18506</v>
      </c>
      <c r="S194" s="168">
        <f t="shared" si="614"/>
        <v>12415</v>
      </c>
      <c r="T194" s="168">
        <f t="shared" si="614"/>
        <v>16119</v>
      </c>
      <c r="U194" s="168">
        <f t="shared" si="614"/>
        <v>17280</v>
      </c>
      <c r="V194" s="168">
        <f t="shared" ref="V194:W194" si="615">+V76-V74</f>
        <v>22723</v>
      </c>
      <c r="W194" s="168">
        <f t="shared" si="615"/>
        <v>16901</v>
      </c>
      <c r="X194" s="168">
        <f t="shared" ref="X194:Y194" si="616">+X76-X74</f>
        <v>18363</v>
      </c>
      <c r="Y194" s="168">
        <f t="shared" si="616"/>
        <v>20837</v>
      </c>
      <c r="Z194" s="168">
        <f t="shared" ref="Z194:AA194" si="617">+Z76-Z74</f>
        <v>18431</v>
      </c>
      <c r="AA194" s="168">
        <f t="shared" si="617"/>
        <v>18438</v>
      </c>
      <c r="AB194" s="168">
        <f t="shared" ref="AB194:AC194" si="618">+AB76-AB74</f>
        <v>23379</v>
      </c>
      <c r="AC194" s="168">
        <f t="shared" si="618"/>
        <v>29070</v>
      </c>
      <c r="AD194" s="168">
        <f t="shared" ref="AD194:AE194" si="619">+AD76-AD74</f>
        <v>22414</v>
      </c>
      <c r="AE194" s="246">
        <f t="shared" si="619"/>
        <v>33126</v>
      </c>
      <c r="AF194" s="168">
        <f t="shared" ref="AF194:AG194" si="620">+AF76-AF74</f>
        <v>48800</v>
      </c>
      <c r="AG194" s="168">
        <f t="shared" si="620"/>
        <v>52300</v>
      </c>
      <c r="AH194" s="168">
        <f t="shared" ref="AH194:AI194" si="621">+AH76-AH74</f>
        <v>54000</v>
      </c>
      <c r="AI194" s="168">
        <f t="shared" si="621"/>
        <v>55400</v>
      </c>
      <c r="AJ194" s="168">
        <f t="shared" ref="AJ194" si="622">+AJ76-AJ74</f>
        <v>57200</v>
      </c>
    </row>
    <row r="195" spans="1:46">
      <c r="A195" s="255"/>
      <c r="B195" s="233" t="s">
        <v>74</v>
      </c>
      <c r="C195" s="233" t="s">
        <v>73</v>
      </c>
      <c r="D195" s="233"/>
      <c r="E195" s="233">
        <f t="shared" ref="E195:U195" si="623">-E73</f>
        <v>-110</v>
      </c>
      <c r="F195" s="233">
        <f t="shared" si="623"/>
        <v>-110</v>
      </c>
      <c r="G195" s="233">
        <f t="shared" si="623"/>
        <v>-24</v>
      </c>
      <c r="H195" s="233">
        <f t="shared" si="623"/>
        <v>-491</v>
      </c>
      <c r="I195" s="233">
        <f t="shared" si="623"/>
        <v>-312</v>
      </c>
      <c r="J195" s="233">
        <f t="shared" si="623"/>
        <v>-756</v>
      </c>
      <c r="K195" s="233">
        <f t="shared" si="623"/>
        <v>-667</v>
      </c>
      <c r="L195" s="233">
        <f t="shared" si="623"/>
        <v>-852</v>
      </c>
      <c r="M195" s="233">
        <f t="shared" si="623"/>
        <v>1458</v>
      </c>
      <c r="N195" s="233">
        <f t="shared" si="623"/>
        <v>1157</v>
      </c>
      <c r="O195" s="233">
        <f t="shared" si="623"/>
        <v>915</v>
      </c>
      <c r="P195" s="233">
        <f t="shared" si="623"/>
        <v>1150</v>
      </c>
      <c r="Q195" s="233">
        <f t="shared" si="623"/>
        <v>587</v>
      </c>
      <c r="R195" s="233">
        <f t="shared" si="623"/>
        <v>796</v>
      </c>
      <c r="S195" s="233">
        <f t="shared" si="623"/>
        <v>648</v>
      </c>
      <c r="T195" s="233">
        <f t="shared" si="623"/>
        <v>523</v>
      </c>
      <c r="U195" s="233">
        <f t="shared" si="623"/>
        <v>486</v>
      </c>
      <c r="V195" s="233">
        <f t="shared" ref="V195:W195" si="624">-V73</f>
        <v>556</v>
      </c>
      <c r="W195" s="233">
        <f t="shared" si="624"/>
        <v>483</v>
      </c>
      <c r="X195" s="233">
        <f t="shared" ref="X195:Y195" si="625">-X73</f>
        <v>856</v>
      </c>
      <c r="Y195" s="233">
        <f t="shared" si="625"/>
        <v>387</v>
      </c>
      <c r="Z195" s="233">
        <f t="shared" ref="Z195:AA195" si="626">-Z73</f>
        <v>380</v>
      </c>
      <c r="AA195" s="233">
        <f t="shared" si="626"/>
        <v>513</v>
      </c>
      <c r="AB195" s="233">
        <f t="shared" ref="AB195:AC195" si="627">-AB73</f>
        <v>496</v>
      </c>
      <c r="AC195" s="233">
        <f t="shared" si="627"/>
        <v>540</v>
      </c>
      <c r="AD195" s="233">
        <f t="shared" ref="AD195:AE195" si="628">-AD73</f>
        <v>600</v>
      </c>
      <c r="AE195" s="244">
        <f t="shared" si="628"/>
        <v>368</v>
      </c>
      <c r="AF195" s="233">
        <f t="shared" ref="AF195:AG195" si="629">-AF73</f>
        <v>400</v>
      </c>
      <c r="AG195" s="233">
        <f t="shared" si="629"/>
        <v>400</v>
      </c>
      <c r="AH195" s="233">
        <f t="shared" ref="AH195:AI195" si="630">-AH73</f>
        <v>400</v>
      </c>
      <c r="AI195" s="233">
        <f t="shared" si="630"/>
        <v>400</v>
      </c>
      <c r="AJ195" s="233">
        <f t="shared" ref="AJ195" si="631">-AJ73</f>
        <v>400</v>
      </c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</row>
    <row r="196" spans="1:46">
      <c r="A196" s="229"/>
      <c r="B196" s="233" t="s">
        <v>72</v>
      </c>
      <c r="C196" s="233" t="s">
        <v>71</v>
      </c>
      <c r="D196" s="233"/>
      <c r="E196" s="233">
        <f t="shared" ref="E196:U196" si="632">-E33-E35</f>
        <v>792</v>
      </c>
      <c r="F196" s="233">
        <f t="shared" si="632"/>
        <v>733</v>
      </c>
      <c r="G196" s="233">
        <f t="shared" si="632"/>
        <v>806</v>
      </c>
      <c r="H196" s="233">
        <f t="shared" si="632"/>
        <v>891</v>
      </c>
      <c r="I196" s="233">
        <f t="shared" si="632"/>
        <v>888</v>
      </c>
      <c r="J196" s="233">
        <f t="shared" si="632"/>
        <v>927</v>
      </c>
      <c r="K196" s="233">
        <f t="shared" si="632"/>
        <v>1054</v>
      </c>
      <c r="L196" s="233">
        <f t="shared" si="632"/>
        <v>1139</v>
      </c>
      <c r="M196" s="233">
        <f t="shared" si="632"/>
        <v>1174</v>
      </c>
      <c r="N196" s="233">
        <f t="shared" si="632"/>
        <v>1439</v>
      </c>
      <c r="O196" s="233">
        <f t="shared" si="632"/>
        <v>8965</v>
      </c>
      <c r="P196" s="233">
        <f t="shared" si="632"/>
        <v>8598</v>
      </c>
      <c r="Q196" s="233">
        <f t="shared" si="632"/>
        <v>8645</v>
      </c>
      <c r="R196" s="233">
        <f t="shared" si="632"/>
        <v>9008</v>
      </c>
      <c r="S196" s="233">
        <f t="shared" si="632"/>
        <v>10684</v>
      </c>
      <c r="T196" s="233">
        <f t="shared" si="632"/>
        <v>10226</v>
      </c>
      <c r="U196" s="233">
        <f t="shared" si="632"/>
        <v>11095</v>
      </c>
      <c r="V196" s="233">
        <f t="shared" ref="V196:W196" si="633">-V33-V35</f>
        <v>10765</v>
      </c>
      <c r="W196" s="233">
        <f t="shared" si="633"/>
        <v>11683</v>
      </c>
      <c r="X196" s="233">
        <f t="shared" ref="X196:Y196" si="634">-X33-X35</f>
        <v>11226</v>
      </c>
      <c r="Y196" s="233">
        <f t="shared" si="634"/>
        <v>11946</v>
      </c>
      <c r="Z196" s="233">
        <f t="shared" ref="Z196:AA196" si="635">-Z33-Z35</f>
        <v>12301</v>
      </c>
      <c r="AA196" s="233">
        <f t="shared" si="635"/>
        <v>13842</v>
      </c>
      <c r="AB196" s="233">
        <f t="shared" ref="AB196:AC196" si="636">-AB33-AB35</f>
        <v>14780</v>
      </c>
      <c r="AC196" s="233">
        <f t="shared" si="636"/>
        <v>15009</v>
      </c>
      <c r="AD196" s="233">
        <f t="shared" ref="AD196:AE196" si="637">-AD33-AD35</f>
        <v>15274</v>
      </c>
      <c r="AE196" s="244">
        <f t="shared" si="637"/>
        <v>15999</v>
      </c>
      <c r="AF196" s="233">
        <f t="shared" ref="AF196" si="638">-AF33-AF35</f>
        <v>16000</v>
      </c>
      <c r="AG196" s="233">
        <f>-AG33-AG35</f>
        <v>16400</v>
      </c>
      <c r="AH196" s="233">
        <f t="shared" ref="AH196:AI196" si="639">-AH33-AH35</f>
        <v>17200</v>
      </c>
      <c r="AI196" s="233">
        <f t="shared" si="639"/>
        <v>17900</v>
      </c>
      <c r="AJ196" s="233">
        <f t="shared" ref="AJ196" si="640">-AJ33-AJ35</f>
        <v>18400</v>
      </c>
      <c r="AK196" s="23"/>
      <c r="AL196" s="23"/>
      <c r="AM196" s="23"/>
      <c r="AN196" s="23"/>
      <c r="AO196" s="23">
        <v>-16500</v>
      </c>
      <c r="AP196" s="23">
        <v>15500</v>
      </c>
      <c r="AQ196" s="23"/>
      <c r="AR196" s="23"/>
      <c r="AS196" s="23"/>
      <c r="AT196" s="23"/>
    </row>
    <row r="197" spans="1:46">
      <c r="A197" s="229"/>
      <c r="B197" s="233" t="s">
        <v>70</v>
      </c>
      <c r="C197" s="233" t="s">
        <v>69</v>
      </c>
      <c r="D197" s="233"/>
      <c r="E197" s="233">
        <f t="shared" ref="E197:U197" si="641">-E60-E59</f>
        <v>0</v>
      </c>
      <c r="F197" s="233">
        <f t="shared" si="641"/>
        <v>0</v>
      </c>
      <c r="G197" s="233">
        <f t="shared" si="641"/>
        <v>0</v>
      </c>
      <c r="H197" s="233">
        <f t="shared" si="641"/>
        <v>0</v>
      </c>
      <c r="I197" s="233">
        <f t="shared" si="641"/>
        <v>0</v>
      </c>
      <c r="J197" s="233">
        <f t="shared" si="641"/>
        <v>0</v>
      </c>
      <c r="K197" s="233">
        <f t="shared" si="641"/>
        <v>0</v>
      </c>
      <c r="L197" s="233">
        <f t="shared" si="641"/>
        <v>0</v>
      </c>
      <c r="M197" s="233">
        <f t="shared" si="641"/>
        <v>-37</v>
      </c>
      <c r="N197" s="233">
        <f t="shared" si="641"/>
        <v>-236</v>
      </c>
      <c r="O197" s="233">
        <f t="shared" si="641"/>
        <v>-179</v>
      </c>
      <c r="P197" s="233">
        <f t="shared" si="641"/>
        <v>-167</v>
      </c>
      <c r="Q197" s="233">
        <f t="shared" si="641"/>
        <v>-160</v>
      </c>
      <c r="R197" s="233">
        <f t="shared" si="641"/>
        <v>-185</v>
      </c>
      <c r="S197" s="233">
        <f t="shared" si="641"/>
        <v>-67</v>
      </c>
      <c r="T197" s="233">
        <f t="shared" si="641"/>
        <v>-16</v>
      </c>
      <c r="U197" s="233">
        <f t="shared" si="641"/>
        <v>-17</v>
      </c>
      <c r="V197" s="233">
        <f t="shared" ref="V197:W197" si="642">-V60-V59</f>
        <v>-34</v>
      </c>
      <c r="W197" s="233">
        <f t="shared" si="642"/>
        <v>-84</v>
      </c>
      <c r="X197" s="233">
        <f t="shared" ref="X197:Y197" si="643">-X60-X59</f>
        <v>-106</v>
      </c>
      <c r="Y197" s="233">
        <f t="shared" si="643"/>
        <v>-116</v>
      </c>
      <c r="Z197" s="233">
        <f t="shared" ref="Z197:AA197" si="644">-Z60-Z59</f>
        <v>-136</v>
      </c>
      <c r="AA197" s="233">
        <f t="shared" si="644"/>
        <v>-142</v>
      </c>
      <c r="AB197" s="233">
        <f t="shared" ref="AB197:AC197" si="645">-AB60-AB59</f>
        <v>-150</v>
      </c>
      <c r="AC197" s="233">
        <f t="shared" si="645"/>
        <v>-40</v>
      </c>
      <c r="AD197" s="233">
        <f t="shared" ref="AD197:AE197" si="646">-AD60-AD59</f>
        <v>-146</v>
      </c>
      <c r="AE197" s="244">
        <f t="shared" si="646"/>
        <v>-93</v>
      </c>
      <c r="AF197" s="233">
        <f t="shared" ref="AF197:AG197" si="647">-AF60-AF59</f>
        <v>-100</v>
      </c>
      <c r="AG197" s="233">
        <f t="shared" si="647"/>
        <v>-100</v>
      </c>
      <c r="AH197" s="233">
        <f t="shared" ref="AH197:AI197" si="648">-AH60-AH59</f>
        <v>-100</v>
      </c>
      <c r="AI197" s="233">
        <f t="shared" si="648"/>
        <v>-100</v>
      </c>
      <c r="AJ197" s="233">
        <f t="shared" ref="AJ197" si="649">-AJ60-AJ59</f>
        <v>-100</v>
      </c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</row>
    <row r="198" spans="1:46">
      <c r="A198" s="229"/>
      <c r="B198" s="233" t="s">
        <v>68</v>
      </c>
      <c r="C198" s="233" t="s">
        <v>67</v>
      </c>
      <c r="D198" s="242"/>
      <c r="E198" s="242">
        <f>'Raw Data'!E205</f>
        <v>0</v>
      </c>
      <c r="F198" s="242">
        <f>'Raw Data'!F205</f>
        <v>0</v>
      </c>
      <c r="G198" s="242">
        <f>'Raw Data'!G205</f>
        <v>0</v>
      </c>
      <c r="H198" s="242">
        <f>'Raw Data'!H205</f>
        <v>0</v>
      </c>
      <c r="I198" s="242">
        <f>'Raw Data'!I205</f>
        <v>0</v>
      </c>
      <c r="J198" s="242">
        <f>'Raw Data'!J205</f>
        <v>0</v>
      </c>
      <c r="K198" s="242">
        <f>'Raw Data'!K205</f>
        <v>0</v>
      </c>
      <c r="L198" s="242">
        <f>'Raw Data'!L205</f>
        <v>0</v>
      </c>
      <c r="M198" s="242">
        <f>'Raw Data'!M205</f>
        <v>0</v>
      </c>
      <c r="N198" s="242">
        <f>'Raw Data'!N205</f>
        <v>0</v>
      </c>
      <c r="O198" s="242">
        <f>'Raw Data'!O205</f>
        <v>0</v>
      </c>
      <c r="P198" s="242">
        <f>'Raw Data'!P205</f>
        <v>0</v>
      </c>
      <c r="Q198" s="233">
        <f>'Raw Data'!Q205</f>
        <v>0</v>
      </c>
      <c r="R198" s="233">
        <f>'Raw Data'!R205</f>
        <v>0</v>
      </c>
      <c r="S198" s="233">
        <f>'Raw Data'!S205</f>
        <v>0</v>
      </c>
      <c r="T198" s="233">
        <f>'Raw Data'!T205</f>
        <v>0</v>
      </c>
      <c r="U198" s="233">
        <f>'Raw Data'!U205</f>
        <v>0</v>
      </c>
      <c r="V198" s="233">
        <f>'Raw Data'!V205</f>
        <v>0</v>
      </c>
      <c r="W198" s="233">
        <f>'Raw Data'!W205</f>
        <v>0</v>
      </c>
      <c r="X198" s="233">
        <f>'Raw Data'!X205</f>
        <v>0</v>
      </c>
      <c r="Y198" s="233">
        <f>'Raw Data'!Y205</f>
        <v>0</v>
      </c>
      <c r="Z198" s="233">
        <f>'Raw Data'!Z205</f>
        <v>0</v>
      </c>
      <c r="AA198" s="233">
        <f>'Raw Data'!AA205</f>
        <v>0</v>
      </c>
      <c r="AB198" s="233">
        <f>'Raw Data'!AB205</f>
        <v>0</v>
      </c>
      <c r="AC198" s="233">
        <f>'Raw Data'!AC205</f>
        <v>0</v>
      </c>
      <c r="AD198" s="233">
        <f>'Raw Data'!AD205</f>
        <v>0</v>
      </c>
      <c r="AE198" s="244">
        <f>'Raw Data'!AE205</f>
        <v>0</v>
      </c>
      <c r="AF198" s="233">
        <f t="shared" ref="AF198:AG198" si="650">-AF57</f>
        <v>0</v>
      </c>
      <c r="AG198" s="233">
        <f t="shared" si="650"/>
        <v>0</v>
      </c>
      <c r="AH198" s="233">
        <f t="shared" ref="AH198:AI198" si="651">-AH57</f>
        <v>0</v>
      </c>
      <c r="AI198" s="233">
        <f t="shared" si="651"/>
        <v>0</v>
      </c>
      <c r="AJ198" s="233">
        <f t="shared" ref="AJ198" si="652">-AJ57</f>
        <v>0</v>
      </c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</row>
    <row r="199" spans="1:46" s="114" customFormat="1">
      <c r="A199" s="281"/>
      <c r="B199" s="168" t="s">
        <v>66</v>
      </c>
      <c r="C199" s="285" t="s">
        <v>65</v>
      </c>
      <c r="D199" s="285"/>
      <c r="E199" s="285">
        <f t="shared" ref="E199:U199" si="653">E200+E201+E202</f>
        <v>0</v>
      </c>
      <c r="F199" s="285">
        <f t="shared" si="653"/>
        <v>0</v>
      </c>
      <c r="G199" s="285">
        <f t="shared" si="653"/>
        <v>0</v>
      </c>
      <c r="H199" s="285">
        <f t="shared" si="653"/>
        <v>452</v>
      </c>
      <c r="I199" s="285">
        <f t="shared" si="653"/>
        <v>-5114</v>
      </c>
      <c r="J199" s="285">
        <f t="shared" si="653"/>
        <v>-898</v>
      </c>
      <c r="K199" s="285">
        <f t="shared" si="653"/>
        <v>916</v>
      </c>
      <c r="L199" s="285">
        <f t="shared" si="653"/>
        <v>2604</v>
      </c>
      <c r="M199" s="285">
        <f t="shared" si="653"/>
        <v>-1698</v>
      </c>
      <c r="N199" s="285">
        <f t="shared" si="653"/>
        <v>-135</v>
      </c>
      <c r="O199" s="285">
        <f t="shared" si="653"/>
        <v>104</v>
      </c>
      <c r="P199" s="285">
        <f t="shared" si="653"/>
        <v>5122</v>
      </c>
      <c r="Q199" s="285">
        <f t="shared" si="653"/>
        <v>-297</v>
      </c>
      <c r="R199" s="285">
        <f t="shared" si="653"/>
        <v>993</v>
      </c>
      <c r="S199" s="285">
        <f t="shared" si="653"/>
        <v>-956</v>
      </c>
      <c r="T199" s="285">
        <f t="shared" si="653"/>
        <v>-10407</v>
      </c>
      <c r="U199" s="285">
        <f t="shared" si="653"/>
        <v>3649</v>
      </c>
      <c r="V199" s="285">
        <f t="shared" ref="V199:W199" si="654">V200+V201+V202</f>
        <v>-1080</v>
      </c>
      <c r="W199" s="285">
        <f t="shared" si="654"/>
        <v>2751</v>
      </c>
      <c r="X199" s="285">
        <f t="shared" ref="X199:Y199" si="655">X200+X201+X202</f>
        <v>-3368</v>
      </c>
      <c r="Y199" s="285">
        <f t="shared" si="655"/>
        <v>-351</v>
      </c>
      <c r="Z199" s="285">
        <f t="shared" ref="Z199:AA199" si="656">Z200+Z201+Z202</f>
        <v>-575</v>
      </c>
      <c r="AA199" s="285">
        <f t="shared" si="656"/>
        <v>353</v>
      </c>
      <c r="AB199" s="285">
        <f t="shared" ref="AB199:AC199" si="657">AB200+AB201+AB202</f>
        <v>-3833</v>
      </c>
      <c r="AC199" s="285">
        <f t="shared" si="657"/>
        <v>5159</v>
      </c>
      <c r="AD199" s="285">
        <f t="shared" ref="AD199:AE199" si="658">AD200+AD201+AD202</f>
        <v>-2852</v>
      </c>
      <c r="AE199" s="286">
        <f t="shared" si="658"/>
        <v>-6225</v>
      </c>
      <c r="AF199" s="285">
        <f t="shared" ref="AF199:AG199" si="659">AF200+AF201+AF202</f>
        <v>-6300</v>
      </c>
      <c r="AG199" s="285">
        <f t="shared" si="659"/>
        <v>-2100</v>
      </c>
      <c r="AH199" s="285">
        <f t="shared" ref="AH199:AI199" si="660">AH200+AH201+AH202</f>
        <v>-2100</v>
      </c>
      <c r="AI199" s="285">
        <f t="shared" si="660"/>
        <v>-2300</v>
      </c>
      <c r="AJ199" s="285">
        <f>AJ200+AJ201+AJ202</f>
        <v>-2200</v>
      </c>
    </row>
    <row r="200" spans="1:46">
      <c r="A200" s="229"/>
      <c r="B200" s="346" t="s">
        <v>64</v>
      </c>
      <c r="C200" s="243" t="s">
        <v>63</v>
      </c>
      <c r="D200" s="242"/>
      <c r="E200" s="242">
        <f>'Raw Data'!E207</f>
        <v>0</v>
      </c>
      <c r="F200" s="242">
        <f>'Raw Data'!F207</f>
        <v>0</v>
      </c>
      <c r="G200" s="242">
        <f>'Raw Data'!G207</f>
        <v>0</v>
      </c>
      <c r="H200" s="242">
        <f>'Raw Data'!H207</f>
        <v>4172</v>
      </c>
      <c r="I200" s="242">
        <f>'Raw Data'!I207</f>
        <v>-4542</v>
      </c>
      <c r="J200" s="242">
        <f>'Raw Data'!J207</f>
        <v>1832</v>
      </c>
      <c r="K200" s="242">
        <f>'Raw Data'!K207</f>
        <v>2558</v>
      </c>
      <c r="L200" s="242">
        <f>'Raw Data'!L207</f>
        <v>726</v>
      </c>
      <c r="M200" s="242">
        <f>'Raw Data'!M207</f>
        <v>-848</v>
      </c>
      <c r="N200" s="242">
        <f>'Raw Data'!N207</f>
        <v>-1192</v>
      </c>
      <c r="O200" s="242">
        <f>'Raw Data'!O207</f>
        <v>-591</v>
      </c>
      <c r="P200" s="242">
        <f>'Raw Data'!P207</f>
        <v>3708</v>
      </c>
      <c r="Q200" s="233">
        <f>'Raw Data'!Q207</f>
        <v>-102</v>
      </c>
      <c r="R200" s="233">
        <f>'Raw Data'!R207</f>
        <v>83</v>
      </c>
      <c r="S200" s="233">
        <f>'Raw Data'!S207</f>
        <v>-1028</v>
      </c>
      <c r="T200" s="233">
        <f>'Raw Data'!T207</f>
        <v>-8838</v>
      </c>
      <c r="U200" s="233">
        <f>'Raw Data'!U207</f>
        <v>3108</v>
      </c>
      <c r="V200" s="233">
        <f>'Raw Data'!V207</f>
        <v>-556</v>
      </c>
      <c r="W200" s="233">
        <f>'Raw Data'!W207</f>
        <v>2629</v>
      </c>
      <c r="X200" s="233">
        <f>'Raw Data'!X207</f>
        <v>-2300</v>
      </c>
      <c r="Y200" s="233">
        <f>'Raw Data'!Y207</f>
        <v>-1426</v>
      </c>
      <c r="Z200" s="233">
        <f>'Raw Data'!Z207</f>
        <v>-3993</v>
      </c>
      <c r="AA200" s="233">
        <f>'Raw Data'!AA207</f>
        <v>-127</v>
      </c>
      <c r="AB200" s="233">
        <f>'Raw Data'!AB207</f>
        <v>-2754</v>
      </c>
      <c r="AC200" s="233">
        <f>'Raw Data'!AC207</f>
        <v>5607</v>
      </c>
      <c r="AD200" s="233">
        <f>'Raw Data'!AD207</f>
        <v>-4821</v>
      </c>
      <c r="AE200" s="244">
        <f>'Raw Data'!AE207</f>
        <v>-2324</v>
      </c>
      <c r="AF200" s="233">
        <f>ROUND(AE125-AF125,-2)</f>
        <v>-6100</v>
      </c>
      <c r="AG200" s="233">
        <f t="shared" ref="AG200:AJ200" si="661">ROUND(AF125-AG125,-2)</f>
        <v>-2100</v>
      </c>
      <c r="AH200" s="233">
        <f t="shared" si="661"/>
        <v>-2000</v>
      </c>
      <c r="AI200" s="233">
        <f t="shared" si="661"/>
        <v>-2200</v>
      </c>
      <c r="AJ200" s="233">
        <f t="shared" si="661"/>
        <v>-2100</v>
      </c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</row>
    <row r="201" spans="1:46">
      <c r="A201" s="229"/>
      <c r="B201" s="132" t="s">
        <v>62</v>
      </c>
      <c r="C201" s="132" t="s">
        <v>61</v>
      </c>
      <c r="D201" s="242"/>
      <c r="E201" s="242">
        <f>'Raw Data'!E208</f>
        <v>0</v>
      </c>
      <c r="F201" s="242">
        <f>'Raw Data'!F208</f>
        <v>0</v>
      </c>
      <c r="G201" s="242">
        <f>'Raw Data'!G208</f>
        <v>0</v>
      </c>
      <c r="H201" s="242">
        <f>'Raw Data'!H208</f>
        <v>911</v>
      </c>
      <c r="I201" s="242">
        <f>'Raw Data'!I208</f>
        <v>-776</v>
      </c>
      <c r="J201" s="242">
        <f>'Raw Data'!J208</f>
        <v>-199</v>
      </c>
      <c r="K201" s="242">
        <f>'Raw Data'!K208</f>
        <v>-2554</v>
      </c>
      <c r="L201" s="242">
        <f>'Raw Data'!L208</f>
        <v>2461</v>
      </c>
      <c r="M201" s="242">
        <f>'Raw Data'!M208</f>
        <v>-766</v>
      </c>
      <c r="N201" s="242">
        <f>'Raw Data'!N208</f>
        <v>-126</v>
      </c>
      <c r="O201" s="242">
        <f>'Raw Data'!O208</f>
        <v>1301</v>
      </c>
      <c r="P201" s="242">
        <f>'Raw Data'!P208</f>
        <v>797</v>
      </c>
      <c r="Q201" s="233">
        <f>'Raw Data'!Q208</f>
        <v>-1056</v>
      </c>
      <c r="R201" s="233">
        <f>'Raw Data'!R208</f>
        <v>2539</v>
      </c>
      <c r="S201" s="233">
        <f>'Raw Data'!S208</f>
        <v>-291</v>
      </c>
      <c r="T201" s="233">
        <f>'Raw Data'!T208</f>
        <v>-4677</v>
      </c>
      <c r="U201" s="233">
        <f>'Raw Data'!U208</f>
        <v>1085</v>
      </c>
      <c r="V201" s="233">
        <f>'Raw Data'!V208</f>
        <v>-1749</v>
      </c>
      <c r="W201" s="233">
        <f>'Raw Data'!W208</f>
        <v>84</v>
      </c>
      <c r="X201" s="233">
        <f>'Raw Data'!X208</f>
        <v>-440</v>
      </c>
      <c r="Y201" s="233">
        <f>'Raw Data'!Y208</f>
        <v>706</v>
      </c>
      <c r="Z201" s="233">
        <f>'Raw Data'!Z208</f>
        <v>1645</v>
      </c>
      <c r="AA201" s="233">
        <f>'Raw Data'!AA208</f>
        <v>299</v>
      </c>
      <c r="AB201" s="233">
        <f>'Raw Data'!AB208</f>
        <v>-346</v>
      </c>
      <c r="AC201" s="233">
        <f>'Raw Data'!AC208</f>
        <v>299</v>
      </c>
      <c r="AD201" s="233">
        <f>'Raw Data'!AD208</f>
        <v>-1424</v>
      </c>
      <c r="AE201" s="244">
        <f>'Raw Data'!AE208</f>
        <v>-7433</v>
      </c>
      <c r="AF201" s="233">
        <f>ROUND(AE126-AF126,-2)</f>
        <v>-3500</v>
      </c>
      <c r="AG201" s="233">
        <f t="shared" ref="AG201:AJ201" si="662">ROUND(AF126-AG126,-2)</f>
        <v>-1200</v>
      </c>
      <c r="AH201" s="233">
        <f t="shared" si="662"/>
        <v>-1200</v>
      </c>
      <c r="AI201" s="233">
        <f t="shared" si="662"/>
        <v>-1300</v>
      </c>
      <c r="AJ201" s="233">
        <f t="shared" si="662"/>
        <v>-1200</v>
      </c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</row>
    <row r="202" spans="1:46">
      <c r="A202" s="229"/>
      <c r="B202" s="243" t="s">
        <v>60</v>
      </c>
      <c r="C202" s="243" t="s">
        <v>59</v>
      </c>
      <c r="D202" s="242"/>
      <c r="E202" s="242">
        <f>'Raw Data'!E209</f>
        <v>0</v>
      </c>
      <c r="F202" s="242">
        <f>'Raw Data'!F209</f>
        <v>0</v>
      </c>
      <c r="G202" s="242">
        <f>'Raw Data'!G209</f>
        <v>0</v>
      </c>
      <c r="H202" s="242">
        <f>'Raw Data'!H209</f>
        <v>-4631</v>
      </c>
      <c r="I202" s="242">
        <f>'Raw Data'!I209</f>
        <v>204</v>
      </c>
      <c r="J202" s="242">
        <f>'Raw Data'!J209</f>
        <v>-2531</v>
      </c>
      <c r="K202" s="242">
        <f>'Raw Data'!K209</f>
        <v>912</v>
      </c>
      <c r="L202" s="242">
        <f>'Raw Data'!L209</f>
        <v>-583</v>
      </c>
      <c r="M202" s="242">
        <f>'Raw Data'!M209</f>
        <v>-84</v>
      </c>
      <c r="N202" s="242">
        <f>'Raw Data'!N209</f>
        <v>1183</v>
      </c>
      <c r="O202" s="242">
        <f>'Raw Data'!O209</f>
        <v>-606</v>
      </c>
      <c r="P202" s="242">
        <f>'Raw Data'!P209</f>
        <v>617</v>
      </c>
      <c r="Q202" s="233">
        <f>'Raw Data'!Q209</f>
        <v>861</v>
      </c>
      <c r="R202" s="233">
        <f>'Raw Data'!R209</f>
        <v>-1629</v>
      </c>
      <c r="S202" s="233">
        <f>'Raw Data'!S209</f>
        <v>363</v>
      </c>
      <c r="T202" s="233">
        <f>'Raw Data'!T209</f>
        <v>3108</v>
      </c>
      <c r="U202" s="233">
        <f>'Raw Data'!U209</f>
        <v>-544</v>
      </c>
      <c r="V202" s="233">
        <f>'Raw Data'!V209</f>
        <v>1225</v>
      </c>
      <c r="W202" s="233">
        <f>'Raw Data'!W209</f>
        <v>38</v>
      </c>
      <c r="X202" s="233">
        <f>'Raw Data'!X209</f>
        <v>-628</v>
      </c>
      <c r="Y202" s="233">
        <f>'Raw Data'!Y209</f>
        <v>369</v>
      </c>
      <c r="Z202" s="233">
        <f>'Raw Data'!Z209</f>
        <v>1773</v>
      </c>
      <c r="AA202" s="233">
        <f>'Raw Data'!AA209</f>
        <v>181</v>
      </c>
      <c r="AB202" s="233">
        <f>'Raw Data'!AB209</f>
        <v>-733</v>
      </c>
      <c r="AC202" s="233">
        <f>'Raw Data'!AC209</f>
        <v>-747</v>
      </c>
      <c r="AD202" s="233">
        <f>'Raw Data'!AD209</f>
        <v>3393</v>
      </c>
      <c r="AE202" s="244">
        <f>'Raw Data'!AE209</f>
        <v>3532</v>
      </c>
      <c r="AF202" s="233">
        <f>ROUND(AF140-AE140,-2)</f>
        <v>3300</v>
      </c>
      <c r="AG202" s="233">
        <f t="shared" ref="AG202:AJ202" si="663">ROUND(AG140-AF140,-2)</f>
        <v>1200</v>
      </c>
      <c r="AH202" s="233">
        <f t="shared" si="663"/>
        <v>1100</v>
      </c>
      <c r="AI202" s="233">
        <f t="shared" si="663"/>
        <v>1200</v>
      </c>
      <c r="AJ202" s="233">
        <f t="shared" si="663"/>
        <v>1100</v>
      </c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</row>
    <row r="203" spans="1:46" ht="12">
      <c r="A203" s="229"/>
      <c r="B203" s="233" t="s">
        <v>58</v>
      </c>
      <c r="C203" s="347" t="s">
        <v>57</v>
      </c>
      <c r="D203" s="347"/>
      <c r="E203" s="347">
        <f t="shared" ref="E203:U203" si="664">E204-SUM(E194:E199)</f>
        <v>-5080</v>
      </c>
      <c r="F203" s="347">
        <f t="shared" si="664"/>
        <v>-2690</v>
      </c>
      <c r="G203" s="347">
        <f t="shared" si="664"/>
        <v>-4246</v>
      </c>
      <c r="H203" s="347">
        <f t="shared" si="664"/>
        <v>12495</v>
      </c>
      <c r="I203" s="347">
        <f t="shared" si="664"/>
        <v>20489</v>
      </c>
      <c r="J203" s="347">
        <f t="shared" si="664"/>
        <v>11216</v>
      </c>
      <c r="K203" s="347">
        <f t="shared" si="664"/>
        <v>13160</v>
      </c>
      <c r="L203" s="347">
        <f t="shared" si="664"/>
        <v>9821</v>
      </c>
      <c r="M203" s="347">
        <f t="shared" si="664"/>
        <v>4244</v>
      </c>
      <c r="N203" s="347">
        <f t="shared" si="664"/>
        <v>7827</v>
      </c>
      <c r="O203" s="347">
        <f t="shared" si="664"/>
        <v>4725</v>
      </c>
      <c r="P203" s="347">
        <f t="shared" si="664"/>
        <v>-653</v>
      </c>
      <c r="Q203" s="347">
        <f t="shared" si="664"/>
        <v>4622</v>
      </c>
      <c r="R203" s="347">
        <f t="shared" si="664"/>
        <v>136</v>
      </c>
      <c r="S203" s="347">
        <f t="shared" si="664"/>
        <v>5396</v>
      </c>
      <c r="T203" s="347">
        <f t="shared" si="664"/>
        <v>3065</v>
      </c>
      <c r="U203" s="347">
        <f t="shared" si="664"/>
        <v>874</v>
      </c>
      <c r="V203" s="347">
        <f t="shared" ref="V203:W203" si="665">V204-SUM(V194:V199)</f>
        <v>-3553</v>
      </c>
      <c r="W203" s="347">
        <f t="shared" si="665"/>
        <v>907</v>
      </c>
      <c r="X203" s="347">
        <f t="shared" ref="X203:Y203" si="666">X204-SUM(X194:X199)</f>
        <v>6291</v>
      </c>
      <c r="Y203" s="347">
        <f t="shared" si="666"/>
        <v>941</v>
      </c>
      <c r="Z203" s="347">
        <f t="shared" ref="Z203:AA203" si="667">Z204-SUM(Z194:Z199)</f>
        <v>-1031</v>
      </c>
      <c r="AA203" s="347">
        <f t="shared" si="667"/>
        <v>-1976</v>
      </c>
      <c r="AB203" s="347">
        <f t="shared" ref="AB203:AC203" si="668">AB204-SUM(AB194:AB199)</f>
        <v>13020</v>
      </c>
      <c r="AC203" s="347">
        <f t="shared" si="668"/>
        <v>-1955</v>
      </c>
      <c r="AD203" s="347">
        <f t="shared" ref="AD203:AE203" si="669">AD204-SUM(AD194:AD199)</f>
        <v>-1997</v>
      </c>
      <c r="AE203" s="348">
        <f t="shared" si="669"/>
        <v>-1144</v>
      </c>
      <c r="AF203" s="1658">
        <f>ROUND(AE203-2900,-2)</f>
        <v>-4000</v>
      </c>
      <c r="AG203" s="1658">
        <f t="shared" ref="AG203:AJ203" si="670">ROUND(AF203,-2)</f>
        <v>-4000</v>
      </c>
      <c r="AH203" s="1658">
        <f t="shared" si="670"/>
        <v>-4000</v>
      </c>
      <c r="AI203" s="1658">
        <f t="shared" si="670"/>
        <v>-4000</v>
      </c>
      <c r="AJ203" s="1658">
        <f t="shared" si="670"/>
        <v>-4000</v>
      </c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</row>
    <row r="204" spans="1:46" s="114" customFormat="1">
      <c r="A204" s="345"/>
      <c r="B204" s="169" t="s">
        <v>56</v>
      </c>
      <c r="C204" s="168" t="s">
        <v>55</v>
      </c>
      <c r="D204" s="216"/>
      <c r="E204" s="216">
        <f>'Raw Data'!E214</f>
        <v>0</v>
      </c>
      <c r="F204" s="216">
        <f>'Raw Data'!F214</f>
        <v>0</v>
      </c>
      <c r="G204" s="216">
        <f>'Raw Data'!G214</f>
        <v>0</v>
      </c>
      <c r="H204" s="216">
        <f>'Raw Data'!H214</f>
        <v>18128</v>
      </c>
      <c r="I204" s="216">
        <f>'Raw Data'!I214</f>
        <v>16793</v>
      </c>
      <c r="J204" s="216">
        <f>'Raw Data'!J214</f>
        <v>16963</v>
      </c>
      <c r="K204" s="216">
        <f>'Raw Data'!K214</f>
        <v>21859</v>
      </c>
      <c r="L204" s="216">
        <f>'Raw Data'!L214</f>
        <v>21793</v>
      </c>
      <c r="M204" s="216">
        <f>'Raw Data'!M214</f>
        <v>17108</v>
      </c>
      <c r="N204" s="216">
        <f>'Raw Data'!N214</f>
        <v>23865</v>
      </c>
      <c r="O204" s="216">
        <f>'Raw Data'!O214</f>
        <v>20706</v>
      </c>
      <c r="P204" s="216">
        <f>'Raw Data'!P214</f>
        <v>25432</v>
      </c>
      <c r="Q204" s="168">
        <f>'Raw Data'!Q214</f>
        <v>27226</v>
      </c>
      <c r="R204" s="168">
        <f>'Raw Data'!R214</f>
        <v>29254</v>
      </c>
      <c r="S204" s="168">
        <f>'Raw Data'!S214</f>
        <v>28120</v>
      </c>
      <c r="T204" s="168">
        <f>'Raw Data'!T214</f>
        <v>19510</v>
      </c>
      <c r="U204" s="168">
        <f>'Raw Data'!U214</f>
        <v>33367</v>
      </c>
      <c r="V204" s="168">
        <f>'Raw Data'!V214</f>
        <v>29377</v>
      </c>
      <c r="W204" s="168">
        <f>'Raw Data'!W214</f>
        <v>32641</v>
      </c>
      <c r="X204" s="168">
        <f>'Raw Data'!X214</f>
        <v>33262</v>
      </c>
      <c r="Y204" s="168">
        <f>'Raw Data'!Y214</f>
        <v>33644</v>
      </c>
      <c r="Z204" s="168">
        <f>'Raw Data'!Z214</f>
        <v>29370</v>
      </c>
      <c r="AA204" s="168">
        <f>'Raw Data'!AA214</f>
        <v>31028</v>
      </c>
      <c r="AB204" s="168">
        <f>'Raw Data'!AB214</f>
        <v>47692</v>
      </c>
      <c r="AC204" s="168">
        <f>'Raw Data'!AC214</f>
        <v>47783</v>
      </c>
      <c r="AD204" s="168">
        <f>'Raw Data'!AD214</f>
        <v>33293</v>
      </c>
      <c r="AE204" s="246">
        <f>'Raw Data'!AE214</f>
        <v>42031</v>
      </c>
      <c r="AF204" s="248">
        <f t="shared" ref="AF204:AG204" si="671">AF195+AF194+AF196+AF197+AF198+AF199+AF203</f>
        <v>54800</v>
      </c>
      <c r="AG204" s="248">
        <f t="shared" si="671"/>
        <v>62900</v>
      </c>
      <c r="AH204" s="248">
        <f t="shared" ref="AH204:AI204" si="672">AH195+AH194+AH196+AH197+AH198+AH199+AH203</f>
        <v>65400</v>
      </c>
      <c r="AI204" s="248">
        <f t="shared" si="672"/>
        <v>67300</v>
      </c>
      <c r="AJ204" s="248">
        <f t="shared" ref="AJ204" si="673">AJ195+AJ194+AJ196+AJ197+AJ198+AJ199+AJ203</f>
        <v>69700</v>
      </c>
    </row>
    <row r="205" spans="1:46">
      <c r="A205" s="229"/>
      <c r="B205" s="23" t="s">
        <v>28</v>
      </c>
      <c r="C205" s="23" t="s">
        <v>28</v>
      </c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233"/>
      <c r="R205" s="233"/>
      <c r="S205" s="233"/>
      <c r="T205" s="233"/>
      <c r="U205" s="233"/>
      <c r="V205" s="233"/>
      <c r="W205" s="233"/>
      <c r="X205" s="233"/>
      <c r="Y205" s="233"/>
      <c r="Z205" s="233"/>
      <c r="AA205" s="233"/>
      <c r="AB205" s="233"/>
      <c r="AC205" s="233"/>
      <c r="AD205" s="233"/>
      <c r="AE205" s="244"/>
      <c r="AF205" s="233"/>
      <c r="AG205" s="233"/>
      <c r="AH205" s="233"/>
      <c r="AI205" s="233"/>
      <c r="AJ205" s="23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</row>
    <row r="206" spans="1:46">
      <c r="A206" s="229"/>
      <c r="B206" s="233" t="s">
        <v>54</v>
      </c>
      <c r="C206" s="233" t="s">
        <v>53</v>
      </c>
      <c r="D206" s="233"/>
      <c r="E206" s="242">
        <f>'Raw Data'!E219</f>
        <v>0</v>
      </c>
      <c r="F206" s="242">
        <f>'Raw Data'!F219</f>
        <v>0</v>
      </c>
      <c r="G206" s="242">
        <f>'Raw Data'!G219</f>
        <v>0</v>
      </c>
      <c r="H206" s="242">
        <f>'Raw Data'!H219</f>
        <v>-5267</v>
      </c>
      <c r="I206" s="242">
        <f>'Raw Data'!I219</f>
        <v>-8929</v>
      </c>
      <c r="J206" s="242">
        <f>'Raw Data'!J219</f>
        <v>-13596</v>
      </c>
      <c r="K206" s="242">
        <f>'Raw Data'!K219</f>
        <v>-11249</v>
      </c>
      <c r="L206" s="242">
        <f>'Raw Data'!L219</f>
        <v>-7122</v>
      </c>
      <c r="M206" s="242">
        <f>'Raw Data'!M219</f>
        <v>-8944</v>
      </c>
      <c r="N206" s="242">
        <f>'Raw Data'!N219</f>
        <v>-10000</v>
      </c>
      <c r="O206" s="242">
        <f>'Raw Data'!O219</f>
        <v>-9068</v>
      </c>
      <c r="P206" s="242">
        <f>'Raw Data'!P219</f>
        <v>-6958</v>
      </c>
      <c r="Q206" s="233">
        <f>'Raw Data'!Q219</f>
        <v>-12166</v>
      </c>
      <c r="R206" s="233">
        <f>'Raw Data'!R219</f>
        <v>-26654</v>
      </c>
      <c r="S206" s="233">
        <f>'Raw Data'!S219</f>
        <v>-8512</v>
      </c>
      <c r="T206" s="233">
        <f>'Raw Data'!T219</f>
        <v>-12059</v>
      </c>
      <c r="U206" s="233">
        <f>'Raw Data'!U219</f>
        <v>-16366</v>
      </c>
      <c r="V206" s="233">
        <f>'Raw Data'!V219</f>
        <v>-17243</v>
      </c>
      <c r="W206" s="233">
        <f>'Raw Data'!W219</f>
        <v>-9679</v>
      </c>
      <c r="X206" s="233">
        <f>'Raw Data'!X219</f>
        <v>-16438</v>
      </c>
      <c r="Y206" s="233">
        <f>'Raw Data'!Y219</f>
        <v>-17100</v>
      </c>
      <c r="Z206" s="233">
        <f>'Raw Data'!Z219</f>
        <v>-21227</v>
      </c>
      <c r="AA206" s="233">
        <f>'Raw Data'!AA219</f>
        <v>-27914</v>
      </c>
      <c r="AB206" s="233">
        <f>'Raw Data'!AB219</f>
        <v>-20631</v>
      </c>
      <c r="AC206" s="233">
        <f>'Raw Data'!AC219</f>
        <v>-15965</v>
      </c>
      <c r="AD206" s="233">
        <f>'Raw Data'!AD219</f>
        <v>-12637</v>
      </c>
      <c r="AE206" s="244">
        <f>'Raw Data'!AE219</f>
        <v>-13371</v>
      </c>
      <c r="AF206" s="1656">
        <v>-20000</v>
      </c>
      <c r="AG206" s="1656">
        <v>-24000</v>
      </c>
      <c r="AH206" s="1656">
        <f>AG206-1000</f>
        <v>-25000</v>
      </c>
      <c r="AI206" s="1656">
        <f>+AH206+5000</f>
        <v>-20000</v>
      </c>
      <c r="AJ206" s="1656">
        <f>+AI206</f>
        <v>-20000</v>
      </c>
      <c r="AK206" s="23"/>
      <c r="AL206" s="349">
        <v>-20000</v>
      </c>
      <c r="AM206" s="349">
        <v>-20000</v>
      </c>
      <c r="AN206" s="23"/>
      <c r="AO206" s="349">
        <v>-27500</v>
      </c>
      <c r="AP206" s="23">
        <v>-14000</v>
      </c>
      <c r="AQ206" s="23"/>
      <c r="AR206" s="23"/>
      <c r="AS206" s="23"/>
      <c r="AT206" s="23"/>
    </row>
    <row r="207" spans="1:46">
      <c r="A207" s="229"/>
      <c r="B207" s="243" t="s">
        <v>1030</v>
      </c>
      <c r="C207" s="233" t="s">
        <v>52</v>
      </c>
      <c r="D207" s="233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33">
        <v>-10900</v>
      </c>
      <c r="R207" s="233">
        <v>-24554</v>
      </c>
      <c r="S207" s="233">
        <v>-7912</v>
      </c>
      <c r="T207" s="233">
        <v>-11259</v>
      </c>
      <c r="U207" s="233">
        <v>-11259</v>
      </c>
      <c r="V207" s="233">
        <f>V206-V208</f>
        <v>-4543</v>
      </c>
      <c r="W207" s="233">
        <f>W206-W208</f>
        <v>-6679</v>
      </c>
      <c r="X207" s="233">
        <f>X206-X208</f>
        <v>-13438</v>
      </c>
      <c r="Y207" s="233">
        <f>Y206-Y208</f>
        <v>-14100</v>
      </c>
      <c r="Z207" s="233">
        <f t="shared" ref="Z207:AE207" si="674">+Z206-Z208</f>
        <v>-14227</v>
      </c>
      <c r="AA207" s="233">
        <f t="shared" si="674"/>
        <v>-27914</v>
      </c>
      <c r="AB207" s="233">
        <f t="shared" si="674"/>
        <v>-20631</v>
      </c>
      <c r="AC207" s="233">
        <f t="shared" si="674"/>
        <v>-15965</v>
      </c>
      <c r="AD207" s="233">
        <f t="shared" si="674"/>
        <v>-12637</v>
      </c>
      <c r="AE207" s="244">
        <f t="shared" si="674"/>
        <v>-13371</v>
      </c>
      <c r="AF207" s="251"/>
      <c r="AG207" s="251"/>
      <c r="AH207" s="251"/>
      <c r="AI207" s="251"/>
      <c r="AJ207" s="251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</row>
    <row r="208" spans="1:46">
      <c r="A208" s="229"/>
      <c r="B208" s="243" t="s">
        <v>1036</v>
      </c>
      <c r="C208" s="233" t="s">
        <v>51</v>
      </c>
      <c r="D208" s="233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33">
        <f>Q206-Q207</f>
        <v>-1266</v>
      </c>
      <c r="R208" s="233">
        <f>R206-R207</f>
        <v>-2100</v>
      </c>
      <c r="S208" s="233">
        <f>S206-S207</f>
        <v>-600</v>
      </c>
      <c r="T208" s="233">
        <f>T206-T207</f>
        <v>-800</v>
      </c>
      <c r="U208" s="233">
        <f>U206-U207</f>
        <v>-5107</v>
      </c>
      <c r="V208" s="233">
        <v>-12700</v>
      </c>
      <c r="W208" s="233">
        <v>-3000</v>
      </c>
      <c r="X208" s="233">
        <v>-3000</v>
      </c>
      <c r="Y208" s="233">
        <v>-3000</v>
      </c>
      <c r="Z208" s="233">
        <v>-7000</v>
      </c>
      <c r="AA208" s="233"/>
      <c r="AB208" s="233"/>
      <c r="AC208" s="2234"/>
      <c r="AD208" s="2234"/>
      <c r="AE208" s="2235"/>
      <c r="AF208" s="251"/>
      <c r="AG208" s="251"/>
      <c r="AH208" s="251"/>
      <c r="AI208" s="251"/>
      <c r="AJ208" s="251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</row>
    <row r="209" spans="1:46">
      <c r="A209" s="229"/>
      <c r="B209" s="233" t="s">
        <v>21</v>
      </c>
      <c r="C209" s="233" t="s">
        <v>20</v>
      </c>
      <c r="D209" s="242"/>
      <c r="E209" s="242">
        <f>'Raw Data'!E223</f>
        <v>0</v>
      </c>
      <c r="F209" s="242">
        <f>'Raw Data'!F223</f>
        <v>0</v>
      </c>
      <c r="G209" s="242">
        <f>'Raw Data'!G223</f>
        <v>0</v>
      </c>
      <c r="H209" s="242">
        <f>'Raw Data'!H223</f>
        <v>0</v>
      </c>
      <c r="I209" s="242">
        <f>'Raw Data'!I223</f>
        <v>0</v>
      </c>
      <c r="J209" s="242">
        <f>'Raw Data'!J223</f>
        <v>0</v>
      </c>
      <c r="K209" s="242">
        <f>'Raw Data'!K223</f>
        <v>0</v>
      </c>
      <c r="L209" s="242">
        <f>'Raw Data'!L223</f>
        <v>0</v>
      </c>
      <c r="M209" s="242">
        <f>'Raw Data'!M223</f>
        <v>0</v>
      </c>
      <c r="N209" s="242">
        <f>'Raw Data'!N223</f>
        <v>0</v>
      </c>
      <c r="O209" s="242">
        <f>'Raw Data'!O223</f>
        <v>0</v>
      </c>
      <c r="P209" s="242">
        <f>'Raw Data'!P223</f>
        <v>0</v>
      </c>
      <c r="Q209" s="233">
        <f>'Raw Data'!Q223</f>
        <v>0</v>
      </c>
      <c r="R209" s="233">
        <f>'Raw Data'!R223</f>
        <v>0</v>
      </c>
      <c r="S209" s="233">
        <f>'Raw Data'!S223</f>
        <v>0</v>
      </c>
      <c r="T209" s="233">
        <f>'Raw Data'!T223</f>
        <v>0</v>
      </c>
      <c r="U209" s="233">
        <f>'Raw Data'!U223</f>
        <v>0</v>
      </c>
      <c r="V209" s="233">
        <f>'Raw Data'!V223</f>
        <v>0</v>
      </c>
      <c r="W209" s="233">
        <f>'Raw Data'!W223</f>
        <v>0</v>
      </c>
      <c r="X209" s="233">
        <f>'Raw Data'!X223</f>
        <v>0</v>
      </c>
      <c r="Y209" s="233">
        <f>'Raw Data'!Y223</f>
        <v>0</v>
      </c>
      <c r="Z209" s="233">
        <f>'Raw Data'!Z223</f>
        <v>0</v>
      </c>
      <c r="AA209" s="233">
        <f>'Raw Data'!AA223</f>
        <v>0</v>
      </c>
      <c r="AB209" s="233">
        <f>'Raw Data'!AB223</f>
        <v>0</v>
      </c>
      <c r="AC209" s="233">
        <f>'Raw Data'!AC223</f>
        <v>0</v>
      </c>
      <c r="AD209" s="233">
        <f>'Raw Data'!AD223</f>
        <v>0</v>
      </c>
      <c r="AE209" s="244">
        <f>'Raw Data'!AE223</f>
        <v>0</v>
      </c>
      <c r="AF209" s="233"/>
      <c r="AG209" s="233"/>
      <c r="AH209" s="233"/>
      <c r="AI209" s="233"/>
      <c r="AJ209" s="23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</row>
    <row r="210" spans="1:46">
      <c r="A210" s="229"/>
      <c r="B210" s="233" t="s">
        <v>50</v>
      </c>
      <c r="C210" s="233" t="s">
        <v>49</v>
      </c>
      <c r="D210" s="242"/>
      <c r="E210" s="242">
        <f>'Raw Data'!E225</f>
        <v>0</v>
      </c>
      <c r="F210" s="242">
        <f>'Raw Data'!F225</f>
        <v>0</v>
      </c>
      <c r="G210" s="242">
        <f>'Raw Data'!G225</f>
        <v>0</v>
      </c>
      <c r="H210" s="242">
        <f>'Raw Data'!H225</f>
        <v>0</v>
      </c>
      <c r="I210" s="242">
        <f>'Raw Data'!I225</f>
        <v>0</v>
      </c>
      <c r="J210" s="242">
        <f>'Raw Data'!J225</f>
        <v>0</v>
      </c>
      <c r="K210" s="242">
        <f>'Raw Data'!K225</f>
        <v>0</v>
      </c>
      <c r="L210" s="242">
        <f>'Raw Data'!L225</f>
        <v>0</v>
      </c>
      <c r="M210" s="242">
        <f>'Raw Data'!M225</f>
        <v>0</v>
      </c>
      <c r="N210" s="242">
        <f>'Raw Data'!N225</f>
        <v>0</v>
      </c>
      <c r="O210" s="242">
        <f>'Raw Data'!O225</f>
        <v>0</v>
      </c>
      <c r="P210" s="242">
        <f>'Raw Data'!P225</f>
        <v>0</v>
      </c>
      <c r="Q210" s="233">
        <f>'Raw Data'!Q225</f>
        <v>0</v>
      </c>
      <c r="R210" s="233">
        <f>'Raw Data'!R225</f>
        <v>0</v>
      </c>
      <c r="S210" s="233">
        <f>'Raw Data'!S225</f>
        <v>0</v>
      </c>
      <c r="T210" s="233">
        <f>'Raw Data'!T225</f>
        <v>0</v>
      </c>
      <c r="U210" s="233">
        <f>'Raw Data'!U225</f>
        <v>0</v>
      </c>
      <c r="V210" s="233">
        <f>'Raw Data'!V225</f>
        <v>0</v>
      </c>
      <c r="W210" s="233">
        <f>'Raw Data'!W225</f>
        <v>0</v>
      </c>
      <c r="X210" s="233">
        <f>'Raw Data'!X225</f>
        <v>0</v>
      </c>
      <c r="Y210" s="233">
        <f>'Raw Data'!Y225</f>
        <v>0</v>
      </c>
      <c r="Z210" s="233">
        <f>'Raw Data'!Z225</f>
        <v>0</v>
      </c>
      <c r="AA210" s="233">
        <f>'Raw Data'!AA225</f>
        <v>0</v>
      </c>
      <c r="AB210" s="233">
        <f>'Raw Data'!AB225</f>
        <v>0</v>
      </c>
      <c r="AC210" s="233">
        <f>'Raw Data'!AC225</f>
        <v>0</v>
      </c>
      <c r="AD210" s="233">
        <f>'Raw Data'!AD225</f>
        <v>0</v>
      </c>
      <c r="AE210" s="244">
        <f>'Raw Data'!AE225</f>
        <v>0</v>
      </c>
      <c r="AF210" s="233">
        <f>ROUND(AE136-AF136+AF59+AF60,-2)</f>
        <v>0</v>
      </c>
      <c r="AG210" s="233">
        <f>ROUND(AF136-AG136+AG59+AG60,-2)</f>
        <v>0</v>
      </c>
      <c r="AH210" s="233">
        <f t="shared" ref="AH210:AJ210" si="675">ROUND(AG136-AH136+AH59+AH60,-2)</f>
        <v>0</v>
      </c>
      <c r="AI210" s="233">
        <f t="shared" si="675"/>
        <v>0</v>
      </c>
      <c r="AJ210" s="233">
        <f t="shared" si="675"/>
        <v>0</v>
      </c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</row>
    <row r="211" spans="1:46">
      <c r="A211" s="229"/>
      <c r="B211" s="233" t="s">
        <v>48</v>
      </c>
      <c r="C211" s="347" t="s">
        <v>47</v>
      </c>
      <c r="D211" s="347"/>
      <c r="E211" s="347">
        <f t="shared" ref="E211:P211" si="676">E212-SUM(E206:E210)</f>
        <v>0</v>
      </c>
      <c r="F211" s="347">
        <f t="shared" si="676"/>
        <v>0</v>
      </c>
      <c r="G211" s="347">
        <f t="shared" si="676"/>
        <v>0</v>
      </c>
      <c r="H211" s="347">
        <f t="shared" si="676"/>
        <v>-1182</v>
      </c>
      <c r="I211" s="347">
        <f t="shared" si="676"/>
        <v>3367</v>
      </c>
      <c r="J211" s="347">
        <f t="shared" si="676"/>
        <v>3865</v>
      </c>
      <c r="K211" s="347">
        <f t="shared" si="676"/>
        <v>-2510</v>
      </c>
      <c r="L211" s="347">
        <f t="shared" si="676"/>
        <v>-2190</v>
      </c>
      <c r="M211" s="347">
        <f t="shared" si="676"/>
        <v>2554</v>
      </c>
      <c r="N211" s="347">
        <f t="shared" si="676"/>
        <v>12238</v>
      </c>
      <c r="O211" s="347">
        <f t="shared" si="676"/>
        <v>514</v>
      </c>
      <c r="P211" s="347">
        <f t="shared" si="676"/>
        <v>440</v>
      </c>
      <c r="Q211" s="347">
        <f t="shared" ref="Q211:V211" si="677">Q212-Q206-Q209-Q210</f>
        <v>848</v>
      </c>
      <c r="R211" s="347">
        <f t="shared" si="677"/>
        <v>1382</v>
      </c>
      <c r="S211" s="347">
        <f t="shared" si="677"/>
        <v>-1756</v>
      </c>
      <c r="T211" s="347">
        <f t="shared" si="677"/>
        <v>-19030</v>
      </c>
      <c r="U211" s="233">
        <f t="shared" si="677"/>
        <v>-3592</v>
      </c>
      <c r="V211" s="233">
        <f t="shared" si="677"/>
        <v>-11278</v>
      </c>
      <c r="W211" s="233">
        <f t="shared" ref="W211:X211" si="678">W212-W206-W209-W210</f>
        <v>-30297</v>
      </c>
      <c r="X211" s="233">
        <f t="shared" si="678"/>
        <v>-16257</v>
      </c>
      <c r="Y211" s="233">
        <f t="shared" ref="Y211:Z211" si="679">Y212-Y206-Y209-Y210</f>
        <v>-13743</v>
      </c>
      <c r="Z211" s="233">
        <f t="shared" si="679"/>
        <v>843</v>
      </c>
      <c r="AA211" s="233">
        <f t="shared" ref="AA211:AB211" si="680">AA212-AA206-AA209-AA210</f>
        <v>556</v>
      </c>
      <c r="AB211" s="233">
        <f t="shared" si="680"/>
        <v>2177</v>
      </c>
      <c r="AC211" s="233">
        <f t="shared" ref="AC211:AD211" si="681">AC212-AC206-AC209-AC210</f>
        <v>-34020</v>
      </c>
      <c r="AD211" s="233">
        <f t="shared" si="681"/>
        <v>-14671</v>
      </c>
      <c r="AE211" s="244">
        <f t="shared" ref="AE211" si="682">AE212-AE206-AE209-AE210</f>
        <v>-11833</v>
      </c>
      <c r="AF211" s="1656">
        <f>ROUND((AC211+AD211+AE211)/3+4200,-2)</f>
        <v>-16000</v>
      </c>
      <c r="AG211" s="1656">
        <f t="shared" ref="AG211:AJ211" si="683">ROUND(AF211,-2)</f>
        <v>-16000</v>
      </c>
      <c r="AH211" s="1656">
        <f t="shared" si="683"/>
        <v>-16000</v>
      </c>
      <c r="AI211" s="1656">
        <f t="shared" si="683"/>
        <v>-16000</v>
      </c>
      <c r="AJ211" s="1656">
        <f t="shared" si="683"/>
        <v>-16000</v>
      </c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</row>
    <row r="212" spans="1:46" s="114" customFormat="1">
      <c r="A212" s="281"/>
      <c r="B212" s="169" t="s">
        <v>46</v>
      </c>
      <c r="C212" s="168" t="s">
        <v>45</v>
      </c>
      <c r="D212" s="216"/>
      <c r="E212" s="216">
        <f>'Raw Data'!E229</f>
        <v>0</v>
      </c>
      <c r="F212" s="216">
        <f>'Raw Data'!F229</f>
        <v>0</v>
      </c>
      <c r="G212" s="216">
        <f>'Raw Data'!G229</f>
        <v>0</v>
      </c>
      <c r="H212" s="216">
        <f>'Raw Data'!H229</f>
        <v>-6449</v>
      </c>
      <c r="I212" s="216">
        <f>'Raw Data'!I229</f>
        <v>-5562</v>
      </c>
      <c r="J212" s="216">
        <f>'Raw Data'!J229</f>
        <v>-9731</v>
      </c>
      <c r="K212" s="216">
        <f>'Raw Data'!K229</f>
        <v>-13759</v>
      </c>
      <c r="L212" s="216">
        <f>'Raw Data'!L229</f>
        <v>-9312</v>
      </c>
      <c r="M212" s="216">
        <f>'Raw Data'!M229</f>
        <v>-6390</v>
      </c>
      <c r="N212" s="216">
        <f>'Raw Data'!N229</f>
        <v>2238</v>
      </c>
      <c r="O212" s="216">
        <f>'Raw Data'!O229</f>
        <v>-8554</v>
      </c>
      <c r="P212" s="216">
        <f>'Raw Data'!P229</f>
        <v>-6518</v>
      </c>
      <c r="Q212" s="168">
        <f>'Raw Data'!Q229</f>
        <v>-11318</v>
      </c>
      <c r="R212" s="168">
        <f>'Raw Data'!R229</f>
        <v>-25272</v>
      </c>
      <c r="S212" s="168">
        <f>'Raw Data'!S229</f>
        <v>-10268</v>
      </c>
      <c r="T212" s="168">
        <f>'Raw Data'!T229</f>
        <v>-31089</v>
      </c>
      <c r="U212" s="248">
        <f>'Raw Data'!U229</f>
        <v>-19958</v>
      </c>
      <c r="V212" s="248">
        <f>'Raw Data'!V229</f>
        <v>-28521</v>
      </c>
      <c r="W212" s="248">
        <f>'Raw Data'!W229</f>
        <v>-39976</v>
      </c>
      <c r="X212" s="248">
        <f>'Raw Data'!X229</f>
        <v>-32695</v>
      </c>
      <c r="Y212" s="248">
        <f>'Raw Data'!Y229</f>
        <v>-30843</v>
      </c>
      <c r="Z212" s="248">
        <f>'Raw Data'!Z229</f>
        <v>-20384</v>
      </c>
      <c r="AA212" s="248">
        <f>'Raw Data'!AA229</f>
        <v>-27358</v>
      </c>
      <c r="AB212" s="248">
        <f>'Raw Data'!AB229</f>
        <v>-18454</v>
      </c>
      <c r="AC212" s="248">
        <f>'Raw Data'!AC229</f>
        <v>-49985</v>
      </c>
      <c r="AD212" s="248">
        <f>'Raw Data'!AD229</f>
        <v>-27308</v>
      </c>
      <c r="AE212" s="267">
        <f>'Raw Data'!AE229</f>
        <v>-25204</v>
      </c>
      <c r="AF212" s="248">
        <f t="shared" ref="AF212:AG212" si="684">AF206+AF209+AF210+AF211</f>
        <v>-36000</v>
      </c>
      <c r="AG212" s="248">
        <f t="shared" si="684"/>
        <v>-40000</v>
      </c>
      <c r="AH212" s="248">
        <f t="shared" ref="AH212:AI212" si="685">AH206+AH209+AH210+AH211</f>
        <v>-41000</v>
      </c>
      <c r="AI212" s="248">
        <f t="shared" si="685"/>
        <v>-36000</v>
      </c>
      <c r="AJ212" s="248">
        <f>AJ206+AJ209+AJ210+AJ211</f>
        <v>-36000</v>
      </c>
    </row>
    <row r="213" spans="1:46">
      <c r="A213" s="229"/>
      <c r="B213" s="23"/>
      <c r="C213" s="23"/>
      <c r="D213" s="233"/>
      <c r="E213" s="233"/>
      <c r="F213" s="233"/>
      <c r="G213" s="233"/>
      <c r="H213" s="233"/>
      <c r="I213" s="233"/>
      <c r="J213" s="233"/>
      <c r="K213" s="233"/>
      <c r="L213" s="233"/>
      <c r="M213" s="233"/>
      <c r="N213" s="233"/>
      <c r="O213" s="233"/>
      <c r="P213" s="233"/>
      <c r="Q213" s="233"/>
      <c r="R213" s="233"/>
      <c r="S213" s="233"/>
      <c r="T213" s="233"/>
      <c r="U213" s="233"/>
      <c r="V213" s="233"/>
      <c r="W213" s="233"/>
      <c r="X213" s="233"/>
      <c r="Y213" s="233"/>
      <c r="Z213" s="233"/>
      <c r="AA213" s="233"/>
      <c r="AB213" s="233"/>
      <c r="AC213" s="233"/>
      <c r="AD213" s="233"/>
      <c r="AE213" s="244"/>
      <c r="AF213" s="233"/>
      <c r="AG213" s="233"/>
      <c r="AH213" s="233"/>
      <c r="AI213" s="233"/>
      <c r="AJ213" s="23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</row>
    <row r="214" spans="1:46">
      <c r="A214" s="255"/>
      <c r="B214" s="233" t="s">
        <v>44</v>
      </c>
      <c r="C214" s="233" t="s">
        <v>43</v>
      </c>
      <c r="D214" s="233"/>
      <c r="E214" s="233">
        <f t="shared" ref="E214:U214" si="686">(E84+E74)</f>
        <v>0</v>
      </c>
      <c r="F214" s="233">
        <f t="shared" si="686"/>
        <v>0</v>
      </c>
      <c r="G214" s="233">
        <f t="shared" si="686"/>
        <v>0</v>
      </c>
      <c r="H214" s="233">
        <f t="shared" si="686"/>
        <v>-1432</v>
      </c>
      <c r="I214" s="233">
        <f t="shared" si="686"/>
        <v>-1431</v>
      </c>
      <c r="J214" s="233">
        <f t="shared" si="686"/>
        <v>-1370</v>
      </c>
      <c r="K214" s="233">
        <f t="shared" si="686"/>
        <v>-1376</v>
      </c>
      <c r="L214" s="233">
        <f t="shared" si="686"/>
        <v>-1881</v>
      </c>
      <c r="M214" s="233">
        <f t="shared" si="686"/>
        <v>-1385</v>
      </c>
      <c r="N214" s="233">
        <f t="shared" si="686"/>
        <v>-1706</v>
      </c>
      <c r="O214" s="233">
        <f t="shared" si="686"/>
        <v>-3042</v>
      </c>
      <c r="P214" s="233">
        <f t="shared" si="686"/>
        <v>-2512</v>
      </c>
      <c r="Q214" s="233">
        <f t="shared" si="686"/>
        <v>-3256</v>
      </c>
      <c r="R214" s="233">
        <f t="shared" si="686"/>
        <v>-3261</v>
      </c>
      <c r="S214" s="233">
        <f t="shared" si="686"/>
        <v>-4598</v>
      </c>
      <c r="T214" s="233">
        <f t="shared" si="686"/>
        <v>-4086</v>
      </c>
      <c r="U214" s="233">
        <f t="shared" si="686"/>
        <v>-4086</v>
      </c>
      <c r="V214" s="233">
        <f t="shared" ref="V214:W214" si="687">(V84+V74)</f>
        <v>-5109</v>
      </c>
      <c r="W214" s="233">
        <f t="shared" si="687"/>
        <v>-5109</v>
      </c>
      <c r="X214" s="233">
        <f t="shared" ref="X214:Y214" si="688">(X84+X74)</f>
        <v>-6130</v>
      </c>
      <c r="Y214" s="233">
        <f t="shared" si="688"/>
        <v>-6130</v>
      </c>
      <c r="Z214" s="233">
        <f t="shared" ref="Z214:AA214" si="689">(Z84+Z74)</f>
        <v>-6130</v>
      </c>
      <c r="AA214" s="233">
        <f t="shared" si="689"/>
        <v>-7152</v>
      </c>
      <c r="AB214" s="233">
        <f t="shared" ref="AB214:AC214" si="690">(AB84+AB74)</f>
        <v>-8174</v>
      </c>
      <c r="AC214" s="233">
        <f t="shared" si="690"/>
        <v>-9195</v>
      </c>
      <c r="AD214" s="233">
        <f t="shared" ref="AD214:AE214" si="691">(AD84+AD74)</f>
        <v>-9195</v>
      </c>
      <c r="AE214" s="244">
        <f t="shared" si="691"/>
        <v>-10217</v>
      </c>
      <c r="AF214" s="233">
        <f t="shared" ref="AF214:AG214" si="692">(AF84+AF74)</f>
        <v>-13300</v>
      </c>
      <c r="AG214" s="233">
        <f t="shared" si="692"/>
        <v>-14300</v>
      </c>
      <c r="AH214" s="233">
        <f t="shared" ref="AH214:AI214" si="693">(AH84+AH74)</f>
        <v>-16300</v>
      </c>
      <c r="AI214" s="233">
        <f t="shared" si="693"/>
        <v>-18400</v>
      </c>
      <c r="AJ214" s="233">
        <f t="shared" ref="AJ214" si="694">(AJ84+AJ74)</f>
        <v>-19400</v>
      </c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</row>
    <row r="215" spans="1:46">
      <c r="A215" s="229"/>
      <c r="B215" s="233" t="s">
        <v>42</v>
      </c>
      <c r="C215" s="233" t="s">
        <v>41</v>
      </c>
      <c r="D215" s="242"/>
      <c r="E215" s="242">
        <f>'Raw Data'!E238</f>
        <v>0</v>
      </c>
      <c r="F215" s="242">
        <f>'Raw Data'!F238</f>
        <v>0</v>
      </c>
      <c r="G215" s="242">
        <f>'Raw Data'!G238</f>
        <v>0</v>
      </c>
      <c r="H215" s="242">
        <f>'Raw Data'!H238</f>
        <v>-152</v>
      </c>
      <c r="I215" s="242">
        <f>'Raw Data'!I238</f>
        <v>0</v>
      </c>
      <c r="J215" s="242">
        <f>'Raw Data'!J238</f>
        <v>-16</v>
      </c>
      <c r="K215" s="242">
        <f>'Raw Data'!K238</f>
        <v>-81</v>
      </c>
      <c r="L215" s="242">
        <f>'Raw Data'!L238</f>
        <v>-1752</v>
      </c>
      <c r="M215" s="242">
        <f>'Raw Data'!M238</f>
        <v>-71</v>
      </c>
      <c r="N215" s="242">
        <f>'Raw Data'!N238</f>
        <v>-78</v>
      </c>
      <c r="O215" s="242">
        <f>'Raw Data'!O238</f>
        <v>-6657</v>
      </c>
      <c r="P215" s="242">
        <f>'Raw Data'!P238</f>
        <v>0</v>
      </c>
      <c r="Q215" s="233">
        <f>'Raw Data'!Q238</f>
        <v>0</v>
      </c>
      <c r="R215" s="233">
        <f>'Raw Data'!R238</f>
        <v>-2021</v>
      </c>
      <c r="S215" s="233">
        <f>'Raw Data'!S238</f>
        <v>0</v>
      </c>
      <c r="T215" s="233">
        <f>'Raw Data'!T238</f>
        <v>0</v>
      </c>
      <c r="U215" s="233">
        <f>'Raw Data'!U238</f>
        <v>0</v>
      </c>
      <c r="V215" s="233">
        <f>'Raw Data'!V238</f>
        <v>0</v>
      </c>
      <c r="W215" s="233">
        <f>'Raw Data'!W238</f>
        <v>0</v>
      </c>
      <c r="X215" s="233">
        <f>'Raw Data'!X238</f>
        <v>0</v>
      </c>
      <c r="Y215" s="233">
        <f>'Raw Data'!Y238</f>
        <v>0</v>
      </c>
      <c r="Z215" s="233">
        <f>'Raw Data'!Z238</f>
        <v>0</v>
      </c>
      <c r="AA215" s="233">
        <f>'Raw Data'!AA238</f>
        <v>0</v>
      </c>
      <c r="AB215" s="233">
        <f>'Raw Data'!AB238</f>
        <v>0</v>
      </c>
      <c r="AC215" s="233">
        <f>'Raw Data'!AC238</f>
        <v>0</v>
      </c>
      <c r="AD215" s="233">
        <f>'Raw Data'!AD238</f>
        <v>0</v>
      </c>
      <c r="AE215" s="244">
        <f>'Raw Data'!AE238</f>
        <v>0</v>
      </c>
      <c r="AF215" s="1659">
        <f>ROUND(AF151-AE151,-2)</f>
        <v>0</v>
      </c>
      <c r="AG215" s="1659">
        <f t="shared" ref="AG215:AJ215" si="695">ROUND(AG151-AF151,-2)</f>
        <v>0</v>
      </c>
      <c r="AH215" s="1659">
        <f t="shared" si="695"/>
        <v>0</v>
      </c>
      <c r="AI215" s="1659">
        <f t="shared" si="695"/>
        <v>0</v>
      </c>
      <c r="AJ215" s="1659">
        <f t="shared" si="695"/>
        <v>0</v>
      </c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</row>
    <row r="216" spans="1:46">
      <c r="A216" s="229"/>
      <c r="B216" s="233" t="s">
        <v>40</v>
      </c>
      <c r="C216" s="233" t="s">
        <v>39</v>
      </c>
      <c r="D216" s="242"/>
      <c r="E216" s="242">
        <f>'Raw Data'!E240</f>
        <v>0</v>
      </c>
      <c r="F216" s="242">
        <f>'Raw Data'!F240</f>
        <v>0</v>
      </c>
      <c r="G216" s="242">
        <f>'Raw Data'!G240</f>
        <v>0</v>
      </c>
      <c r="H216" s="242">
        <f>'Raw Data'!H240</f>
        <v>-1793</v>
      </c>
      <c r="I216" s="242">
        <f>'Raw Data'!I240</f>
        <v>-3290</v>
      </c>
      <c r="J216" s="242">
        <f>'Raw Data'!J240</f>
        <v>-2428</v>
      </c>
      <c r="K216" s="242">
        <f>'Raw Data'!K240</f>
        <v>-2842</v>
      </c>
      <c r="L216" s="242">
        <f>'Raw Data'!L240</f>
        <v>-2558</v>
      </c>
      <c r="M216" s="242">
        <f>'Raw Data'!M240</f>
        <v>-4718</v>
      </c>
      <c r="N216" s="242">
        <f>'Raw Data'!N240</f>
        <v>-1556</v>
      </c>
      <c r="O216" s="242">
        <f>'Raw Data'!O240</f>
        <v>1699</v>
      </c>
      <c r="P216" s="242">
        <f>'Raw Data'!P240</f>
        <v>-2842</v>
      </c>
      <c r="Q216" s="233">
        <f>'Raw Data'!Q240</f>
        <v>-3</v>
      </c>
      <c r="R216" s="233">
        <f>'Raw Data'!R240</f>
        <v>-325</v>
      </c>
      <c r="S216" s="233">
        <f>'Raw Data'!S240</f>
        <v>-1194</v>
      </c>
      <c r="T216" s="233">
        <f>'Raw Data'!T240</f>
        <v>-217</v>
      </c>
      <c r="U216" s="233">
        <f>'Raw Data'!U240</f>
        <v>-120</v>
      </c>
      <c r="V216" s="233">
        <f>'Raw Data'!V240</f>
        <v>-11</v>
      </c>
      <c r="W216" s="233">
        <f>'Raw Data'!W240</f>
        <v>26</v>
      </c>
      <c r="X216" s="233">
        <f>'Raw Data'!X240</f>
        <v>47</v>
      </c>
      <c r="Y216" s="233">
        <f>'Raw Data'!Y240</f>
        <v>-7</v>
      </c>
      <c r="Z216" s="233">
        <f>'Raw Data'!Z240</f>
        <v>18</v>
      </c>
      <c r="AA216" s="233">
        <f>'Raw Data'!AA240</f>
        <v>359</v>
      </c>
      <c r="AB216" s="233">
        <f>'Raw Data'!AB240</f>
        <v>-320</v>
      </c>
      <c r="AC216" s="233">
        <f>'Raw Data'!AC240</f>
        <v>26</v>
      </c>
      <c r="AD216" s="233">
        <f>'Raw Data'!AD240</f>
        <v>28</v>
      </c>
      <c r="AE216" s="244">
        <f>'Raw Data'!AE240</f>
        <v>-1</v>
      </c>
      <c r="AF216" s="233">
        <f>ROUND(AF141-AE141,-2)</f>
        <v>0</v>
      </c>
      <c r="AG216" s="233">
        <f t="shared" ref="AG216:AJ216" si="696">ROUND(AG141-AF141,-2)</f>
        <v>0</v>
      </c>
      <c r="AH216" s="233">
        <f t="shared" si="696"/>
        <v>0</v>
      </c>
      <c r="AI216" s="233">
        <f t="shared" si="696"/>
        <v>0</v>
      </c>
      <c r="AJ216" s="233">
        <f t="shared" si="696"/>
        <v>0</v>
      </c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</row>
    <row r="217" spans="1:46">
      <c r="A217" s="229"/>
      <c r="B217" s="233" t="s">
        <v>38</v>
      </c>
      <c r="C217" s="233" t="s">
        <v>37</v>
      </c>
      <c r="D217" s="242"/>
      <c r="E217" s="242">
        <f>'Raw Data'!E245</f>
        <v>0</v>
      </c>
      <c r="F217" s="242">
        <f>'Raw Data'!F245</f>
        <v>0</v>
      </c>
      <c r="G217" s="242">
        <f>'Raw Data'!G245</f>
        <v>0</v>
      </c>
      <c r="H217" s="242">
        <f>'Raw Data'!H245</f>
        <v>-1706</v>
      </c>
      <c r="I217" s="242">
        <f>'Raw Data'!I245</f>
        <v>-1573</v>
      </c>
      <c r="J217" s="242">
        <f>'Raw Data'!J245</f>
        <v>-1043</v>
      </c>
      <c r="K217" s="242">
        <f>'Raw Data'!K245</f>
        <v>-1191</v>
      </c>
      <c r="L217" s="242">
        <f>'Raw Data'!L245</f>
        <v>-1806</v>
      </c>
      <c r="M217" s="242">
        <f>'Raw Data'!M245</f>
        <v>-564</v>
      </c>
      <c r="N217" s="242">
        <f>'Raw Data'!N245</f>
        <v>-216</v>
      </c>
      <c r="O217" s="242">
        <f>'Raw Data'!O245</f>
        <v>-169</v>
      </c>
      <c r="P217" s="242">
        <f>'Raw Data'!P245</f>
        <v>-10142</v>
      </c>
      <c r="Q217" s="233">
        <f>'Raw Data'!Q245</f>
        <v>-142</v>
      </c>
      <c r="R217" s="233">
        <f>'Raw Data'!R245</f>
        <v>-82</v>
      </c>
      <c r="S217" s="233">
        <f>'Raw Data'!S245</f>
        <v>-52</v>
      </c>
      <c r="T217" s="233">
        <f>'Raw Data'!T245</f>
        <v>-52</v>
      </c>
      <c r="U217" s="233">
        <f>'Raw Data'!U245</f>
        <v>-12</v>
      </c>
      <c r="V217" s="233">
        <f>'Raw Data'!V245</f>
        <v>-149</v>
      </c>
      <c r="W217" s="233">
        <f>'Raw Data'!W245</f>
        <v>-85</v>
      </c>
      <c r="X217" s="233">
        <f>'Raw Data'!X245</f>
        <v>0</v>
      </c>
      <c r="Y217" s="233">
        <f>'Raw Data'!Y245</f>
        <v>-30</v>
      </c>
      <c r="Z217" s="233">
        <f>'Raw Data'!Z245</f>
        <v>0</v>
      </c>
      <c r="AA217" s="233">
        <f>'Raw Data'!AA245</f>
        <v>0</v>
      </c>
      <c r="AB217" s="233">
        <f>'Raw Data'!AB245</f>
        <v>0</v>
      </c>
      <c r="AC217" s="233">
        <f>'Raw Data'!AC245</f>
        <v>0</v>
      </c>
      <c r="AD217" s="233">
        <f>'Raw Data'!AD245</f>
        <v>0</v>
      </c>
      <c r="AE217" s="244">
        <f>'Raw Data'!AE245</f>
        <v>0</v>
      </c>
      <c r="AF217" s="233">
        <f t="shared" ref="AF217:AJ217" si="697">AF145-AE145</f>
        <v>0</v>
      </c>
      <c r="AG217" s="233">
        <f t="shared" si="697"/>
        <v>0</v>
      </c>
      <c r="AH217" s="233">
        <f t="shared" si="697"/>
        <v>0</v>
      </c>
      <c r="AI217" s="233">
        <f t="shared" si="697"/>
        <v>0</v>
      </c>
      <c r="AJ217" s="233">
        <f t="shared" si="697"/>
        <v>0</v>
      </c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</row>
    <row r="218" spans="1:46">
      <c r="A218" s="229"/>
      <c r="B218" s="233" t="s">
        <v>36</v>
      </c>
      <c r="C218" s="233" t="s">
        <v>35</v>
      </c>
      <c r="D218" s="242"/>
      <c r="E218" s="242">
        <f>'Raw Data'!E247</f>
        <v>0</v>
      </c>
      <c r="F218" s="242">
        <f>'Raw Data'!F247</f>
        <v>0</v>
      </c>
      <c r="G218" s="242">
        <f>'Raw Data'!G247</f>
        <v>0</v>
      </c>
      <c r="H218" s="242">
        <f>'Raw Data'!H247</f>
        <v>0</v>
      </c>
      <c r="I218" s="242">
        <f>'Raw Data'!I247</f>
        <v>0</v>
      </c>
      <c r="J218" s="242">
        <f>'Raw Data'!J247</f>
        <v>0</v>
      </c>
      <c r="K218" s="242">
        <f>'Raw Data'!K247</f>
        <v>0</v>
      </c>
      <c r="L218" s="242">
        <f>'Raw Data'!L247</f>
        <v>0</v>
      </c>
      <c r="M218" s="242">
        <f>'Raw Data'!M247</f>
        <v>0</v>
      </c>
      <c r="N218" s="242">
        <f>'Raw Data'!N247</f>
        <v>0</v>
      </c>
      <c r="O218" s="242">
        <f>'Raw Data'!O247</f>
        <v>0</v>
      </c>
      <c r="P218" s="242">
        <f>'Raw Data'!P247</f>
        <v>0</v>
      </c>
      <c r="Q218" s="233">
        <f>'Raw Data'!Q247</f>
        <v>0</v>
      </c>
      <c r="R218" s="233">
        <f>'Raw Data'!R247</f>
        <v>0</v>
      </c>
      <c r="S218" s="233">
        <f>'Raw Data'!S247</f>
        <v>0</v>
      </c>
      <c r="T218" s="233">
        <f>'Raw Data'!T247</f>
        <v>0</v>
      </c>
      <c r="U218" s="233">
        <f>'Raw Data'!U247</f>
        <v>0</v>
      </c>
      <c r="V218" s="233">
        <f>'Raw Data'!V247</f>
        <v>0</v>
      </c>
      <c r="W218" s="233">
        <f>'Raw Data'!W247</f>
        <v>0</v>
      </c>
      <c r="X218" s="233">
        <f>'Raw Data'!X247</f>
        <v>0</v>
      </c>
      <c r="Y218" s="233">
        <f>'Raw Data'!Y247</f>
        <v>0</v>
      </c>
      <c r="Z218" s="233">
        <f>'Raw Data'!Z247</f>
        <v>0</v>
      </c>
      <c r="AA218" s="233">
        <f>'Raw Data'!AA247</f>
        <v>0</v>
      </c>
      <c r="AB218" s="233">
        <f>'Raw Data'!AB247</f>
        <v>0</v>
      </c>
      <c r="AC218" s="233">
        <f>'Raw Data'!AC247</f>
        <v>0</v>
      </c>
      <c r="AD218" s="233">
        <f>'Raw Data'!AD247</f>
        <v>0</v>
      </c>
      <c r="AE218" s="244">
        <f>'Raw Data'!AE247</f>
        <v>0</v>
      </c>
      <c r="AF218" s="233">
        <f t="shared" ref="AF218:AJ218" si="698">AF150-AE150</f>
        <v>0</v>
      </c>
      <c r="AG218" s="233">
        <f t="shared" si="698"/>
        <v>0</v>
      </c>
      <c r="AH218" s="233">
        <f t="shared" si="698"/>
        <v>0</v>
      </c>
      <c r="AI218" s="233">
        <f t="shared" si="698"/>
        <v>0</v>
      </c>
      <c r="AJ218" s="233">
        <f t="shared" si="698"/>
        <v>0</v>
      </c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</row>
    <row r="219" spans="1:46">
      <c r="A219" s="229"/>
      <c r="B219" s="233" t="s">
        <v>34</v>
      </c>
      <c r="C219" s="233" t="s">
        <v>33</v>
      </c>
      <c r="D219" s="242"/>
      <c r="E219" s="242">
        <f>'Raw Data'!E249</f>
        <v>0</v>
      </c>
      <c r="F219" s="242">
        <f>'Raw Data'!F249</f>
        <v>0</v>
      </c>
      <c r="G219" s="242">
        <f>'Raw Data'!G249</f>
        <v>0</v>
      </c>
      <c r="H219" s="242">
        <f>'Raw Data'!H249</f>
        <v>4463</v>
      </c>
      <c r="I219" s="242">
        <f>'Raw Data'!I249</f>
        <v>2024</v>
      </c>
      <c r="J219" s="242">
        <f>'Raw Data'!J249</f>
        <v>701</v>
      </c>
      <c r="K219" s="242">
        <f>'Raw Data'!K249</f>
        <v>-2421</v>
      </c>
      <c r="L219" s="242">
        <f>'Raw Data'!L249</f>
        <v>591</v>
      </c>
      <c r="M219" s="242">
        <f>'Raw Data'!M249</f>
        <v>1158</v>
      </c>
      <c r="N219" s="242">
        <f>'Raw Data'!N249</f>
        <v>958</v>
      </c>
      <c r="O219" s="242">
        <f>'Raw Data'!O249</f>
        <v>540</v>
      </c>
      <c r="P219" s="242">
        <f>'Raw Data'!P249</f>
        <v>811</v>
      </c>
      <c r="Q219" s="233">
        <f>'Raw Data'!Q249</f>
        <v>335</v>
      </c>
      <c r="R219" s="233">
        <f>'Raw Data'!R249</f>
        <v>-2380</v>
      </c>
      <c r="S219" s="233">
        <f>'Raw Data'!S249</f>
        <v>404</v>
      </c>
      <c r="T219" s="233">
        <f>'Raw Data'!T249</f>
        <v>470</v>
      </c>
      <c r="U219" s="233">
        <f>'Raw Data'!U249</f>
        <v>-209</v>
      </c>
      <c r="V219" s="233">
        <f>'Raw Data'!V249</f>
        <v>-221</v>
      </c>
      <c r="W219" s="233">
        <f>'Raw Data'!W249</f>
        <v>-172</v>
      </c>
      <c r="X219" s="233">
        <f>'Raw Data'!X249</f>
        <v>-140</v>
      </c>
      <c r="Y219" s="233">
        <f>'Raw Data'!Y249</f>
        <v>-149</v>
      </c>
      <c r="Z219" s="233">
        <f>'Raw Data'!Z249</f>
        <v>-140</v>
      </c>
      <c r="AA219" s="233">
        <f>'Raw Data'!AA249</f>
        <v>-145</v>
      </c>
      <c r="AB219" s="233">
        <f>'Raw Data'!AB249</f>
        <v>-139</v>
      </c>
      <c r="AC219" s="233">
        <f>'Raw Data'!AC249</f>
        <v>-140</v>
      </c>
      <c r="AD219" s="233">
        <f>'Raw Data'!AD249</f>
        <v>-141</v>
      </c>
      <c r="AE219" s="244">
        <f>'Raw Data'!AE249</f>
        <v>-145</v>
      </c>
      <c r="AF219" s="233">
        <f>+ROUND(AE219,-2)</f>
        <v>-100</v>
      </c>
      <c r="AG219" s="233">
        <f>+ROUND(AF219,-2)</f>
        <v>-100</v>
      </c>
      <c r="AH219" s="233">
        <f t="shared" ref="AH219:AJ219" si="699">+ROUND(AG219,-2)</f>
        <v>-100</v>
      </c>
      <c r="AI219" s="233">
        <f t="shared" si="699"/>
        <v>-100</v>
      </c>
      <c r="AJ219" s="233">
        <f t="shared" si="699"/>
        <v>-100</v>
      </c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</row>
    <row r="220" spans="1:46">
      <c r="A220" s="229"/>
      <c r="B220" s="233" t="s">
        <v>32</v>
      </c>
      <c r="C220" s="347" t="s">
        <v>31</v>
      </c>
      <c r="D220" s="347"/>
      <c r="E220" s="347">
        <f t="shared" ref="E220:U220" si="700">E221-SUM(E214:E219)</f>
        <v>0</v>
      </c>
      <c r="F220" s="347">
        <f t="shared" si="700"/>
        <v>0</v>
      </c>
      <c r="G220" s="347">
        <f t="shared" si="700"/>
        <v>0</v>
      </c>
      <c r="H220" s="347">
        <f t="shared" si="700"/>
        <v>-4464</v>
      </c>
      <c r="I220" s="347">
        <f t="shared" si="700"/>
        <v>7890</v>
      </c>
      <c r="J220" s="347">
        <f t="shared" si="700"/>
        <v>-30702</v>
      </c>
      <c r="K220" s="347">
        <f t="shared" si="700"/>
        <v>2422</v>
      </c>
      <c r="L220" s="347">
        <f t="shared" si="700"/>
        <v>-592</v>
      </c>
      <c r="M220" s="347">
        <f t="shared" si="700"/>
        <v>-1160</v>
      </c>
      <c r="N220" s="347">
        <f t="shared" si="700"/>
        <v>-20959</v>
      </c>
      <c r="O220" s="347">
        <f t="shared" si="700"/>
        <v>-543</v>
      </c>
      <c r="P220" s="347">
        <f t="shared" si="700"/>
        <v>-914</v>
      </c>
      <c r="Q220" s="347">
        <f t="shared" si="700"/>
        <v>-506</v>
      </c>
      <c r="R220" s="347">
        <f t="shared" si="700"/>
        <v>2345</v>
      </c>
      <c r="S220" s="347">
        <f t="shared" si="700"/>
        <v>-748</v>
      </c>
      <c r="T220" s="347">
        <f t="shared" si="700"/>
        <v>-806</v>
      </c>
      <c r="U220" s="233">
        <f t="shared" si="700"/>
        <v>-138</v>
      </c>
      <c r="V220" s="233">
        <f t="shared" ref="V220:W220" si="701">V221-SUM(V214:V219)</f>
        <v>-748</v>
      </c>
      <c r="W220" s="233">
        <f t="shared" si="701"/>
        <v>-3647</v>
      </c>
      <c r="X220" s="233">
        <f t="shared" ref="X220:Y220" si="702">X221-SUM(X214:X219)</f>
        <v>311</v>
      </c>
      <c r="Y220" s="233">
        <f t="shared" si="702"/>
        <v>-454</v>
      </c>
      <c r="Z220" s="233">
        <f t="shared" ref="Z220:AA220" si="703">Z221-SUM(Z214:Z219)</f>
        <v>-230</v>
      </c>
      <c r="AA220" s="233">
        <f t="shared" si="703"/>
        <v>775</v>
      </c>
      <c r="AB220" s="233">
        <f t="shared" ref="AB220:AC220" si="704">AB221-SUM(AB214:AB219)</f>
        <v>-279</v>
      </c>
      <c r="AC220" s="233">
        <f t="shared" si="704"/>
        <v>718</v>
      </c>
      <c r="AD220" s="233">
        <f t="shared" ref="AD220:AE220" si="705">AD221-SUM(AD214:AD219)</f>
        <v>-288</v>
      </c>
      <c r="AE220" s="244">
        <f t="shared" si="705"/>
        <v>744</v>
      </c>
      <c r="AF220" s="1656">
        <f>ROUND(+AE220,-2)</f>
        <v>700</v>
      </c>
      <c r="AG220" s="1656">
        <f t="shared" ref="AG220:AJ220" si="706">ROUND(+AF220,-2)</f>
        <v>700</v>
      </c>
      <c r="AH220" s="1656">
        <f t="shared" si="706"/>
        <v>700</v>
      </c>
      <c r="AI220" s="1656">
        <f t="shared" si="706"/>
        <v>700</v>
      </c>
      <c r="AJ220" s="1656">
        <f t="shared" si="706"/>
        <v>700</v>
      </c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</row>
    <row r="221" spans="1:46" s="114" customFormat="1">
      <c r="A221" s="281"/>
      <c r="B221" s="169" t="s">
        <v>30</v>
      </c>
      <c r="C221" s="168" t="s">
        <v>29</v>
      </c>
      <c r="D221" s="216"/>
      <c r="E221" s="216">
        <f>'Raw Data'!E255</f>
        <v>0</v>
      </c>
      <c r="F221" s="216">
        <f>'Raw Data'!F255</f>
        <v>0</v>
      </c>
      <c r="G221" s="216">
        <f>'Raw Data'!G255</f>
        <v>0</v>
      </c>
      <c r="H221" s="216">
        <f>'Raw Data'!H255</f>
        <v>-5084</v>
      </c>
      <c r="I221" s="216">
        <f>'Raw Data'!I255</f>
        <v>3620</v>
      </c>
      <c r="J221" s="216">
        <f>'Raw Data'!J255</f>
        <v>-34858</v>
      </c>
      <c r="K221" s="216">
        <f>'Raw Data'!K255</f>
        <v>-5489</v>
      </c>
      <c r="L221" s="216">
        <f>'Raw Data'!L255</f>
        <v>-7998</v>
      </c>
      <c r="M221" s="216">
        <f>'Raw Data'!M255</f>
        <v>-6740</v>
      </c>
      <c r="N221" s="216">
        <f>'Raw Data'!N255</f>
        <v>-23557</v>
      </c>
      <c r="O221" s="216">
        <f>'Raw Data'!O255</f>
        <v>-8172</v>
      </c>
      <c r="P221" s="216">
        <f>'Raw Data'!P255</f>
        <v>-15599</v>
      </c>
      <c r="Q221" s="168">
        <f>'Raw Data'!Q255</f>
        <v>-3572</v>
      </c>
      <c r="R221" s="168">
        <f>'Raw Data'!R255</f>
        <v>-5724</v>
      </c>
      <c r="S221" s="168">
        <f>'Raw Data'!S255</f>
        <v>-6188</v>
      </c>
      <c r="T221" s="168">
        <f>'Raw Data'!T255</f>
        <v>-4691</v>
      </c>
      <c r="U221" s="248">
        <f>'Raw Data'!U255</f>
        <v>-4565</v>
      </c>
      <c r="V221" s="248">
        <f>'Raw Data'!V255</f>
        <v>-6238</v>
      </c>
      <c r="W221" s="248">
        <f>'Raw Data'!W255</f>
        <v>-8987</v>
      </c>
      <c r="X221" s="248">
        <f>'Raw Data'!X255</f>
        <v>-5912</v>
      </c>
      <c r="Y221" s="248">
        <f>'Raw Data'!Y255</f>
        <v>-6770</v>
      </c>
      <c r="Z221" s="248">
        <f>'Raw Data'!Z255</f>
        <v>-6482</v>
      </c>
      <c r="AA221" s="248">
        <f>'Raw Data'!AA255</f>
        <v>-6163</v>
      </c>
      <c r="AB221" s="248">
        <f>'Raw Data'!AB255</f>
        <v>-8912</v>
      </c>
      <c r="AC221" s="248">
        <f>'Raw Data'!AC255</f>
        <v>-8591</v>
      </c>
      <c r="AD221" s="248">
        <f>'Raw Data'!AD255</f>
        <v>-9596</v>
      </c>
      <c r="AE221" s="267">
        <f>'Raw Data'!AE255</f>
        <v>-9619</v>
      </c>
      <c r="AF221" s="248">
        <f t="shared" ref="AF221:AG221" si="707">+SUM(AF214:AF220)</f>
        <v>-12700</v>
      </c>
      <c r="AG221" s="248">
        <f t="shared" si="707"/>
        <v>-13700</v>
      </c>
      <c r="AH221" s="248">
        <f t="shared" ref="AH221:AI221" si="708">+SUM(AH214:AH220)</f>
        <v>-15700</v>
      </c>
      <c r="AI221" s="248">
        <f t="shared" si="708"/>
        <v>-17800</v>
      </c>
      <c r="AJ221" s="248">
        <f t="shared" ref="AJ221" si="709">+SUM(AJ214:AJ220)</f>
        <v>-18800</v>
      </c>
    </row>
    <row r="222" spans="1:46">
      <c r="A222" s="229"/>
      <c r="B222" s="23" t="s">
        <v>28</v>
      </c>
      <c r="C222" s="23"/>
      <c r="D222" s="233"/>
      <c r="E222" s="233"/>
      <c r="F222" s="233"/>
      <c r="G222" s="233"/>
      <c r="H222" s="233"/>
      <c r="I222" s="233"/>
      <c r="J222" s="233"/>
      <c r="K222" s="233"/>
      <c r="L222" s="233"/>
      <c r="M222" s="233"/>
      <c r="N222" s="233"/>
      <c r="O222" s="233"/>
      <c r="P222" s="233"/>
      <c r="Q222" s="233"/>
      <c r="R222" s="233"/>
      <c r="S222" s="233"/>
      <c r="T222" s="233"/>
      <c r="U222" s="233"/>
      <c r="V222" s="233"/>
      <c r="W222" s="233"/>
      <c r="X222" s="233"/>
      <c r="Y222" s="233"/>
      <c r="Z222" s="233"/>
      <c r="AA222" s="233"/>
      <c r="AB222" s="233"/>
      <c r="AC222" s="233"/>
      <c r="AD222" s="233"/>
      <c r="AE222" s="244"/>
      <c r="AF222" s="233"/>
      <c r="AG222" s="233"/>
      <c r="AH222" s="233"/>
      <c r="AI222" s="233"/>
      <c r="AJ222" s="23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</row>
    <row r="223" spans="1:46" s="114" customFormat="1">
      <c r="A223" s="281"/>
      <c r="B223" s="114" t="s">
        <v>27</v>
      </c>
      <c r="C223" s="114" t="s">
        <v>26</v>
      </c>
      <c r="D223" s="216"/>
      <c r="E223" s="216">
        <f>'Raw Data'!E258</f>
        <v>0</v>
      </c>
      <c r="F223" s="216">
        <f>'Raw Data'!F258</f>
        <v>0</v>
      </c>
      <c r="G223" s="216">
        <f>'Raw Data'!G258</f>
        <v>0</v>
      </c>
      <c r="H223" s="216">
        <f>'Raw Data'!H258</f>
        <v>-426</v>
      </c>
      <c r="I223" s="216">
        <f>'Raw Data'!I258</f>
        <v>-95</v>
      </c>
      <c r="J223" s="216">
        <f>'Raw Data'!J258</f>
        <v>221</v>
      </c>
      <c r="K223" s="216">
        <f>'Raw Data'!K258</f>
        <v>-287</v>
      </c>
      <c r="L223" s="216">
        <f>'Raw Data'!L258</f>
        <v>-350</v>
      </c>
      <c r="M223" s="216">
        <f>'Raw Data'!M258</f>
        <v>87</v>
      </c>
      <c r="N223" s="216">
        <f>'Raw Data'!N258</f>
        <v>468</v>
      </c>
      <c r="O223" s="216">
        <f>'Raw Data'!O258</f>
        <v>61</v>
      </c>
      <c r="P223" s="216">
        <f>'Raw Data'!P258</f>
        <v>-2612</v>
      </c>
      <c r="Q223" s="168">
        <f>'Raw Data'!Q258+198</f>
        <v>-169</v>
      </c>
      <c r="R223" s="168">
        <f>'Raw Data'!R258+126</f>
        <v>-1124</v>
      </c>
      <c r="S223" s="168">
        <f>'Raw Data'!S258+1106</f>
        <v>-1150</v>
      </c>
      <c r="T223" s="168">
        <f>'Raw Data'!T258+19149</f>
        <v>18830</v>
      </c>
      <c r="U223" s="168">
        <f>'Raw Data'!U258+5851</f>
        <v>8945</v>
      </c>
      <c r="V223" s="168">
        <f>'Raw Data'!V258+14205</f>
        <v>15667</v>
      </c>
      <c r="W223" s="168">
        <f>'Raw Data'!W258+31789</f>
        <v>34371</v>
      </c>
      <c r="X223" s="168">
        <f>'Raw Data'!X258+12402</f>
        <v>11578</v>
      </c>
      <c r="Y223" s="168">
        <f>'Raw Data'!Y258+12926</f>
        <v>12614</v>
      </c>
      <c r="Z223" s="168">
        <f>'Raw Data'!Z258-4622</f>
        <v>-4943</v>
      </c>
      <c r="AA223" s="168">
        <f>'Raw Data'!AA258+1633</f>
        <v>2003</v>
      </c>
      <c r="AB223" s="168">
        <f>'Raw Data'!AB258-2637</f>
        <v>-2852</v>
      </c>
      <c r="AC223" s="168">
        <f>'Raw Data'!AC258+34355</f>
        <v>34583</v>
      </c>
      <c r="AD223" s="168">
        <f>'Raw Data'!AD258+21859</f>
        <v>21989</v>
      </c>
      <c r="AE223" s="246">
        <f>'Raw Data'!AE258-126</f>
        <v>883</v>
      </c>
      <c r="AF223" s="350">
        <v>-13</v>
      </c>
      <c r="AG223" s="350"/>
      <c r="AH223" s="350"/>
      <c r="AI223" s="350"/>
      <c r="AJ223" s="350"/>
    </row>
    <row r="224" spans="1:46">
      <c r="A224" s="229"/>
      <c r="B224" s="23"/>
      <c r="C224" s="23"/>
      <c r="D224" s="233"/>
      <c r="E224" s="233"/>
      <c r="F224" s="233"/>
      <c r="G224" s="233"/>
      <c r="H224" s="233"/>
      <c r="I224" s="233"/>
      <c r="J224" s="233"/>
      <c r="K224" s="233"/>
      <c r="L224" s="233"/>
      <c r="M224" s="233"/>
      <c r="N224" s="233"/>
      <c r="O224" s="233"/>
      <c r="P224" s="233"/>
      <c r="Q224" s="233"/>
      <c r="R224" s="233"/>
      <c r="S224" s="233"/>
      <c r="T224" s="233"/>
      <c r="U224" s="233"/>
      <c r="V224" s="233"/>
      <c r="W224" s="233"/>
      <c r="X224" s="233"/>
      <c r="Y224" s="233"/>
      <c r="Z224" s="233"/>
      <c r="AA224" s="233"/>
      <c r="AB224" s="233"/>
      <c r="AC224" s="233"/>
      <c r="AD224" s="233"/>
      <c r="AE224" s="244"/>
      <c r="AF224" s="233"/>
      <c r="AG224" s="233"/>
      <c r="AH224" s="233"/>
      <c r="AI224" s="233"/>
      <c r="AJ224" s="23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</row>
    <row r="225" spans="1:46" s="114" customFormat="1">
      <c r="A225" s="345"/>
      <c r="B225" s="169" t="s">
        <v>25</v>
      </c>
      <c r="C225" s="169" t="s">
        <v>24</v>
      </c>
      <c r="D225" s="169"/>
      <c r="E225" s="169">
        <f t="shared" ref="E225:U225" si="710">IF(ISNUMBER(E204),E204+E212+E221+E223," ")</f>
        <v>0</v>
      </c>
      <c r="F225" s="169">
        <f t="shared" si="710"/>
        <v>0</v>
      </c>
      <c r="G225" s="169">
        <f t="shared" si="710"/>
        <v>0</v>
      </c>
      <c r="H225" s="169">
        <f t="shared" si="710"/>
        <v>6169</v>
      </c>
      <c r="I225" s="169">
        <f t="shared" si="710"/>
        <v>14756</v>
      </c>
      <c r="J225" s="169">
        <f t="shared" si="710"/>
        <v>-27405</v>
      </c>
      <c r="K225" s="169">
        <f t="shared" si="710"/>
        <v>2324</v>
      </c>
      <c r="L225" s="169">
        <f t="shared" si="710"/>
        <v>4133</v>
      </c>
      <c r="M225" s="169">
        <f t="shared" si="710"/>
        <v>4065</v>
      </c>
      <c r="N225" s="169">
        <f t="shared" si="710"/>
        <v>3014</v>
      </c>
      <c r="O225" s="169">
        <f t="shared" si="710"/>
        <v>4041</v>
      </c>
      <c r="P225" s="169">
        <f t="shared" si="710"/>
        <v>703</v>
      </c>
      <c r="Q225" s="169">
        <f t="shared" si="710"/>
        <v>12167</v>
      </c>
      <c r="R225" s="169">
        <f t="shared" si="710"/>
        <v>-2866</v>
      </c>
      <c r="S225" s="169">
        <f t="shared" si="710"/>
        <v>10514</v>
      </c>
      <c r="T225" s="169">
        <f t="shared" si="710"/>
        <v>2560</v>
      </c>
      <c r="U225" s="169">
        <f t="shared" si="710"/>
        <v>17789</v>
      </c>
      <c r="V225" s="169">
        <f t="shared" ref="V225:W225" si="711">IF(ISNUMBER(V204),V204+V212+V221+V223," ")</f>
        <v>10285</v>
      </c>
      <c r="W225" s="169">
        <f t="shared" si="711"/>
        <v>18049</v>
      </c>
      <c r="X225" s="169">
        <f t="shared" ref="X225:Y225" si="712">IF(ISNUMBER(X204),X204+X212+X221+X223," ")</f>
        <v>6233</v>
      </c>
      <c r="Y225" s="248">
        <f t="shared" si="712"/>
        <v>8645</v>
      </c>
      <c r="Z225" s="248">
        <f t="shared" ref="Z225:AA225" si="713">IF(ISNUMBER(Z204),Z204+Z212+Z221+Z223," ")</f>
        <v>-2439</v>
      </c>
      <c r="AA225" s="248">
        <f t="shared" si="713"/>
        <v>-490</v>
      </c>
      <c r="AB225" s="248">
        <f t="shared" ref="AB225:AC225" si="714">IF(ISNUMBER(AB204),AB204+AB212+AB221+AB223," ")</f>
        <v>17474</v>
      </c>
      <c r="AC225" s="248">
        <f t="shared" si="714"/>
        <v>23790</v>
      </c>
      <c r="AD225" s="248">
        <f t="shared" ref="AD225:AE225" si="715">IF(ISNUMBER(AD204),AD204+AD212+AD221+AD223," ")</f>
        <v>18378</v>
      </c>
      <c r="AE225" s="267">
        <f t="shared" si="715"/>
        <v>8091</v>
      </c>
      <c r="AF225" s="248">
        <f>AF204+AF212+AF221+AF223</f>
        <v>6087</v>
      </c>
      <c r="AG225" s="248">
        <f t="shared" ref="AG225:AI225" si="716">AG204+AG212+AG221+AG223</f>
        <v>9200</v>
      </c>
      <c r="AH225" s="248">
        <f t="shared" si="716"/>
        <v>8700</v>
      </c>
      <c r="AI225" s="248">
        <f t="shared" si="716"/>
        <v>13500</v>
      </c>
      <c r="AJ225" s="248">
        <f>AJ204+AJ212+AJ221+AJ223</f>
        <v>14900</v>
      </c>
    </row>
    <row r="226" spans="1:46">
      <c r="A226" s="229"/>
      <c r="B226" s="233" t="s">
        <v>23</v>
      </c>
      <c r="C226" s="233" t="s">
        <v>23</v>
      </c>
      <c r="D226" s="233"/>
      <c r="E226" s="233"/>
      <c r="F226" s="233"/>
      <c r="G226" s="233"/>
      <c r="H226" s="233"/>
      <c r="I226" s="233"/>
      <c r="J226" s="233"/>
      <c r="K226" s="233"/>
      <c r="L226" s="233">
        <f t="shared" ref="L226:U226" si="717">L204+L212</f>
        <v>12481</v>
      </c>
      <c r="M226" s="233">
        <f t="shared" si="717"/>
        <v>10718</v>
      </c>
      <c r="N226" s="233">
        <f t="shared" si="717"/>
        <v>26103</v>
      </c>
      <c r="O226" s="233">
        <f t="shared" si="717"/>
        <v>12152</v>
      </c>
      <c r="P226" s="233">
        <f t="shared" si="717"/>
        <v>18914</v>
      </c>
      <c r="Q226" s="233">
        <f t="shared" si="717"/>
        <v>15908</v>
      </c>
      <c r="R226" s="233">
        <f t="shared" si="717"/>
        <v>3982</v>
      </c>
      <c r="S226" s="233">
        <f t="shared" si="717"/>
        <v>17852</v>
      </c>
      <c r="T226" s="233">
        <f t="shared" si="717"/>
        <v>-11579</v>
      </c>
      <c r="U226" s="233">
        <f t="shared" si="717"/>
        <v>13409</v>
      </c>
      <c r="V226" s="233">
        <f t="shared" ref="V226:W226" si="718">V204+V212</f>
        <v>856</v>
      </c>
      <c r="W226" s="233">
        <f t="shared" si="718"/>
        <v>-7335</v>
      </c>
      <c r="X226" s="233">
        <f t="shared" ref="X226:Y226" si="719">X204+X212</f>
        <v>567</v>
      </c>
      <c r="Y226" s="233">
        <f t="shared" si="719"/>
        <v>2801</v>
      </c>
      <c r="Z226" s="233">
        <f t="shared" ref="Z226:AA226" si="720">Z204+Z212</f>
        <v>8986</v>
      </c>
      <c r="AA226" s="233">
        <f t="shared" si="720"/>
        <v>3670</v>
      </c>
      <c r="AB226" s="233">
        <f t="shared" ref="AB226:AC226" si="721">AB204+AB212</f>
        <v>29238</v>
      </c>
      <c r="AC226" s="233">
        <f t="shared" si="721"/>
        <v>-2202</v>
      </c>
      <c r="AD226" s="233">
        <f>AD204+AD212</f>
        <v>5985</v>
      </c>
      <c r="AE226" s="244">
        <f>AE204+AE212</f>
        <v>16827</v>
      </c>
      <c r="AF226" s="233">
        <f t="shared" ref="AF226:AG226" si="722">AF204+AF212</f>
        <v>18800</v>
      </c>
      <c r="AG226" s="233">
        <f t="shared" si="722"/>
        <v>22900</v>
      </c>
      <c r="AH226" s="233">
        <f t="shared" ref="AH226:AI226" si="723">AH204+AH212</f>
        <v>24400</v>
      </c>
      <c r="AI226" s="233">
        <f t="shared" si="723"/>
        <v>31300</v>
      </c>
      <c r="AJ226" s="233">
        <f t="shared" ref="AJ226" si="724">AJ204+AJ212</f>
        <v>33700</v>
      </c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</row>
    <row r="227" spans="1:46" ht="12">
      <c r="A227" s="229"/>
      <c r="B227" s="2227" t="s">
        <v>1503</v>
      </c>
      <c r="C227" s="2227" t="s">
        <v>1503</v>
      </c>
      <c r="D227" s="233"/>
      <c r="E227" s="233"/>
      <c r="F227" s="233"/>
      <c r="G227" s="233"/>
      <c r="H227" s="233"/>
      <c r="I227" s="233"/>
      <c r="J227" s="233"/>
      <c r="K227" s="233"/>
      <c r="L227" s="233"/>
      <c r="M227" s="233"/>
      <c r="N227" s="233"/>
      <c r="O227" s="233"/>
      <c r="P227" s="233"/>
      <c r="Q227" s="233"/>
      <c r="R227" s="233">
        <f t="shared" ref="R227:AE227" si="725">+ROUND(R226-Q226,-2)</f>
        <v>-11900</v>
      </c>
      <c r="S227" s="233">
        <f t="shared" si="725"/>
        <v>13900</v>
      </c>
      <c r="T227" s="233">
        <f t="shared" si="725"/>
        <v>-29400</v>
      </c>
      <c r="U227" s="233">
        <f t="shared" si="725"/>
        <v>25000</v>
      </c>
      <c r="V227" s="233">
        <f t="shared" si="725"/>
        <v>-12600</v>
      </c>
      <c r="W227" s="233">
        <f t="shared" si="725"/>
        <v>-8200</v>
      </c>
      <c r="X227" s="233">
        <f t="shared" si="725"/>
        <v>7900</v>
      </c>
      <c r="Y227" s="233">
        <f t="shared" si="725"/>
        <v>2200</v>
      </c>
      <c r="Z227" s="233">
        <f t="shared" si="725"/>
        <v>6200</v>
      </c>
      <c r="AA227" s="233">
        <f t="shared" si="725"/>
        <v>-5300</v>
      </c>
      <c r="AB227" s="233">
        <f t="shared" si="725"/>
        <v>25600</v>
      </c>
      <c r="AC227" s="233">
        <f t="shared" si="725"/>
        <v>-31400</v>
      </c>
      <c r="AD227" s="233">
        <f t="shared" si="725"/>
        <v>8200</v>
      </c>
      <c r="AE227" s="244">
        <f t="shared" si="725"/>
        <v>10800</v>
      </c>
      <c r="AF227" s="233">
        <f>+ROUND(AF226-AE226,-2)</f>
        <v>2000</v>
      </c>
      <c r="AG227" s="233">
        <f t="shared" ref="AG227:AJ227" si="726">+ROUND(AG226-AF226,-2)</f>
        <v>4100</v>
      </c>
      <c r="AH227" s="233">
        <f t="shared" si="726"/>
        <v>1500</v>
      </c>
      <c r="AI227" s="233">
        <f t="shared" si="726"/>
        <v>6900</v>
      </c>
      <c r="AJ227" s="233">
        <f t="shared" si="726"/>
        <v>2400</v>
      </c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</row>
    <row r="228" spans="1:46" outlineLevel="1">
      <c r="A228" s="240"/>
      <c r="B228" s="332" t="s">
        <v>22</v>
      </c>
      <c r="C228" s="332"/>
      <c r="D228" s="329"/>
      <c r="E228" s="329">
        <f t="shared" ref="E228:AJ228" si="727">ROUND((E124-D124)-E225,2)</f>
        <v>32565</v>
      </c>
      <c r="F228" s="329">
        <f t="shared" si="727"/>
        <v>2784</v>
      </c>
      <c r="G228" s="329">
        <f t="shared" si="727"/>
        <v>4485</v>
      </c>
      <c r="H228" s="329">
        <f t="shared" si="727"/>
        <v>2221</v>
      </c>
      <c r="I228" s="329">
        <f t="shared" si="727"/>
        <v>-14841</v>
      </c>
      <c r="J228" s="329">
        <f t="shared" si="727"/>
        <v>-55</v>
      </c>
      <c r="K228" s="329">
        <f t="shared" si="727"/>
        <v>1318</v>
      </c>
      <c r="L228" s="329">
        <f t="shared" si="727"/>
        <v>427</v>
      </c>
      <c r="M228" s="329">
        <f t="shared" si="727"/>
        <v>-1260</v>
      </c>
      <c r="N228" s="329">
        <f t="shared" si="727"/>
        <v>-1607</v>
      </c>
      <c r="O228" s="329">
        <f t="shared" si="727"/>
        <v>93</v>
      </c>
      <c r="P228" s="329">
        <f t="shared" si="727"/>
        <v>-97</v>
      </c>
      <c r="Q228" s="329">
        <f t="shared" si="727"/>
        <v>0</v>
      </c>
      <c r="R228" s="329">
        <f t="shared" si="727"/>
        <v>0</v>
      </c>
      <c r="S228" s="329">
        <f t="shared" si="727"/>
        <v>0</v>
      </c>
      <c r="T228" s="329">
        <f t="shared" si="727"/>
        <v>0</v>
      </c>
      <c r="U228" s="329">
        <f t="shared" si="727"/>
        <v>0</v>
      </c>
      <c r="V228" s="329">
        <f t="shared" si="727"/>
        <v>0</v>
      </c>
      <c r="W228" s="329">
        <f t="shared" si="727"/>
        <v>0</v>
      </c>
      <c r="X228" s="329">
        <f t="shared" si="727"/>
        <v>0</v>
      </c>
      <c r="Y228" s="329">
        <f t="shared" si="727"/>
        <v>0</v>
      </c>
      <c r="Z228" s="329">
        <f t="shared" ref="Z228:AE228" si="728">ROUND((Z124-Y124)-Z225,2)</f>
        <v>0</v>
      </c>
      <c r="AA228" s="329">
        <f t="shared" si="728"/>
        <v>0</v>
      </c>
      <c r="AB228" s="329">
        <f t="shared" si="728"/>
        <v>0</v>
      </c>
      <c r="AC228" s="329">
        <f t="shared" si="728"/>
        <v>0</v>
      </c>
      <c r="AD228" s="329">
        <f t="shared" si="728"/>
        <v>0</v>
      </c>
      <c r="AE228" s="330">
        <f t="shared" si="728"/>
        <v>0</v>
      </c>
      <c r="AF228" s="329">
        <f t="shared" si="727"/>
        <v>0</v>
      </c>
      <c r="AG228" s="329">
        <f t="shared" si="727"/>
        <v>0</v>
      </c>
      <c r="AH228" s="329">
        <f t="shared" si="727"/>
        <v>0</v>
      </c>
      <c r="AI228" s="329">
        <f t="shared" si="727"/>
        <v>0</v>
      </c>
      <c r="AJ228" s="329">
        <f t="shared" si="727"/>
        <v>0</v>
      </c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</row>
    <row r="229" spans="1:46">
      <c r="A229" s="240"/>
      <c r="B229" s="315"/>
      <c r="C229" s="315"/>
      <c r="D229" s="233"/>
      <c r="E229" s="233"/>
      <c r="F229" s="233"/>
      <c r="G229" s="233"/>
      <c r="H229" s="233"/>
      <c r="I229" s="233"/>
      <c r="J229" s="233"/>
      <c r="K229" s="233"/>
      <c r="L229" s="233"/>
      <c r="M229" s="233"/>
      <c r="N229" s="233"/>
      <c r="O229" s="233"/>
      <c r="P229" s="233"/>
      <c r="Q229" s="233"/>
      <c r="R229" s="233"/>
      <c r="S229" s="233"/>
      <c r="T229" s="233"/>
      <c r="U229" s="233"/>
      <c r="V229" s="233"/>
      <c r="W229" s="233"/>
      <c r="X229" s="233"/>
      <c r="Y229" s="233"/>
      <c r="Z229" s="233"/>
      <c r="AA229" s="233"/>
      <c r="AB229" s="233"/>
      <c r="AC229" s="233"/>
      <c r="AD229" s="233"/>
      <c r="AE229" s="244"/>
      <c r="AF229" s="233"/>
      <c r="AG229" s="233"/>
      <c r="AH229" s="233"/>
      <c r="AI229" s="233"/>
      <c r="AJ229" s="23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</row>
    <row r="230" spans="1:46">
      <c r="A230" s="240"/>
      <c r="B230" s="315"/>
      <c r="C230" s="315"/>
      <c r="D230" s="233"/>
      <c r="E230" s="233"/>
      <c r="F230" s="233"/>
      <c r="G230" s="233"/>
      <c r="H230" s="233"/>
      <c r="I230" s="233"/>
      <c r="J230" s="233"/>
      <c r="K230" s="233"/>
      <c r="L230" s="233"/>
      <c r="M230" s="233"/>
      <c r="N230" s="351"/>
      <c r="O230" s="351"/>
      <c r="P230" s="351"/>
      <c r="Q230" s="351"/>
      <c r="R230" s="351"/>
      <c r="S230" s="351"/>
      <c r="T230" s="351"/>
      <c r="U230" s="351"/>
      <c r="V230" s="351"/>
      <c r="W230" s="351"/>
      <c r="X230" s="351"/>
      <c r="Y230" s="351"/>
      <c r="Z230" s="351" t="str">
        <f>IF(Z124&lt;0,"Cash is negative change your forecast","Cash forecast is ok")</f>
        <v>Cash forecast is ok</v>
      </c>
      <c r="AA230" s="351" t="str">
        <f>IF(AA124&lt;0,"Cash is negative change your forecast","Cash forecast is ok")</f>
        <v>Cash forecast is ok</v>
      </c>
      <c r="AB230" s="351" t="str">
        <f>IF(AB124&lt;0,"Cash is negative change your forecast","Cash forecast is ok")</f>
        <v>Cash forecast is ok</v>
      </c>
      <c r="AC230" s="352" t="str">
        <f>IF(AC124&lt;0,"Cash is negative change your forecast","Cash forecast is ok")</f>
        <v>Cash forecast is ok</v>
      </c>
      <c r="AD230" s="352" t="str">
        <f>IF(AD124&lt;0,"Cash is negative change your forecast","Cash forecast is ok")</f>
        <v>Cash forecast is ok</v>
      </c>
      <c r="AE230" s="353" t="str">
        <f t="shared" ref="AE230" si="729">IF(AE124&lt;0,"Cash is negative change your forecast","Cash forecast is ok")</f>
        <v>Cash forecast is ok</v>
      </c>
      <c r="AF230" s="352" t="str">
        <f t="shared" ref="AF230:AG230" si="730">IF(AF124&lt;0,"Cash is negative change your forecast","Cash forecast is ok")</f>
        <v>Cash forecast is ok</v>
      </c>
      <c r="AG230" s="352" t="str">
        <f t="shared" si="730"/>
        <v>Cash forecast is ok</v>
      </c>
      <c r="AH230" s="352" t="str">
        <f t="shared" ref="AH230:AI230" si="731">IF(AH124&lt;0,"Cash is negative change your forecast","Cash forecast is ok")</f>
        <v>Cash forecast is ok</v>
      </c>
      <c r="AI230" s="352" t="str">
        <f t="shared" si="731"/>
        <v>Cash forecast is ok</v>
      </c>
      <c r="AJ230" s="352" t="str">
        <f t="shared" ref="AJ230" si="732">IF(AJ124&lt;0,"Cash is negative change your forecast","Cash forecast is ok")</f>
        <v>Cash forecast is ok</v>
      </c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</row>
    <row r="231" spans="1:46">
      <c r="A231" s="240"/>
      <c r="B231" s="315"/>
      <c r="C231" s="315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233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44">
        <f>AE124-AD124</f>
        <v>8091</v>
      </c>
      <c r="AF231" s="233">
        <f>AF124-AE124</f>
        <v>6087</v>
      </c>
      <c r="AG231" s="233">
        <f t="shared" ref="AG231:AJ231" si="733">AG124-AF124</f>
        <v>9200</v>
      </c>
      <c r="AH231" s="233">
        <f t="shared" si="733"/>
        <v>8700</v>
      </c>
      <c r="AI231" s="233">
        <f t="shared" si="733"/>
        <v>13500</v>
      </c>
      <c r="AJ231" s="233">
        <f t="shared" si="733"/>
        <v>14900</v>
      </c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</row>
    <row r="232" spans="1:46">
      <c r="B232" s="1" t="s">
        <v>10</v>
      </c>
      <c r="C232" s="1" t="s">
        <v>0</v>
      </c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</row>
    <row r="233" spans="1:46"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</row>
    <row r="234" spans="1:46">
      <c r="R234" s="233"/>
      <c r="S234" s="233"/>
      <c r="V234" s="233"/>
      <c r="W234" s="233"/>
      <c r="X234" s="233"/>
      <c r="Y234" s="233"/>
      <c r="Z234" s="233"/>
      <c r="AA234" s="233"/>
      <c r="AB234" s="233"/>
      <c r="AC234" s="233"/>
      <c r="AD234" s="233"/>
      <c r="AE234" s="244"/>
      <c r="AF234" s="233"/>
      <c r="AG234" s="233"/>
      <c r="AH234" s="233"/>
      <c r="AI234" s="233"/>
      <c r="AJ234" s="23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</row>
    <row r="235" spans="1:46"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</row>
    <row r="241" spans="1:46">
      <c r="C241" s="132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</row>
    <row r="242" spans="1:46">
      <c r="A242" s="23"/>
      <c r="B242" s="23"/>
      <c r="C242" s="132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</row>
  </sheetData>
  <phoneticPr fontId="96"/>
  <conditionalFormatting sqref="D160:I160 AR160:AR161 AR228">
    <cfRule type="cellIs" dxfId="13" priority="126" stopIfTrue="1" operator="notEqual">
      <formula>0</formula>
    </cfRule>
    <cfRule type="cellIs" dxfId="12" priority="127" stopIfTrue="1" operator="equal">
      <formula>0</formula>
    </cfRule>
  </conditionalFormatting>
  <conditionalFormatting sqref="D228:AE228">
    <cfRule type="cellIs" dxfId="11" priority="30" stopIfTrue="1" operator="notEqual">
      <formula>0</formula>
    </cfRule>
    <cfRule type="cellIs" dxfId="10" priority="31" stopIfTrue="1" operator="equal">
      <formula>0</formula>
    </cfRule>
  </conditionalFormatting>
  <conditionalFormatting sqref="J160:AP161">
    <cfRule type="cellIs" dxfId="9" priority="1" stopIfTrue="1" operator="notEqual">
      <formula>0</formula>
    </cfRule>
    <cfRule type="cellIs" dxfId="8" priority="2" stopIfTrue="1" operator="equal">
      <formula>0</formula>
    </cfRule>
  </conditionalFormatting>
  <conditionalFormatting sqref="N230:AP230">
    <cfRule type="cellIs" dxfId="7" priority="20" stopIfTrue="1" operator="equal">
      <formula>"Cash is negative change your forecast"</formula>
    </cfRule>
  </conditionalFormatting>
  <conditionalFormatting sqref="AE161">
    <cfRule type="cellIs" dxfId="6" priority="69" stopIfTrue="1" operator="notEqual">
      <formula>0</formula>
    </cfRule>
    <cfRule type="cellIs" dxfId="5" priority="70" stopIfTrue="1" operator="equal">
      <formula>0</formula>
    </cfRule>
  </conditionalFormatting>
  <conditionalFormatting sqref="AE228:AH228">
    <cfRule type="cellIs" dxfId="4" priority="42" stopIfTrue="1" operator="notEqual">
      <formula>0</formula>
    </cfRule>
    <cfRule type="cellIs" dxfId="3" priority="43" stopIfTrue="1" operator="equal">
      <formula>0</formula>
    </cfRule>
  </conditionalFormatting>
  <conditionalFormatting sqref="AI228:AP228">
    <cfRule type="cellIs" dxfId="2" priority="18" stopIfTrue="1" operator="notEqual">
      <formula>0</formula>
    </cfRule>
    <cfRule type="cellIs" dxfId="1" priority="19" stopIfTrue="1" operator="equal">
      <formula>0</formula>
    </cfRule>
  </conditionalFormatting>
  <conditionalFormatting sqref="AR230">
    <cfRule type="cellIs" dxfId="0" priority="128" stopIfTrue="1" operator="equal">
      <formula>"Cash is negative change your forecast"</formula>
    </cfRule>
  </conditionalFormatting>
  <dataValidations count="1">
    <dataValidation allowBlank="1" sqref="C241:C242 A215:A224 A157:A163 A187:A193 A180:A184 A206:A212 A196:A197 A201 A150:A154 A139:A142 A124:A128 A31:A40 D1:I2 B4:C9 A58:A61 A1:A20 A26:A29 A22 B92:C119 A51:A56 A80:B91 C85:C91 C82:C83 B51:C63 A93:A122 A132:A137 J1:M1 L12:O23 V24:Y37 L24:U35 D12:K35 B73:C79 A67:A77 A41:C50 B67:C67 D112:AJ117 A228:A231 AO12:AP12 AO86:AP86 AO72:AP72 D51:Y67 B68:Y72 D73:Y110 P9:Y23 AL40:AM40 Z51:AJ110 D4:AJ8 R234:AJ234 R1:AJ1 A164:AJ179 B12:C40 B121:AJ163 Z9:AJ40 D36:P40 Q36:U37 Q38:Y40 B180:AJ231" xr:uid="{00000000-0002-0000-0B00-000000000000}"/>
  </dataValidations>
  <pageMargins left="0.74803149606299213" right="0.74803149606299213" top="0.39370078740157483" bottom="0.39370078740157483" header="0.51181102362204722" footer="0.51181102362204722"/>
  <pageSetup scale="50" orientation="portrait" r:id="rId1"/>
  <headerFooter alignWithMargins="0"/>
  <customProperties>
    <customPr name="Qube.Worksheet.ID" r:id="rId2"/>
    <customPr name="Qube.Worksheet.Visibility" r:id="rId3"/>
    <customPr name="QXL_SHEET_ID" r:id="rId4"/>
  </customProperties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"/>
  <dimension ref="A1:CQ268"/>
  <sheetViews>
    <sheetView showGridLines="0" zoomScaleNormal="100" workbookViewId="0">
      <pane xSplit="12" ySplit="6" topLeftCell="O7" activePane="bottomRight" state="frozen"/>
      <selection activeCell="B15" sqref="B15"/>
      <selection pane="topRight" activeCell="B15" sqref="B15"/>
      <selection pane="bottomLeft" activeCell="B15" sqref="B15"/>
      <selection pane="bottomRight"/>
    </sheetView>
  </sheetViews>
  <sheetFormatPr defaultColWidth="9" defaultRowHeight="11.5" outlineLevelRow="1" outlineLevelCol="1"/>
  <cols>
    <col min="1" max="1" width="3" style="101" customWidth="1"/>
    <col min="2" max="2" width="18.75" style="101" customWidth="1"/>
    <col min="3" max="3" width="24" style="101" customWidth="1"/>
    <col min="4" max="12" width="10" style="101" hidden="1" customWidth="1" outlineLevel="1"/>
    <col min="13" max="13" width="10" style="101" customWidth="1" collapsed="1"/>
    <col min="14" max="31" width="9.08203125" style="101" customWidth="1"/>
    <col min="32" max="32" width="3.25" style="101" customWidth="1"/>
    <col min="33" max="40" width="10" style="101" hidden="1" customWidth="1" outlineLevel="1"/>
    <col min="41" max="41" width="10" style="101" hidden="1" customWidth="1" outlineLevel="1" collapsed="1"/>
    <col min="42" max="48" width="10" style="101" hidden="1" customWidth="1" outlineLevel="1"/>
    <col min="49" max="49" width="3.25" style="101" hidden="1" customWidth="1" outlineLevel="1"/>
    <col min="50" max="67" width="10" style="101" hidden="1" customWidth="1" outlineLevel="1"/>
    <col min="68" max="68" width="10" style="101" hidden="1" customWidth="1" outlineLevel="1" collapsed="1"/>
    <col min="69" max="78" width="10" style="101" hidden="1" customWidth="1" outlineLevel="1"/>
    <col min="79" max="79" width="3.25" style="101" hidden="1" customWidth="1" outlineLevel="1" collapsed="1"/>
    <col min="80" max="91" width="10" style="101" hidden="1" customWidth="1" outlineLevel="1"/>
    <col min="92" max="92" width="10" style="101" hidden="1" customWidth="1" outlineLevel="1" collapsed="1"/>
    <col min="93" max="94" width="0" style="101" hidden="1" customWidth="1" outlineLevel="1"/>
    <col min="95" max="95" width="9" style="101" collapsed="1"/>
    <col min="96" max="16384" width="9" style="101"/>
  </cols>
  <sheetData>
    <row r="1" spans="1:93">
      <c r="A1" s="100"/>
      <c r="C1" s="1"/>
      <c r="D1" s="102"/>
      <c r="E1" s="102"/>
      <c r="F1" s="102"/>
      <c r="G1" s="102"/>
      <c r="H1" s="102"/>
      <c r="I1" s="102"/>
      <c r="L1" s="102"/>
      <c r="AB1" s="102"/>
      <c r="AC1" s="102"/>
      <c r="AD1" s="102"/>
      <c r="AE1" s="102"/>
      <c r="AF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2"/>
      <c r="CN1" s="102"/>
    </row>
    <row r="2" spans="1:93" ht="14">
      <c r="A2" s="6" t="s">
        <v>9</v>
      </c>
      <c r="B2" s="6"/>
      <c r="C2" s="6" t="s">
        <v>8</v>
      </c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6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6"/>
      <c r="CB2" s="105"/>
      <c r="CC2" s="105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</row>
    <row r="3" spans="1:93" ht="14">
      <c r="A3" s="6" t="s">
        <v>7</v>
      </c>
      <c r="B3" s="6"/>
      <c r="C3" s="6" t="s">
        <v>6</v>
      </c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6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5"/>
      <c r="BN3" s="105"/>
      <c r="BO3" s="105"/>
      <c r="BP3" s="105"/>
      <c r="BQ3" s="105"/>
      <c r="BR3" s="105"/>
      <c r="BS3" s="105"/>
      <c r="BT3" s="105"/>
      <c r="BU3" s="105"/>
      <c r="BV3" s="105"/>
      <c r="BW3" s="105"/>
      <c r="BX3" s="105"/>
      <c r="BY3" s="105"/>
      <c r="BZ3" s="105"/>
      <c r="CA3" s="106"/>
      <c r="CB3" s="105"/>
      <c r="CC3" s="105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</row>
    <row r="4" spans="1:93">
      <c r="C4" s="1"/>
      <c r="D4" s="102"/>
      <c r="E4" s="102"/>
      <c r="F4" s="107"/>
      <c r="G4" s="107"/>
      <c r="H4" s="107"/>
      <c r="I4" s="107"/>
      <c r="J4" s="107"/>
      <c r="K4" s="107"/>
      <c r="L4" s="107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2"/>
      <c r="AT4" s="102"/>
      <c r="AU4" s="102"/>
      <c r="AV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  <c r="CF4" s="102"/>
      <c r="CG4" s="102"/>
      <c r="CH4" s="102"/>
      <c r="CI4" s="102"/>
      <c r="CJ4" s="102"/>
      <c r="CK4" s="102"/>
      <c r="CL4" s="102"/>
      <c r="CM4" s="102"/>
      <c r="CN4" s="102"/>
    </row>
    <row r="5" spans="1:93">
      <c r="A5" s="25"/>
      <c r="B5" s="25"/>
      <c r="C5" s="25" t="s">
        <v>623</v>
      </c>
      <c r="D5" s="108">
        <v>1995</v>
      </c>
      <c r="E5" s="108">
        <f t="shared" ref="E5:AE5" si="0">D5+1</f>
        <v>1996</v>
      </c>
      <c r="F5" s="108">
        <f t="shared" si="0"/>
        <v>1997</v>
      </c>
      <c r="G5" s="108">
        <f t="shared" si="0"/>
        <v>1998</v>
      </c>
      <c r="H5" s="108">
        <f t="shared" si="0"/>
        <v>1999</v>
      </c>
      <c r="I5" s="108">
        <f t="shared" si="0"/>
        <v>2000</v>
      </c>
      <c r="J5" s="108">
        <f t="shared" si="0"/>
        <v>2001</v>
      </c>
      <c r="K5" s="108">
        <f t="shared" si="0"/>
        <v>2002</v>
      </c>
      <c r="L5" s="108">
        <f t="shared" si="0"/>
        <v>2003</v>
      </c>
      <c r="M5" s="108">
        <f t="shared" si="0"/>
        <v>2004</v>
      </c>
      <c r="N5" s="108">
        <f t="shared" si="0"/>
        <v>2005</v>
      </c>
      <c r="O5" s="108">
        <f t="shared" si="0"/>
        <v>2006</v>
      </c>
      <c r="P5" s="108">
        <f t="shared" si="0"/>
        <v>2007</v>
      </c>
      <c r="Q5" s="108">
        <f t="shared" si="0"/>
        <v>2008</v>
      </c>
      <c r="R5" s="108">
        <f t="shared" si="0"/>
        <v>2009</v>
      </c>
      <c r="S5" s="108">
        <f t="shared" si="0"/>
        <v>2010</v>
      </c>
      <c r="T5" s="108">
        <f t="shared" si="0"/>
        <v>2011</v>
      </c>
      <c r="U5" s="108">
        <f t="shared" si="0"/>
        <v>2012</v>
      </c>
      <c r="V5" s="108">
        <f t="shared" si="0"/>
        <v>2013</v>
      </c>
      <c r="W5" s="108">
        <f t="shared" si="0"/>
        <v>2014</v>
      </c>
      <c r="X5" s="108">
        <f t="shared" si="0"/>
        <v>2015</v>
      </c>
      <c r="Y5" s="108">
        <f t="shared" si="0"/>
        <v>2016</v>
      </c>
      <c r="Z5" s="108">
        <f t="shared" si="0"/>
        <v>2017</v>
      </c>
      <c r="AA5" s="108">
        <f t="shared" si="0"/>
        <v>2018</v>
      </c>
      <c r="AB5" s="108">
        <f t="shared" si="0"/>
        <v>2019</v>
      </c>
      <c r="AC5" s="108">
        <f t="shared" si="0"/>
        <v>2020</v>
      </c>
      <c r="AD5" s="108">
        <f t="shared" si="0"/>
        <v>2021</v>
      </c>
      <c r="AE5" s="108">
        <f t="shared" si="0"/>
        <v>2022</v>
      </c>
      <c r="AF5" s="109"/>
      <c r="AG5" s="108" t="s">
        <v>934</v>
      </c>
      <c r="AH5" s="108" t="s">
        <v>933</v>
      </c>
      <c r="AI5" s="108" t="s">
        <v>762</v>
      </c>
      <c r="AJ5" s="108" t="s">
        <v>932</v>
      </c>
      <c r="AK5" s="108" t="s">
        <v>761</v>
      </c>
      <c r="AL5" s="108" t="s">
        <v>931</v>
      </c>
      <c r="AM5" s="108" t="s">
        <v>760</v>
      </c>
      <c r="AN5" s="108" t="s">
        <v>930</v>
      </c>
      <c r="AO5" s="108" t="s">
        <v>759</v>
      </c>
      <c r="AP5" s="108" t="s">
        <v>929</v>
      </c>
      <c r="AQ5" s="108" t="s">
        <v>758</v>
      </c>
      <c r="AR5" s="108" t="s">
        <v>928</v>
      </c>
      <c r="AS5" s="108" t="s">
        <v>757</v>
      </c>
      <c r="AT5" s="108" t="s">
        <v>927</v>
      </c>
      <c r="AU5" s="108" t="s">
        <v>756</v>
      </c>
      <c r="AV5" s="108" t="s">
        <v>926</v>
      </c>
      <c r="AX5" s="108" t="s">
        <v>925</v>
      </c>
      <c r="AY5" s="108" t="s">
        <v>924</v>
      </c>
      <c r="AZ5" s="108" t="s">
        <v>923</v>
      </c>
      <c r="BA5" s="108" t="s">
        <v>922</v>
      </c>
      <c r="BB5" s="108" t="s">
        <v>921</v>
      </c>
      <c r="BC5" s="108" t="s">
        <v>920</v>
      </c>
      <c r="BD5" s="108" t="s">
        <v>919</v>
      </c>
      <c r="BE5" s="108" t="s">
        <v>918</v>
      </c>
      <c r="BF5" s="108" t="s">
        <v>917</v>
      </c>
      <c r="BG5" s="108" t="s">
        <v>755</v>
      </c>
      <c r="BH5" s="108" t="s">
        <v>916</v>
      </c>
      <c r="BI5" s="108" t="s">
        <v>754</v>
      </c>
      <c r="BJ5" s="108" t="s">
        <v>915</v>
      </c>
      <c r="BK5" s="108" t="s">
        <v>914</v>
      </c>
      <c r="BL5" s="108" t="s">
        <v>753</v>
      </c>
      <c r="BM5" s="108" t="s">
        <v>913</v>
      </c>
      <c r="BN5" s="108" t="s">
        <v>752</v>
      </c>
      <c r="BO5" s="108" t="s">
        <v>912</v>
      </c>
      <c r="BP5" s="108" t="s">
        <v>911</v>
      </c>
      <c r="BQ5" s="108" t="s">
        <v>751</v>
      </c>
      <c r="BR5" s="108" t="s">
        <v>910</v>
      </c>
      <c r="BS5" s="108" t="s">
        <v>750</v>
      </c>
      <c r="BT5" s="108" t="s">
        <v>909</v>
      </c>
      <c r="BU5" s="108" t="s">
        <v>908</v>
      </c>
      <c r="BV5" s="108" t="s">
        <v>907</v>
      </c>
      <c r="BW5" s="108" t="s">
        <v>906</v>
      </c>
      <c r="BX5" s="108" t="s">
        <v>905</v>
      </c>
      <c r="BY5" s="108" t="s">
        <v>904</v>
      </c>
      <c r="BZ5" s="108" t="s">
        <v>903</v>
      </c>
      <c r="CA5" s="109"/>
      <c r="CB5" s="108" t="s">
        <v>902</v>
      </c>
      <c r="CC5" s="108" t="s">
        <v>901</v>
      </c>
      <c r="CD5" s="108" t="s">
        <v>900</v>
      </c>
      <c r="CE5" s="108" t="s">
        <v>899</v>
      </c>
      <c r="CF5" s="108" t="s">
        <v>898</v>
      </c>
      <c r="CG5" s="108" t="s">
        <v>897</v>
      </c>
      <c r="CH5" s="108" t="s">
        <v>897</v>
      </c>
      <c r="CI5" s="108" t="s">
        <v>896</v>
      </c>
      <c r="CJ5" s="108" t="s">
        <v>896</v>
      </c>
      <c r="CK5" s="108" t="s">
        <v>895</v>
      </c>
      <c r="CL5" s="108" t="s">
        <v>895</v>
      </c>
      <c r="CM5" s="108" t="s">
        <v>894</v>
      </c>
      <c r="CN5" s="108" t="s">
        <v>893</v>
      </c>
    </row>
    <row r="6" spans="1:93">
      <c r="A6" s="110"/>
      <c r="C6" s="1"/>
      <c r="D6" s="111">
        <v>35155</v>
      </c>
      <c r="E6" s="111">
        <v>35520</v>
      </c>
      <c r="F6" s="111">
        <v>35885</v>
      </c>
      <c r="G6" s="111">
        <v>36250</v>
      </c>
      <c r="H6" s="111">
        <v>36616</v>
      </c>
      <c r="I6" s="111">
        <v>36981</v>
      </c>
      <c r="J6" s="111">
        <v>37346</v>
      </c>
      <c r="K6" s="111">
        <v>37711</v>
      </c>
      <c r="L6" s="111">
        <v>38077</v>
      </c>
      <c r="M6" s="111">
        <v>38442</v>
      </c>
      <c r="N6" s="111">
        <v>38807</v>
      </c>
      <c r="O6" s="111">
        <v>39172</v>
      </c>
      <c r="P6" s="111">
        <v>39538</v>
      </c>
      <c r="Q6" s="111">
        <v>39903</v>
      </c>
      <c r="R6" s="111">
        <v>40268</v>
      </c>
      <c r="S6" s="111">
        <v>40633</v>
      </c>
      <c r="T6" s="111">
        <v>40999</v>
      </c>
      <c r="U6" s="111">
        <v>41364</v>
      </c>
      <c r="V6" s="111">
        <v>41699</v>
      </c>
      <c r="W6" s="111">
        <v>42064</v>
      </c>
      <c r="X6" s="111">
        <v>42430</v>
      </c>
      <c r="Y6" s="111">
        <v>42795</v>
      </c>
      <c r="Z6" s="111">
        <v>43160</v>
      </c>
      <c r="AA6" s="111">
        <v>43525</v>
      </c>
      <c r="AB6" s="112">
        <v>43891</v>
      </c>
      <c r="AC6" s="112">
        <v>44256</v>
      </c>
      <c r="AD6" s="112">
        <v>44621</v>
      </c>
      <c r="AE6" s="112">
        <v>44986</v>
      </c>
      <c r="AF6" s="111"/>
      <c r="AG6" s="111">
        <v>38442</v>
      </c>
      <c r="AH6" s="111">
        <v>38442</v>
      </c>
      <c r="AI6" s="111">
        <v>38807</v>
      </c>
      <c r="AJ6" s="111">
        <v>38807</v>
      </c>
      <c r="AK6" s="111">
        <v>39172</v>
      </c>
      <c r="AL6" s="111">
        <v>39172</v>
      </c>
      <c r="AM6" s="111">
        <v>39538</v>
      </c>
      <c r="AN6" s="111">
        <v>39538</v>
      </c>
      <c r="AO6" s="111">
        <v>39903</v>
      </c>
      <c r="AP6" s="111">
        <v>39903</v>
      </c>
      <c r="AQ6" s="111">
        <v>40268</v>
      </c>
      <c r="AR6" s="111">
        <v>40268</v>
      </c>
      <c r="AS6" s="111">
        <v>40633</v>
      </c>
      <c r="AT6" s="111">
        <v>40633</v>
      </c>
      <c r="AU6" s="111">
        <v>40999</v>
      </c>
      <c r="AV6" s="111">
        <v>40999</v>
      </c>
      <c r="AW6" s="110"/>
      <c r="AX6" s="111">
        <v>39538</v>
      </c>
      <c r="AY6" s="111">
        <v>39538</v>
      </c>
      <c r="AZ6" s="111">
        <v>39538</v>
      </c>
      <c r="BA6" s="111">
        <v>39538</v>
      </c>
      <c r="BB6" s="111">
        <v>39903</v>
      </c>
      <c r="BC6" s="111">
        <v>39903</v>
      </c>
      <c r="BD6" s="111">
        <v>39903</v>
      </c>
      <c r="BE6" s="111">
        <v>39903</v>
      </c>
      <c r="BF6" s="111">
        <v>39903</v>
      </c>
      <c r="BG6" s="111">
        <v>40268</v>
      </c>
      <c r="BH6" s="111">
        <v>40268</v>
      </c>
      <c r="BI6" s="111">
        <v>40268</v>
      </c>
      <c r="BJ6" s="111">
        <v>40268</v>
      </c>
      <c r="BK6" s="111">
        <v>40268</v>
      </c>
      <c r="BL6" s="111">
        <v>40633</v>
      </c>
      <c r="BM6" s="111">
        <v>40633</v>
      </c>
      <c r="BN6" s="111">
        <v>40633</v>
      </c>
      <c r="BO6" s="111">
        <v>40633</v>
      </c>
      <c r="BP6" s="111">
        <v>40633</v>
      </c>
      <c r="BQ6" s="111">
        <v>40999</v>
      </c>
      <c r="BR6" s="111">
        <v>40999</v>
      </c>
      <c r="BS6" s="111">
        <v>40999</v>
      </c>
      <c r="BT6" s="111">
        <v>40999</v>
      </c>
      <c r="BU6" s="111">
        <v>40999</v>
      </c>
      <c r="BV6" s="111">
        <v>41364</v>
      </c>
      <c r="BW6" s="111">
        <v>41364</v>
      </c>
      <c r="BX6" s="111">
        <v>41364</v>
      </c>
      <c r="BY6" s="111">
        <v>41364</v>
      </c>
      <c r="BZ6" s="111">
        <v>41364</v>
      </c>
      <c r="CA6" s="111"/>
      <c r="CB6" s="111" t="s">
        <v>892</v>
      </c>
      <c r="CC6" s="111" t="s">
        <v>891</v>
      </c>
      <c r="CD6" s="111" t="s">
        <v>890</v>
      </c>
      <c r="CE6" s="111" t="s">
        <v>889</v>
      </c>
      <c r="CF6" s="111" t="s">
        <v>888</v>
      </c>
      <c r="CG6" s="111" t="s">
        <v>887</v>
      </c>
      <c r="CH6" s="111" t="s">
        <v>887</v>
      </c>
      <c r="CI6" s="111" t="s">
        <v>886</v>
      </c>
      <c r="CJ6" s="111" t="s">
        <v>886</v>
      </c>
      <c r="CK6" s="111" t="s">
        <v>885</v>
      </c>
      <c r="CL6" s="111" t="s">
        <v>885</v>
      </c>
      <c r="CM6" s="111" t="s">
        <v>884</v>
      </c>
      <c r="CN6" s="111" t="s">
        <v>883</v>
      </c>
      <c r="CO6" s="110"/>
    </row>
    <row r="7" spans="1:93">
      <c r="A7" s="25"/>
      <c r="B7" s="25" t="s">
        <v>285</v>
      </c>
      <c r="C7" s="25" t="s">
        <v>284</v>
      </c>
      <c r="D7" s="108">
        <f t="shared" ref="D7:Y7" si="1">D5</f>
        <v>1995</v>
      </c>
      <c r="E7" s="108">
        <f t="shared" si="1"/>
        <v>1996</v>
      </c>
      <c r="F7" s="108">
        <f t="shared" si="1"/>
        <v>1997</v>
      </c>
      <c r="G7" s="108">
        <f t="shared" si="1"/>
        <v>1998</v>
      </c>
      <c r="H7" s="108">
        <f t="shared" si="1"/>
        <v>1999</v>
      </c>
      <c r="I7" s="108">
        <f t="shared" si="1"/>
        <v>2000</v>
      </c>
      <c r="J7" s="108">
        <f t="shared" si="1"/>
        <v>2001</v>
      </c>
      <c r="K7" s="108">
        <f t="shared" si="1"/>
        <v>2002</v>
      </c>
      <c r="L7" s="108">
        <f t="shared" si="1"/>
        <v>2003</v>
      </c>
      <c r="M7" s="108">
        <f t="shared" si="1"/>
        <v>2004</v>
      </c>
      <c r="N7" s="108">
        <f t="shared" si="1"/>
        <v>2005</v>
      </c>
      <c r="O7" s="108">
        <f t="shared" si="1"/>
        <v>2006</v>
      </c>
      <c r="P7" s="108">
        <f t="shared" si="1"/>
        <v>2007</v>
      </c>
      <c r="Q7" s="108">
        <f t="shared" si="1"/>
        <v>2008</v>
      </c>
      <c r="R7" s="108">
        <f t="shared" si="1"/>
        <v>2009</v>
      </c>
      <c r="S7" s="108">
        <f t="shared" si="1"/>
        <v>2010</v>
      </c>
      <c r="T7" s="108">
        <f t="shared" si="1"/>
        <v>2011</v>
      </c>
      <c r="U7" s="108">
        <f t="shared" si="1"/>
        <v>2012</v>
      </c>
      <c r="V7" s="108">
        <f t="shared" si="1"/>
        <v>2013</v>
      </c>
      <c r="W7" s="108">
        <f t="shared" si="1"/>
        <v>2014</v>
      </c>
      <c r="X7" s="108">
        <f t="shared" si="1"/>
        <v>2015</v>
      </c>
      <c r="Y7" s="108">
        <f t="shared" si="1"/>
        <v>2016</v>
      </c>
      <c r="Z7" s="108">
        <f t="shared" ref="Z7:AA7" si="2">Z5</f>
        <v>2017</v>
      </c>
      <c r="AA7" s="108">
        <f t="shared" si="2"/>
        <v>2018</v>
      </c>
      <c r="AB7" s="108">
        <f t="shared" ref="AB7:AC7" si="3">AB5</f>
        <v>2019</v>
      </c>
      <c r="AC7" s="108">
        <f t="shared" si="3"/>
        <v>2020</v>
      </c>
      <c r="AD7" s="108">
        <f t="shared" ref="AD7:AE7" si="4">AD5</f>
        <v>2021</v>
      </c>
      <c r="AE7" s="108">
        <f t="shared" si="4"/>
        <v>2022</v>
      </c>
      <c r="AF7" s="109"/>
      <c r="AG7" s="108" t="str">
        <f t="shared" ref="AG7:AV7" si="5">+AG5</f>
        <v>1H04</v>
      </c>
      <c r="AH7" s="108" t="str">
        <f t="shared" si="5"/>
        <v>2H04</v>
      </c>
      <c r="AI7" s="108" t="str">
        <f t="shared" si="5"/>
        <v>1H05</v>
      </c>
      <c r="AJ7" s="108" t="str">
        <f t="shared" si="5"/>
        <v>2H05</v>
      </c>
      <c r="AK7" s="108" t="str">
        <f t="shared" si="5"/>
        <v>1H06</v>
      </c>
      <c r="AL7" s="108" t="str">
        <f t="shared" si="5"/>
        <v>2H06</v>
      </c>
      <c r="AM7" s="108" t="str">
        <f t="shared" si="5"/>
        <v>1H07</v>
      </c>
      <c r="AN7" s="108" t="str">
        <f t="shared" si="5"/>
        <v>2H07</v>
      </c>
      <c r="AO7" s="108" t="str">
        <f t="shared" si="5"/>
        <v>1H08</v>
      </c>
      <c r="AP7" s="108" t="str">
        <f t="shared" si="5"/>
        <v>2H08</v>
      </c>
      <c r="AQ7" s="108" t="str">
        <f t="shared" si="5"/>
        <v>1H09</v>
      </c>
      <c r="AR7" s="108" t="str">
        <f t="shared" si="5"/>
        <v>2H09</v>
      </c>
      <c r="AS7" s="108" t="str">
        <f t="shared" si="5"/>
        <v>1H10</v>
      </c>
      <c r="AT7" s="108" t="str">
        <f t="shared" si="5"/>
        <v>2H10</v>
      </c>
      <c r="AU7" s="108" t="str">
        <f t="shared" si="5"/>
        <v>1H11</v>
      </c>
      <c r="AV7" s="108" t="str">
        <f t="shared" si="5"/>
        <v>2H11</v>
      </c>
      <c r="AX7" s="108" t="str">
        <f t="shared" ref="AX7:BV7" si="6">+AX5</f>
        <v>1Q07</v>
      </c>
      <c r="AY7" s="108" t="str">
        <f t="shared" si="6"/>
        <v>2Q07</v>
      </c>
      <c r="AZ7" s="108" t="str">
        <f t="shared" si="6"/>
        <v>3Q07</v>
      </c>
      <c r="BA7" s="108" t="str">
        <f t="shared" si="6"/>
        <v>4Q07</v>
      </c>
      <c r="BB7" s="108" t="str">
        <f t="shared" si="6"/>
        <v>1Q08</v>
      </c>
      <c r="BC7" s="108" t="str">
        <f t="shared" si="6"/>
        <v>2Q08</v>
      </c>
      <c r="BD7" s="108" t="str">
        <f t="shared" si="6"/>
        <v>3Q08</v>
      </c>
      <c r="BE7" s="108" t="str">
        <f t="shared" si="6"/>
        <v>1-3Q08</v>
      </c>
      <c r="BF7" s="108" t="str">
        <f t="shared" si="6"/>
        <v>4Q08</v>
      </c>
      <c r="BG7" s="108" t="str">
        <f t="shared" si="6"/>
        <v>1Q09</v>
      </c>
      <c r="BH7" s="108" t="str">
        <f t="shared" si="6"/>
        <v>2Q09</v>
      </c>
      <c r="BI7" s="108" t="str">
        <f t="shared" si="6"/>
        <v>3Q09</v>
      </c>
      <c r="BJ7" s="108" t="str">
        <f t="shared" si="6"/>
        <v>1-3Q09</v>
      </c>
      <c r="BK7" s="108" t="str">
        <f t="shared" si="6"/>
        <v>4Q09</v>
      </c>
      <c r="BL7" s="108" t="str">
        <f t="shared" si="6"/>
        <v>1Q10</v>
      </c>
      <c r="BM7" s="108" t="str">
        <f t="shared" si="6"/>
        <v>2Q10</v>
      </c>
      <c r="BN7" s="108" t="str">
        <f t="shared" si="6"/>
        <v>3Q10</v>
      </c>
      <c r="BO7" s="108" t="str">
        <f t="shared" si="6"/>
        <v>1-3Q10</v>
      </c>
      <c r="BP7" s="108" t="str">
        <f t="shared" si="6"/>
        <v>4Q10</v>
      </c>
      <c r="BQ7" s="108" t="str">
        <f t="shared" si="6"/>
        <v>1Q11</v>
      </c>
      <c r="BR7" s="108" t="str">
        <f t="shared" si="6"/>
        <v>2Q11</v>
      </c>
      <c r="BS7" s="108" t="str">
        <f t="shared" si="6"/>
        <v>3Q11</v>
      </c>
      <c r="BT7" s="108" t="str">
        <f t="shared" si="6"/>
        <v>1-3Q11</v>
      </c>
      <c r="BU7" s="108" t="str">
        <f t="shared" si="6"/>
        <v>4Q11</v>
      </c>
      <c r="BV7" s="108" t="str">
        <f t="shared" si="6"/>
        <v>1Q12</v>
      </c>
      <c r="BW7" s="108" t="str">
        <f>BW5</f>
        <v>2Q13</v>
      </c>
      <c r="BX7" s="108" t="str">
        <f>BX5</f>
        <v>3Q13</v>
      </c>
      <c r="BY7" s="108" t="str">
        <f>BY5</f>
        <v>1-3Q13</v>
      </c>
      <c r="BZ7" s="108" t="str">
        <f>BZ5</f>
        <v>4Q13</v>
      </c>
      <c r="CA7" s="109"/>
      <c r="CB7" s="108" t="str">
        <f t="shared" ref="CB7:CN7" si="7">CB5</f>
        <v>2005CoE</v>
      </c>
      <c r="CC7" s="108" t="str">
        <f t="shared" si="7"/>
        <v>2006CoE</v>
      </c>
      <c r="CD7" s="108" t="str">
        <f t="shared" si="7"/>
        <v>2006CoE(New)</v>
      </c>
      <c r="CE7" s="108" t="str">
        <f t="shared" si="7"/>
        <v>2007CoE</v>
      </c>
      <c r="CF7" s="108" t="str">
        <f t="shared" si="7"/>
        <v>2007CoE(New)</v>
      </c>
      <c r="CG7" s="108" t="str">
        <f t="shared" si="7"/>
        <v>2008CoE</v>
      </c>
      <c r="CH7" s="108" t="str">
        <f t="shared" si="7"/>
        <v>2008CoE</v>
      </c>
      <c r="CI7" s="108" t="str">
        <f t="shared" si="7"/>
        <v>2009CoE</v>
      </c>
      <c r="CJ7" s="108" t="str">
        <f t="shared" si="7"/>
        <v>2009CoE</v>
      </c>
      <c r="CK7" s="108" t="str">
        <f t="shared" si="7"/>
        <v>2010CoE</v>
      </c>
      <c r="CL7" s="108" t="str">
        <f t="shared" si="7"/>
        <v>2010CoE</v>
      </c>
      <c r="CM7" s="108" t="str">
        <f t="shared" si="7"/>
        <v>2011CoE</v>
      </c>
      <c r="CN7" s="108" t="str">
        <f t="shared" si="7"/>
        <v>2012 CoE</v>
      </c>
    </row>
    <row r="8" spans="1:93">
      <c r="A8" s="113"/>
      <c r="B8" s="113"/>
      <c r="C8" s="114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113"/>
      <c r="AV8" s="113"/>
      <c r="AW8" s="113"/>
      <c r="AX8" s="113"/>
      <c r="AY8" s="113"/>
      <c r="AZ8" s="113"/>
      <c r="BA8" s="113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13"/>
      <c r="BM8" s="113"/>
      <c r="BN8" s="113"/>
      <c r="BO8" s="113"/>
      <c r="BP8" s="113"/>
      <c r="BQ8" s="113"/>
      <c r="BR8" s="113"/>
      <c r="BS8" s="113"/>
      <c r="BT8" s="113"/>
      <c r="BU8" s="113"/>
      <c r="BV8" s="113"/>
      <c r="BW8" s="113"/>
      <c r="BX8" s="113"/>
      <c r="BY8" s="113"/>
      <c r="BZ8" s="113"/>
      <c r="CA8" s="113"/>
      <c r="CB8" s="113"/>
      <c r="CC8" s="113"/>
      <c r="CD8" s="113"/>
      <c r="CE8" s="113"/>
      <c r="CF8" s="113"/>
      <c r="CG8" s="113"/>
      <c r="CH8" s="113"/>
      <c r="CI8" s="113"/>
      <c r="CJ8" s="113"/>
      <c r="CK8" s="113"/>
      <c r="CL8" s="113"/>
      <c r="CM8" s="113"/>
      <c r="CN8" s="113"/>
      <c r="CO8" s="113"/>
    </row>
    <row r="9" spans="1:93">
      <c r="A9" s="114"/>
      <c r="B9" s="114" t="s">
        <v>882</v>
      </c>
      <c r="C9" s="114" t="s">
        <v>881</v>
      </c>
      <c r="D9" s="115"/>
      <c r="E9" s="115">
        <v>305574</v>
      </c>
      <c r="F9" s="115">
        <v>314257</v>
      </c>
      <c r="G9" s="115">
        <v>302821</v>
      </c>
      <c r="H9" s="115">
        <v>309822</v>
      </c>
      <c r="I9" s="115">
        <v>319035</v>
      </c>
      <c r="J9" s="115">
        <v>326334</v>
      </c>
      <c r="K9" s="115">
        <v>319373</v>
      </c>
      <c r="L9" s="115">
        <v>310292</v>
      </c>
      <c r="M9" s="115">
        <v>307561</v>
      </c>
      <c r="N9" s="115">
        <v>325679</v>
      </c>
      <c r="O9" s="115">
        <v>321356</v>
      </c>
      <c r="P9" s="115">
        <v>314744</v>
      </c>
      <c r="Q9" s="115">
        <v>322063</v>
      </c>
      <c r="R9" s="115">
        <v>315337</v>
      </c>
      <c r="S9" s="115">
        <v>305911</v>
      </c>
      <c r="T9" s="115">
        <v>320988</v>
      </c>
      <c r="U9" s="115">
        <v>344527</v>
      </c>
      <c r="V9" s="114">
        <v>372231</v>
      </c>
      <c r="W9" s="114">
        <v>381259</v>
      </c>
      <c r="X9" s="114">
        <v>383276</v>
      </c>
      <c r="Y9" s="114">
        <v>382678</v>
      </c>
      <c r="Z9" s="114">
        <v>388797</v>
      </c>
      <c r="AA9" s="114">
        <v>401064</v>
      </c>
      <c r="AB9" s="116">
        <v>416031</v>
      </c>
      <c r="AC9" s="116">
        <v>417511</v>
      </c>
      <c r="AD9" s="116">
        <v>361495</v>
      </c>
      <c r="AE9" s="116">
        <v>435786</v>
      </c>
      <c r="AF9" s="114"/>
      <c r="AG9" s="115">
        <v>147936</v>
      </c>
      <c r="AH9" s="114">
        <f>+M9-AG9</f>
        <v>159625</v>
      </c>
      <c r="AI9" s="115">
        <v>156915</v>
      </c>
      <c r="AJ9" s="114">
        <f>+N9-AI9</f>
        <v>168764</v>
      </c>
      <c r="AK9" s="115">
        <v>157546</v>
      </c>
      <c r="AL9" s="114">
        <f>+O9-AK9</f>
        <v>163810</v>
      </c>
      <c r="AM9" s="115">
        <v>156321</v>
      </c>
      <c r="AN9" s="114">
        <f>+P9-AM9</f>
        <v>158423</v>
      </c>
      <c r="AO9" s="115">
        <v>160223</v>
      </c>
      <c r="AP9" s="114">
        <f>+Q9-AO9</f>
        <v>161840</v>
      </c>
      <c r="AQ9" s="115">
        <v>154045</v>
      </c>
      <c r="AR9" s="114">
        <f>+R9-AQ9</f>
        <v>161292</v>
      </c>
      <c r="AS9" s="115">
        <v>146374</v>
      </c>
      <c r="AT9" s="114">
        <f>+S9-AS9</f>
        <v>159537</v>
      </c>
      <c r="AU9" s="115">
        <v>169437</v>
      </c>
      <c r="AV9" s="114">
        <f>+T9-AU9</f>
        <v>151551</v>
      </c>
      <c r="AW9" s="114"/>
      <c r="AX9" s="115"/>
      <c r="AY9" s="115"/>
      <c r="AZ9" s="115"/>
      <c r="BA9" s="115"/>
      <c r="BB9" s="115">
        <v>81091</v>
      </c>
      <c r="BC9" s="114">
        <f>+AO9-BB9</f>
        <v>79132</v>
      </c>
      <c r="BD9" s="115">
        <v>78824</v>
      </c>
      <c r="BE9" s="115"/>
      <c r="BF9" s="114">
        <f>+AP9-BD9</f>
        <v>83016</v>
      </c>
      <c r="BG9" s="115">
        <v>76992</v>
      </c>
      <c r="BH9" s="114">
        <f>+AQ9-BG9</f>
        <v>77053</v>
      </c>
      <c r="BI9" s="115">
        <v>88072</v>
      </c>
      <c r="BJ9" s="115"/>
      <c r="BK9" s="114">
        <f>+AR9-BI9</f>
        <v>73220</v>
      </c>
      <c r="BL9" s="115">
        <v>73321</v>
      </c>
      <c r="BM9" s="114">
        <f>+AS9-BL9</f>
        <v>73053</v>
      </c>
      <c r="BN9" s="115">
        <v>84950</v>
      </c>
      <c r="BO9" s="115"/>
      <c r="BP9" s="114">
        <f>+AT9-BN9</f>
        <v>74587</v>
      </c>
      <c r="BQ9" s="115">
        <v>74333</v>
      </c>
      <c r="BR9" s="114">
        <f>+AU9-BQ9</f>
        <v>95104</v>
      </c>
      <c r="BS9" s="114">
        <f>+BT9-AU9</f>
        <v>70327</v>
      </c>
      <c r="BT9" s="115">
        <v>239764</v>
      </c>
      <c r="BU9" s="114">
        <f>+AV9-BS9</f>
        <v>81224</v>
      </c>
      <c r="BV9" s="115">
        <v>77901</v>
      </c>
      <c r="BW9" s="114"/>
      <c r="BX9" s="114"/>
      <c r="BY9" s="115"/>
      <c r="BZ9" s="114"/>
      <c r="CA9" s="114"/>
      <c r="CB9" s="115"/>
      <c r="CC9" s="115"/>
      <c r="CD9" s="115"/>
      <c r="CE9" s="115"/>
      <c r="CF9" s="115"/>
      <c r="CG9" s="115"/>
      <c r="CH9" s="115"/>
      <c r="CI9" s="115"/>
      <c r="CJ9" s="115"/>
      <c r="CK9" s="115"/>
      <c r="CL9" s="115"/>
      <c r="CM9" s="115"/>
      <c r="CN9" s="115">
        <v>330000</v>
      </c>
      <c r="CO9" s="114"/>
    </row>
    <row r="10" spans="1:93" ht="12">
      <c r="A10" s="117"/>
      <c r="B10" s="117" t="s">
        <v>626</v>
      </c>
      <c r="C10" s="118"/>
      <c r="D10" s="117"/>
      <c r="E10" s="117">
        <f>Model!E14-E9</f>
        <v>0</v>
      </c>
      <c r="F10" s="117">
        <f>Model!F14-F9</f>
        <v>0</v>
      </c>
      <c r="G10" s="117">
        <f>Model!G14-G9</f>
        <v>0</v>
      </c>
      <c r="H10" s="117">
        <f>Model!H14-H9</f>
        <v>0</v>
      </c>
      <c r="I10" s="117">
        <f>Model!I14-I9</f>
        <v>0</v>
      </c>
      <c r="J10" s="117">
        <f>Model!J14-J9</f>
        <v>0</v>
      </c>
      <c r="K10" s="117">
        <f>Model!K14-K9</f>
        <v>0</v>
      </c>
      <c r="L10" s="117">
        <f>Model!L14-L9</f>
        <v>0</v>
      </c>
      <c r="M10" s="117">
        <f>Model!M14-M9</f>
        <v>0</v>
      </c>
      <c r="N10" s="117">
        <f>Model!N14-N9</f>
        <v>0</v>
      </c>
      <c r="O10" s="117">
        <f>Model!O14-O9</f>
        <v>0</v>
      </c>
      <c r="P10" s="117">
        <f>Model!P14-P9</f>
        <v>0</v>
      </c>
      <c r="Q10" s="117">
        <f>Model!Q14-Q9</f>
        <v>0</v>
      </c>
      <c r="R10" s="117">
        <f>Model!R14-R9</f>
        <v>0</v>
      </c>
      <c r="S10" s="117">
        <f>Model!S14-S9</f>
        <v>0</v>
      </c>
      <c r="T10" s="117">
        <f>Model!T14-T9</f>
        <v>0</v>
      </c>
      <c r="U10" s="117">
        <f>Model!U14-U9</f>
        <v>0</v>
      </c>
      <c r="V10" s="117">
        <f>Model!V14-V9</f>
        <v>0</v>
      </c>
      <c r="W10" s="117"/>
      <c r="X10" s="117"/>
      <c r="Y10" s="117"/>
      <c r="Z10" s="117"/>
      <c r="AA10" s="117"/>
      <c r="AB10" s="119"/>
      <c r="AC10" s="119"/>
      <c r="AD10" s="119"/>
      <c r="AE10" s="119"/>
      <c r="AF10" s="117"/>
      <c r="AG10" s="120"/>
      <c r="AH10" s="119"/>
      <c r="AI10" s="120"/>
      <c r="AJ10" s="119"/>
      <c r="AK10" s="120"/>
      <c r="AL10" s="119"/>
      <c r="AM10" s="120"/>
      <c r="AN10" s="119"/>
      <c r="AO10" s="120"/>
      <c r="AP10" s="119"/>
      <c r="AQ10" s="120"/>
      <c r="AR10" s="119"/>
      <c r="AS10" s="120"/>
      <c r="AT10" s="119"/>
      <c r="AU10" s="120"/>
      <c r="AV10" s="119"/>
      <c r="AW10" s="117"/>
      <c r="AX10" s="117"/>
      <c r="AY10" s="117"/>
      <c r="AZ10" s="117"/>
      <c r="BA10" s="117"/>
      <c r="BB10" s="120"/>
      <c r="BC10" s="119"/>
      <c r="BD10" s="120"/>
      <c r="BE10" s="117"/>
      <c r="BF10" s="119"/>
      <c r="BG10" s="120"/>
      <c r="BH10" s="119"/>
      <c r="BI10" s="120"/>
      <c r="BJ10" s="117"/>
      <c r="BK10" s="119"/>
      <c r="BL10" s="120"/>
      <c r="BM10" s="119"/>
      <c r="BN10" s="120"/>
      <c r="BO10" s="117"/>
      <c r="BP10" s="119"/>
      <c r="BQ10" s="120"/>
      <c r="BR10" s="119"/>
      <c r="BS10" s="119"/>
      <c r="BT10" s="120"/>
      <c r="BU10" s="119"/>
      <c r="BV10" s="120"/>
      <c r="BW10" s="119"/>
      <c r="BX10" s="119"/>
      <c r="BY10" s="117"/>
      <c r="BZ10" s="119"/>
      <c r="CA10" s="117"/>
      <c r="CB10" s="117"/>
      <c r="CC10" s="117"/>
      <c r="CD10" s="117"/>
      <c r="CE10" s="117"/>
      <c r="CF10" s="117"/>
      <c r="CG10" s="117"/>
      <c r="CH10" s="117"/>
      <c r="CI10" s="117"/>
      <c r="CJ10" s="117"/>
      <c r="CK10" s="117"/>
      <c r="CL10" s="117"/>
      <c r="CM10" s="117"/>
      <c r="CN10" s="117"/>
      <c r="CO10" s="117"/>
    </row>
    <row r="11" spans="1:9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121"/>
      <c r="AH11" s="23"/>
      <c r="AI11" s="121"/>
      <c r="AJ11" s="23"/>
      <c r="AK11" s="121"/>
      <c r="AL11" s="23"/>
      <c r="AM11" s="121"/>
      <c r="AN11" s="23"/>
      <c r="AO11" s="121"/>
      <c r="AP11" s="23"/>
      <c r="AQ11" s="121"/>
      <c r="AR11" s="23"/>
      <c r="AS11" s="121"/>
      <c r="AT11" s="23"/>
      <c r="AU11" s="121"/>
      <c r="AV11" s="23"/>
      <c r="AW11" s="23"/>
      <c r="AX11" s="23"/>
      <c r="AY11" s="23"/>
      <c r="AZ11" s="23"/>
      <c r="BA11" s="23"/>
      <c r="BB11" s="121"/>
      <c r="BC11" s="23"/>
      <c r="BD11" s="121"/>
      <c r="BE11" s="23"/>
      <c r="BF11" s="23"/>
      <c r="BG11" s="121"/>
      <c r="BH11" s="23"/>
      <c r="BI11" s="121"/>
      <c r="BJ11" s="23"/>
      <c r="BK11" s="23"/>
      <c r="BL11" s="121"/>
      <c r="BM11" s="23"/>
      <c r="BN11" s="121"/>
      <c r="BO11" s="23"/>
      <c r="BP11" s="23"/>
      <c r="BQ11" s="121"/>
      <c r="BR11" s="23"/>
      <c r="BS11" s="23"/>
      <c r="BT11" s="121"/>
      <c r="BU11" s="23"/>
      <c r="BV11" s="121"/>
      <c r="BW11" s="23"/>
      <c r="BX11" s="23"/>
      <c r="BY11" s="23"/>
      <c r="BZ11" s="23"/>
      <c r="CA11" s="23"/>
      <c r="CB11" s="121"/>
      <c r="CC11" s="121"/>
      <c r="CD11" s="121"/>
      <c r="CE11" s="121"/>
      <c r="CF11" s="121"/>
      <c r="CG11" s="121"/>
      <c r="CH11" s="121"/>
      <c r="CI11" s="121"/>
      <c r="CJ11" s="121"/>
      <c r="CK11" s="121"/>
      <c r="CL11" s="121"/>
      <c r="CM11" s="23"/>
      <c r="CN11" s="23"/>
      <c r="CO11" s="23"/>
    </row>
    <row r="12" spans="1:93">
      <c r="A12" s="23"/>
      <c r="B12" s="23" t="s">
        <v>616</v>
      </c>
      <c r="C12" s="23" t="s">
        <v>880</v>
      </c>
      <c r="D12" s="121"/>
      <c r="E12" s="121">
        <v>-228533</v>
      </c>
      <c r="F12" s="121">
        <v>-235319</v>
      </c>
      <c r="G12" s="121">
        <v>-219316</v>
      </c>
      <c r="H12" s="121">
        <v>-213251</v>
      </c>
      <c r="I12" s="121">
        <v>-214451</v>
      </c>
      <c r="J12" s="121">
        <v>-216057</v>
      </c>
      <c r="K12" s="121">
        <v>-212850</v>
      </c>
      <c r="L12" s="121">
        <v>-203747</v>
      </c>
      <c r="M12" s="121">
        <v>-197773</v>
      </c>
      <c r="N12" s="121">
        <v>-207905</v>
      </c>
      <c r="O12" s="121">
        <v>-205365</v>
      </c>
      <c r="P12" s="121">
        <v>-199162</v>
      </c>
      <c r="Q12" s="121">
        <v>-208620</v>
      </c>
      <c r="R12" s="121">
        <v>-195467</v>
      </c>
      <c r="S12" s="121">
        <v>-191118</v>
      </c>
      <c r="T12" s="121">
        <v>-202610</v>
      </c>
      <c r="U12" s="121">
        <v>-214908</v>
      </c>
      <c r="V12" s="23">
        <v>-230221</v>
      </c>
      <c r="W12" s="23">
        <v>-244924</v>
      </c>
      <c r="X12" s="23">
        <v>-240490</v>
      </c>
      <c r="Y12" s="23">
        <v>-237692</v>
      </c>
      <c r="Z12" s="23">
        <v>-241990</v>
      </c>
      <c r="AA12" s="23">
        <v>-254754</v>
      </c>
      <c r="AB12" s="122">
        <v>-261911</v>
      </c>
      <c r="AC12" s="122">
        <v>-252261</v>
      </c>
      <c r="AD12" s="122">
        <v>-270977</v>
      </c>
      <c r="AE12" s="122">
        <v>-327744</v>
      </c>
      <c r="AF12" s="23"/>
      <c r="AG12" s="121">
        <v>-96934</v>
      </c>
      <c r="AH12" s="23">
        <f>+M12-AG12</f>
        <v>-100839</v>
      </c>
      <c r="AI12" s="121">
        <v>-101701</v>
      </c>
      <c r="AJ12" s="23">
        <f>+N12-AI12</f>
        <v>-106204</v>
      </c>
      <c r="AK12" s="121">
        <v>-101981</v>
      </c>
      <c r="AL12" s="23">
        <f>+O12-AK12</f>
        <v>-103384</v>
      </c>
      <c r="AM12" s="121">
        <v>-100612</v>
      </c>
      <c r="AN12" s="23">
        <f>+P12-AM12</f>
        <v>-98550</v>
      </c>
      <c r="AO12" s="121">
        <v>-105039</v>
      </c>
      <c r="AP12" s="23">
        <f>+Q12-AO12</f>
        <v>-103581</v>
      </c>
      <c r="AQ12" s="121">
        <v>-96580</v>
      </c>
      <c r="AR12" s="23">
        <f>+R12-AQ12</f>
        <v>-98887</v>
      </c>
      <c r="AS12" s="121">
        <v>-91510</v>
      </c>
      <c r="AT12" s="23">
        <f>+S12-AS12</f>
        <v>-99608</v>
      </c>
      <c r="AU12" s="121">
        <v>-95362</v>
      </c>
      <c r="AV12" s="23">
        <f>+T12-AU12</f>
        <v>-107248</v>
      </c>
      <c r="AW12" s="23"/>
      <c r="AX12" s="121"/>
      <c r="AY12" s="121"/>
      <c r="AZ12" s="121"/>
      <c r="BA12" s="121"/>
      <c r="BB12" s="121">
        <v>-53240</v>
      </c>
      <c r="BC12" s="23">
        <f>+AO12-BB12</f>
        <v>-51799</v>
      </c>
      <c r="BD12" s="121">
        <v>-52582</v>
      </c>
      <c r="BE12" s="121"/>
      <c r="BF12" s="23">
        <f>+AP12-BD12</f>
        <v>-50999</v>
      </c>
      <c r="BG12" s="121">
        <v>-48138</v>
      </c>
      <c r="BH12" s="23">
        <f>+AQ12-BG12</f>
        <v>-48442</v>
      </c>
      <c r="BI12" s="121">
        <v>-52586</v>
      </c>
      <c r="BJ12" s="121"/>
      <c r="BK12" s="23">
        <f>+AR12-BI12</f>
        <v>-46301</v>
      </c>
      <c r="BL12" s="121">
        <v>-45472</v>
      </c>
      <c r="BM12" s="23">
        <f>+AS12-BL12</f>
        <v>-46038</v>
      </c>
      <c r="BN12" s="121">
        <v>-52064</v>
      </c>
      <c r="BO12" s="121"/>
      <c r="BP12" s="23">
        <f>+AT12-BN12</f>
        <v>-47544</v>
      </c>
      <c r="BQ12" s="121">
        <v>-46994</v>
      </c>
      <c r="BR12" s="23">
        <f>+AU12-BQ12</f>
        <v>-48368</v>
      </c>
      <c r="BS12" s="23">
        <f>+BT12-AU12</f>
        <v>-55441</v>
      </c>
      <c r="BT12" s="121">
        <v>-150803</v>
      </c>
      <c r="BU12" s="23">
        <f>+AV12-BS12</f>
        <v>-51807</v>
      </c>
      <c r="BV12" s="121">
        <v>-48923</v>
      </c>
      <c r="BW12" s="23"/>
      <c r="BX12" s="23"/>
      <c r="BY12" s="121"/>
      <c r="BZ12" s="23"/>
      <c r="CA12" s="23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3"/>
      <c r="CN12" s="23"/>
      <c r="CO12" s="23"/>
    </row>
    <row r="13" spans="1:93">
      <c r="A13" s="114"/>
      <c r="B13" s="124" t="s">
        <v>281</v>
      </c>
      <c r="C13" s="124" t="s">
        <v>880</v>
      </c>
      <c r="D13" s="124"/>
      <c r="E13" s="124">
        <f t="shared" ref="E13:V13" si="8">SUM(E12:E12)</f>
        <v>-228533</v>
      </c>
      <c r="F13" s="124">
        <f t="shared" si="8"/>
        <v>-235319</v>
      </c>
      <c r="G13" s="124">
        <f t="shared" si="8"/>
        <v>-219316</v>
      </c>
      <c r="H13" s="124">
        <f t="shared" si="8"/>
        <v>-213251</v>
      </c>
      <c r="I13" s="124">
        <f t="shared" si="8"/>
        <v>-214451</v>
      </c>
      <c r="J13" s="124">
        <f t="shared" si="8"/>
        <v>-216057</v>
      </c>
      <c r="K13" s="124">
        <f t="shared" si="8"/>
        <v>-212850</v>
      </c>
      <c r="L13" s="124">
        <f t="shared" si="8"/>
        <v>-203747</v>
      </c>
      <c r="M13" s="124">
        <f t="shared" si="8"/>
        <v>-197773</v>
      </c>
      <c r="N13" s="124">
        <f t="shared" si="8"/>
        <v>-207905</v>
      </c>
      <c r="O13" s="124">
        <f t="shared" si="8"/>
        <v>-205365</v>
      </c>
      <c r="P13" s="124">
        <f t="shared" si="8"/>
        <v>-199162</v>
      </c>
      <c r="Q13" s="124">
        <f t="shared" si="8"/>
        <v>-208620</v>
      </c>
      <c r="R13" s="124">
        <f t="shared" si="8"/>
        <v>-195467</v>
      </c>
      <c r="S13" s="124">
        <f t="shared" si="8"/>
        <v>-191118</v>
      </c>
      <c r="T13" s="124">
        <f t="shared" si="8"/>
        <v>-202610</v>
      </c>
      <c r="U13" s="124">
        <f t="shared" si="8"/>
        <v>-214908</v>
      </c>
      <c r="V13" s="124">
        <f t="shared" si="8"/>
        <v>-230221</v>
      </c>
      <c r="W13" s="124">
        <f t="shared" ref="W13:X13" si="9">SUM(W12:W12)</f>
        <v>-244924</v>
      </c>
      <c r="X13" s="124">
        <f t="shared" si="9"/>
        <v>-240490</v>
      </c>
      <c r="Y13" s="124">
        <f t="shared" ref="Y13:Z13" si="10">SUM(Y12:Y12)</f>
        <v>-237692</v>
      </c>
      <c r="Z13" s="124">
        <f t="shared" si="10"/>
        <v>-241990</v>
      </c>
      <c r="AA13" s="124">
        <f t="shared" ref="AA13:AB13" si="11">SUM(AA12:AA12)</f>
        <v>-254754</v>
      </c>
      <c r="AB13" s="124">
        <f t="shared" si="11"/>
        <v>-261911</v>
      </c>
      <c r="AC13" s="124">
        <f t="shared" ref="AC13:AD13" si="12">SUM(AC12:AC12)</f>
        <v>-252261</v>
      </c>
      <c r="AD13" s="124">
        <f t="shared" si="12"/>
        <v>-270977</v>
      </c>
      <c r="AE13" s="124">
        <f t="shared" ref="AE13" si="13">SUM(AE12:AE12)</f>
        <v>-327744</v>
      </c>
      <c r="AF13" s="114"/>
      <c r="AG13" s="124">
        <f>+AG12</f>
        <v>-96934</v>
      </c>
      <c r="AH13" s="124">
        <f>+M13-AG13</f>
        <v>-100839</v>
      </c>
      <c r="AI13" s="124">
        <f>+AI12</f>
        <v>-101701</v>
      </c>
      <c r="AJ13" s="124">
        <f>+N13-AI13</f>
        <v>-106204</v>
      </c>
      <c r="AK13" s="124">
        <f>+AK12</f>
        <v>-101981</v>
      </c>
      <c r="AL13" s="124">
        <f>+O13-AK13</f>
        <v>-103384</v>
      </c>
      <c r="AM13" s="124">
        <f>+AM12</f>
        <v>-100612</v>
      </c>
      <c r="AN13" s="124">
        <f>+P13-AM13</f>
        <v>-98550</v>
      </c>
      <c r="AO13" s="124">
        <f>+AO12</f>
        <v>-105039</v>
      </c>
      <c r="AP13" s="124">
        <f>+Q13-AO13</f>
        <v>-103581</v>
      </c>
      <c r="AQ13" s="124">
        <f>+AQ12</f>
        <v>-96580</v>
      </c>
      <c r="AR13" s="124">
        <f>+R13-AQ13</f>
        <v>-98887</v>
      </c>
      <c r="AS13" s="124">
        <f>+AS12</f>
        <v>-91510</v>
      </c>
      <c r="AT13" s="124">
        <f>+S13-AS13</f>
        <v>-99608</v>
      </c>
      <c r="AU13" s="124">
        <f>+AU12</f>
        <v>-95362</v>
      </c>
      <c r="AV13" s="124">
        <f>+T13-AU13</f>
        <v>-107248</v>
      </c>
      <c r="AW13" s="114"/>
      <c r="AX13" s="124"/>
      <c r="AY13" s="124"/>
      <c r="AZ13" s="124"/>
      <c r="BA13" s="124"/>
      <c r="BB13" s="124">
        <f>+BB12</f>
        <v>-53240</v>
      </c>
      <c r="BC13" s="124">
        <f>+AO13-BB13</f>
        <v>-51799</v>
      </c>
      <c r="BD13" s="124">
        <f>+BD12</f>
        <v>-52582</v>
      </c>
      <c r="BE13" s="124"/>
      <c r="BF13" s="124">
        <f>+AP13-BD13</f>
        <v>-50999</v>
      </c>
      <c r="BG13" s="124">
        <f>+BG12</f>
        <v>-48138</v>
      </c>
      <c r="BH13" s="124">
        <f>+AQ13-BG13</f>
        <v>-48442</v>
      </c>
      <c r="BI13" s="124">
        <f>+BI12</f>
        <v>-52586</v>
      </c>
      <c r="BJ13" s="124"/>
      <c r="BK13" s="124">
        <f>+AR13-BI13</f>
        <v>-46301</v>
      </c>
      <c r="BL13" s="124">
        <f>+BL12</f>
        <v>-45472</v>
      </c>
      <c r="BM13" s="124">
        <f>+AS13-BL13</f>
        <v>-46038</v>
      </c>
      <c r="BN13" s="124">
        <f>+BN12</f>
        <v>-52064</v>
      </c>
      <c r="BO13" s="124"/>
      <c r="BP13" s="124">
        <f>+AT13-BN13</f>
        <v>-47544</v>
      </c>
      <c r="BQ13" s="124">
        <f>+BQ12</f>
        <v>-46994</v>
      </c>
      <c r="BR13" s="124">
        <f>+AU13-BQ13</f>
        <v>-48368</v>
      </c>
      <c r="BS13" s="124">
        <f>+BT13-AU13</f>
        <v>-55441</v>
      </c>
      <c r="BT13" s="124">
        <f>+BT12</f>
        <v>-150803</v>
      </c>
      <c r="BU13" s="124">
        <f>+AV13-BS13</f>
        <v>-51807</v>
      </c>
      <c r="BV13" s="124">
        <f>+BV12</f>
        <v>-48923</v>
      </c>
      <c r="BW13" s="124"/>
      <c r="BX13" s="124"/>
      <c r="BY13" s="124"/>
      <c r="BZ13" s="124"/>
      <c r="CA13" s="11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14"/>
    </row>
    <row r="14" spans="1:93">
      <c r="A14" s="114"/>
      <c r="B14" s="114" t="s">
        <v>879</v>
      </c>
      <c r="C14" s="114" t="s">
        <v>878</v>
      </c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5"/>
      <c r="AH14" s="114"/>
      <c r="AI14" s="115"/>
      <c r="AJ14" s="114"/>
      <c r="AK14" s="115"/>
      <c r="AL14" s="114"/>
      <c r="AM14" s="115"/>
      <c r="AN14" s="114"/>
      <c r="AO14" s="115"/>
      <c r="AP14" s="114"/>
      <c r="AQ14" s="115"/>
      <c r="AR14" s="114"/>
      <c r="AS14" s="115"/>
      <c r="AT14" s="114"/>
      <c r="AU14" s="115"/>
      <c r="AV14" s="114"/>
      <c r="AW14" s="114"/>
      <c r="AX14" s="114"/>
      <c r="AY14" s="114"/>
      <c r="AZ14" s="114"/>
      <c r="BA14" s="114"/>
      <c r="BB14" s="115"/>
      <c r="BC14" s="114"/>
      <c r="BD14" s="115"/>
      <c r="BE14" s="114"/>
      <c r="BF14" s="114"/>
      <c r="BG14" s="115"/>
      <c r="BH14" s="114"/>
      <c r="BI14" s="115"/>
      <c r="BJ14" s="114"/>
      <c r="BK14" s="114"/>
      <c r="BL14" s="115"/>
      <c r="BM14" s="114"/>
      <c r="BN14" s="115"/>
      <c r="BO14" s="114"/>
      <c r="BP14" s="114"/>
      <c r="BQ14" s="115"/>
      <c r="BR14" s="114"/>
      <c r="BS14" s="114"/>
      <c r="BT14" s="115"/>
      <c r="BU14" s="114"/>
      <c r="BV14" s="115"/>
      <c r="BW14" s="114"/>
      <c r="BX14" s="114"/>
      <c r="BY14" s="114"/>
      <c r="BZ14" s="114"/>
      <c r="CA14" s="114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4"/>
      <c r="CN14" s="114"/>
      <c r="CO14" s="114"/>
    </row>
    <row r="15" spans="1:93">
      <c r="A15" s="23"/>
      <c r="B15" s="114"/>
      <c r="C15" s="11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121"/>
      <c r="AH15" s="23"/>
      <c r="AI15" s="121"/>
      <c r="AJ15" s="23"/>
      <c r="AK15" s="121"/>
      <c r="AL15" s="23"/>
      <c r="AM15" s="121"/>
      <c r="AN15" s="23"/>
      <c r="AO15" s="121"/>
      <c r="AP15" s="23"/>
      <c r="AQ15" s="121"/>
      <c r="AR15" s="23"/>
      <c r="AS15" s="121"/>
      <c r="AT15" s="23"/>
      <c r="AU15" s="121"/>
      <c r="AV15" s="23"/>
      <c r="AW15" s="23"/>
      <c r="AX15" s="23"/>
      <c r="AY15" s="23"/>
      <c r="AZ15" s="23"/>
      <c r="BA15" s="23"/>
      <c r="BB15" s="121"/>
      <c r="BC15" s="23"/>
      <c r="BD15" s="121"/>
      <c r="BE15" s="23"/>
      <c r="BF15" s="23"/>
      <c r="BG15" s="121"/>
      <c r="BH15" s="23"/>
      <c r="BI15" s="121"/>
      <c r="BJ15" s="23"/>
      <c r="BK15" s="23"/>
      <c r="BL15" s="121"/>
      <c r="BM15" s="23"/>
      <c r="BN15" s="121"/>
      <c r="BO15" s="23"/>
      <c r="BP15" s="23"/>
      <c r="BQ15" s="121"/>
      <c r="BR15" s="23"/>
      <c r="BS15" s="23"/>
      <c r="BT15" s="121"/>
      <c r="BU15" s="23"/>
      <c r="BV15" s="121"/>
      <c r="BW15" s="23"/>
      <c r="BX15" s="23"/>
      <c r="BY15" s="23"/>
      <c r="BZ15" s="23"/>
      <c r="CA15" s="23"/>
      <c r="CB15" s="121"/>
      <c r="CC15" s="121"/>
      <c r="CD15" s="121"/>
      <c r="CE15" s="121"/>
      <c r="CF15" s="121"/>
      <c r="CG15" s="121"/>
      <c r="CH15" s="121"/>
      <c r="CI15" s="121"/>
      <c r="CJ15" s="121"/>
      <c r="CK15" s="121"/>
      <c r="CL15" s="121"/>
      <c r="CM15" s="23"/>
      <c r="CN15" s="23"/>
      <c r="CO15" s="23"/>
    </row>
    <row r="16" spans="1:93">
      <c r="A16" s="114"/>
      <c r="B16" s="124" t="s">
        <v>278</v>
      </c>
      <c r="C16" s="124" t="s">
        <v>877</v>
      </c>
      <c r="D16" s="124"/>
      <c r="E16" s="124">
        <f t="shared" ref="E16:V16" si="14">E9+E13</f>
        <v>77041</v>
      </c>
      <c r="F16" s="124">
        <f t="shared" si="14"/>
        <v>78938</v>
      </c>
      <c r="G16" s="124">
        <f t="shared" si="14"/>
        <v>83505</v>
      </c>
      <c r="H16" s="124">
        <f t="shared" si="14"/>
        <v>96571</v>
      </c>
      <c r="I16" s="124">
        <f t="shared" si="14"/>
        <v>104584</v>
      </c>
      <c r="J16" s="124">
        <f t="shared" si="14"/>
        <v>110277</v>
      </c>
      <c r="K16" s="124">
        <f t="shared" si="14"/>
        <v>106523</v>
      </c>
      <c r="L16" s="124">
        <f t="shared" si="14"/>
        <v>106545</v>
      </c>
      <c r="M16" s="124">
        <f t="shared" si="14"/>
        <v>109788</v>
      </c>
      <c r="N16" s="124">
        <f t="shared" si="14"/>
        <v>117774</v>
      </c>
      <c r="O16" s="124">
        <f t="shared" si="14"/>
        <v>115991</v>
      </c>
      <c r="P16" s="124">
        <f t="shared" si="14"/>
        <v>115582</v>
      </c>
      <c r="Q16" s="124">
        <f t="shared" si="14"/>
        <v>113443</v>
      </c>
      <c r="R16" s="124">
        <f t="shared" si="14"/>
        <v>119870</v>
      </c>
      <c r="S16" s="124">
        <f t="shared" si="14"/>
        <v>114793</v>
      </c>
      <c r="T16" s="124">
        <f t="shared" si="14"/>
        <v>118378</v>
      </c>
      <c r="U16" s="124">
        <f t="shared" si="14"/>
        <v>129619</v>
      </c>
      <c r="V16" s="124">
        <f t="shared" si="14"/>
        <v>142010</v>
      </c>
      <c r="W16" s="124">
        <f t="shared" ref="W16" si="15">W9+W13</f>
        <v>136335</v>
      </c>
      <c r="X16" s="124">
        <f t="shared" ref="X16:AC16" si="16">X9+X13</f>
        <v>142786</v>
      </c>
      <c r="Y16" s="124">
        <f t="shared" si="16"/>
        <v>144986</v>
      </c>
      <c r="Z16" s="124">
        <f t="shared" si="16"/>
        <v>146807</v>
      </c>
      <c r="AA16" s="124">
        <f t="shared" si="16"/>
        <v>146310</v>
      </c>
      <c r="AB16" s="124">
        <f t="shared" si="16"/>
        <v>154120</v>
      </c>
      <c r="AC16" s="124">
        <f t="shared" si="16"/>
        <v>165250</v>
      </c>
      <c r="AD16" s="124">
        <f t="shared" ref="AD16:AE16" si="17">AD9+AD13</f>
        <v>90518</v>
      </c>
      <c r="AE16" s="124">
        <f t="shared" si="17"/>
        <v>108042</v>
      </c>
      <c r="AF16" s="114"/>
      <c r="AG16" s="125">
        <v>51002</v>
      </c>
      <c r="AH16" s="124">
        <f>+M16-AG16</f>
        <v>58786</v>
      </c>
      <c r="AI16" s="125">
        <v>55213</v>
      </c>
      <c r="AJ16" s="124">
        <f>+N16-AI16</f>
        <v>62561</v>
      </c>
      <c r="AK16" s="125">
        <v>55565</v>
      </c>
      <c r="AL16" s="124">
        <f>+O16-AK16</f>
        <v>60426</v>
      </c>
      <c r="AM16" s="125">
        <v>55708</v>
      </c>
      <c r="AN16" s="124">
        <f>+P16-AM16</f>
        <v>59874</v>
      </c>
      <c r="AO16" s="125">
        <v>55184</v>
      </c>
      <c r="AP16" s="124">
        <f>+Q16-AO16</f>
        <v>58259</v>
      </c>
      <c r="AQ16" s="125">
        <v>57465</v>
      </c>
      <c r="AR16" s="124">
        <f>+R16-AQ16</f>
        <v>62405</v>
      </c>
      <c r="AS16" s="125">
        <v>54864</v>
      </c>
      <c r="AT16" s="124">
        <f>+S16-AS16</f>
        <v>59929</v>
      </c>
      <c r="AU16" s="125">
        <v>54075</v>
      </c>
      <c r="AV16" s="124">
        <f>+T16-AU16</f>
        <v>64303</v>
      </c>
      <c r="AW16" s="114"/>
      <c r="AX16" s="124"/>
      <c r="AY16" s="124"/>
      <c r="AZ16" s="124"/>
      <c r="BA16" s="124"/>
      <c r="BB16" s="125">
        <v>27850</v>
      </c>
      <c r="BC16" s="124">
        <f>+AO16-BB16</f>
        <v>27334</v>
      </c>
      <c r="BD16" s="125">
        <v>26241</v>
      </c>
      <c r="BE16" s="124"/>
      <c r="BF16" s="124">
        <f>+AP16-BD16</f>
        <v>32018</v>
      </c>
      <c r="BG16" s="125">
        <v>28853</v>
      </c>
      <c r="BH16" s="124">
        <f>+AQ16-BG16</f>
        <v>28612</v>
      </c>
      <c r="BI16" s="125">
        <v>35486</v>
      </c>
      <c r="BJ16" s="124"/>
      <c r="BK16" s="124">
        <f>+AR16-BI16</f>
        <v>26919</v>
      </c>
      <c r="BL16" s="125">
        <v>27848</v>
      </c>
      <c r="BM16" s="124">
        <f>+AS16-BL16</f>
        <v>27016</v>
      </c>
      <c r="BN16" s="125">
        <v>32886</v>
      </c>
      <c r="BO16" s="124"/>
      <c r="BP16" s="124">
        <f>+AT16-BN16</f>
        <v>27043</v>
      </c>
      <c r="BQ16" s="125">
        <v>27339</v>
      </c>
      <c r="BR16" s="124">
        <f>+AU16-BQ16</f>
        <v>26736</v>
      </c>
      <c r="BS16" s="124">
        <f>+BT16-AU16</f>
        <v>34886</v>
      </c>
      <c r="BT16" s="125">
        <v>88961</v>
      </c>
      <c r="BU16" s="124">
        <f>+AV16-BS16</f>
        <v>29417</v>
      </c>
      <c r="BV16" s="125">
        <v>-28978</v>
      </c>
      <c r="BW16" s="124"/>
      <c r="BX16" s="124"/>
      <c r="BY16" s="124"/>
      <c r="BZ16" s="124"/>
      <c r="CA16" s="114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4"/>
      <c r="CN16" s="124"/>
      <c r="CO16" s="114"/>
    </row>
    <row r="17" spans="1:93">
      <c r="A17" s="23"/>
      <c r="B17" s="114"/>
      <c r="C17" s="114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80">
        <f>+AA16/AA9</f>
        <v>0.36480461971156725</v>
      </c>
      <c r="AB17" s="80">
        <f>+AB16/AB9</f>
        <v>0.37045316334600065</v>
      </c>
      <c r="AC17" s="80">
        <f>+AC16/AC9</f>
        <v>0.3957979550239395</v>
      </c>
      <c r="AD17" s="80">
        <f>+AD16/AD9</f>
        <v>0.25039903733108343</v>
      </c>
      <c r="AE17" s="80">
        <f>+AE16/AE9</f>
        <v>0.24792443997742011</v>
      </c>
      <c r="AF17" s="23"/>
      <c r="AG17" s="121"/>
      <c r="AH17" s="23"/>
      <c r="AI17" s="121"/>
      <c r="AJ17" s="23"/>
      <c r="AK17" s="121"/>
      <c r="AL17" s="23"/>
      <c r="AM17" s="121"/>
      <c r="AN17" s="23"/>
      <c r="AO17" s="121"/>
      <c r="AP17" s="23"/>
      <c r="AQ17" s="121"/>
      <c r="AR17" s="23"/>
      <c r="AS17" s="121"/>
      <c r="AT17" s="23"/>
      <c r="AU17" s="121"/>
      <c r="AV17" s="23"/>
      <c r="AW17" s="23"/>
      <c r="AX17" s="23"/>
      <c r="AY17" s="23"/>
      <c r="AZ17" s="23"/>
      <c r="BA17" s="23"/>
      <c r="BB17" s="121"/>
      <c r="BC17" s="23"/>
      <c r="BD17" s="121"/>
      <c r="BE17" s="23"/>
      <c r="BF17" s="23"/>
      <c r="BG17" s="121"/>
      <c r="BH17" s="23"/>
      <c r="BI17" s="121"/>
      <c r="BJ17" s="23"/>
      <c r="BK17" s="23"/>
      <c r="BL17" s="121"/>
      <c r="BM17" s="23"/>
      <c r="BN17" s="121"/>
      <c r="BO17" s="23"/>
      <c r="BP17" s="23"/>
      <c r="BQ17" s="121"/>
      <c r="BR17" s="23"/>
      <c r="BS17" s="23"/>
      <c r="BT17" s="121"/>
      <c r="BU17" s="23"/>
      <c r="BV17" s="121"/>
      <c r="BW17" s="23"/>
      <c r="BX17" s="23"/>
      <c r="BY17" s="23"/>
      <c r="BZ17" s="23"/>
      <c r="CA17" s="23"/>
      <c r="CB17" s="121"/>
      <c r="CC17" s="121"/>
      <c r="CD17" s="121"/>
      <c r="CE17" s="121"/>
      <c r="CF17" s="121"/>
      <c r="CG17" s="121"/>
      <c r="CH17" s="121"/>
      <c r="CI17" s="121"/>
      <c r="CJ17" s="121"/>
      <c r="CK17" s="121"/>
      <c r="CL17" s="121"/>
      <c r="CM17" s="23"/>
      <c r="CN17" s="23"/>
      <c r="CO17" s="23"/>
    </row>
    <row r="18" spans="1:93">
      <c r="A18" s="23"/>
      <c r="B18" s="114"/>
      <c r="C18" s="114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121"/>
      <c r="AH18" s="23"/>
      <c r="AI18" s="121"/>
      <c r="AJ18" s="23"/>
      <c r="AK18" s="121"/>
      <c r="AL18" s="23"/>
      <c r="AM18" s="121"/>
      <c r="AN18" s="23"/>
      <c r="AO18" s="121"/>
      <c r="AP18" s="23"/>
      <c r="AQ18" s="121"/>
      <c r="AR18" s="23"/>
      <c r="AS18" s="121"/>
      <c r="AT18" s="23"/>
      <c r="AU18" s="121"/>
      <c r="AV18" s="23"/>
      <c r="AW18" s="23"/>
      <c r="AX18" s="23"/>
      <c r="AY18" s="23"/>
      <c r="AZ18" s="23"/>
      <c r="BA18" s="23"/>
      <c r="BB18" s="121"/>
      <c r="BC18" s="23"/>
      <c r="BD18" s="121"/>
      <c r="BE18" s="23"/>
      <c r="BF18" s="23"/>
      <c r="BG18" s="121"/>
      <c r="BH18" s="23"/>
      <c r="BI18" s="121"/>
      <c r="BJ18" s="23"/>
      <c r="BK18" s="23"/>
      <c r="BL18" s="121"/>
      <c r="BM18" s="23"/>
      <c r="BN18" s="121"/>
      <c r="BO18" s="23"/>
      <c r="BP18" s="23"/>
      <c r="BQ18" s="121"/>
      <c r="BR18" s="23"/>
      <c r="BS18" s="23"/>
      <c r="BT18" s="121"/>
      <c r="BU18" s="23"/>
      <c r="BV18" s="121"/>
      <c r="BW18" s="23"/>
      <c r="BX18" s="23"/>
      <c r="BY18" s="23"/>
      <c r="BZ18" s="23"/>
      <c r="CA18" s="23"/>
      <c r="CB18" s="121"/>
      <c r="CC18" s="121"/>
      <c r="CD18" s="121"/>
      <c r="CE18" s="121"/>
      <c r="CF18" s="121"/>
      <c r="CG18" s="121"/>
      <c r="CH18" s="121"/>
      <c r="CI18" s="121"/>
      <c r="CJ18" s="121"/>
      <c r="CK18" s="121"/>
      <c r="CL18" s="121"/>
      <c r="CM18" s="23"/>
      <c r="CN18" s="23"/>
      <c r="CO18" s="23"/>
    </row>
    <row r="19" spans="1:93">
      <c r="A19" s="23"/>
      <c r="B19" s="23" t="s">
        <v>178</v>
      </c>
      <c r="C19" s="23" t="s">
        <v>177</v>
      </c>
      <c r="D19" s="121"/>
      <c r="E19" s="121">
        <v>15367</v>
      </c>
      <c r="F19" s="121">
        <v>15896</v>
      </c>
      <c r="G19" s="121">
        <v>14657</v>
      </c>
      <c r="H19" s="121">
        <v>16844</v>
      </c>
      <c r="I19" s="121">
        <v>18181</v>
      </c>
      <c r="J19" s="121">
        <v>19301</v>
      </c>
      <c r="K19" s="121">
        <v>18897</v>
      </c>
      <c r="L19" s="121">
        <v>18685</v>
      </c>
      <c r="M19" s="121">
        <v>18595</v>
      </c>
      <c r="N19" s="121">
        <v>20398</v>
      </c>
      <c r="O19" s="121">
        <v>19725</v>
      </c>
      <c r="P19" s="121">
        <v>19425</v>
      </c>
      <c r="Q19" s="121">
        <v>20038</v>
      </c>
      <c r="R19" s="121">
        <v>19334</v>
      </c>
      <c r="S19" s="121">
        <v>19271</v>
      </c>
      <c r="T19" s="121">
        <v>21308</v>
      </c>
      <c r="U19" s="121">
        <v>22276</v>
      </c>
      <c r="V19" s="23">
        <v>24178</v>
      </c>
      <c r="W19" s="23">
        <v>26028</v>
      </c>
      <c r="X19" s="23">
        <v>26833</v>
      </c>
      <c r="Y19" s="23">
        <v>26193</v>
      </c>
      <c r="Z19" s="23">
        <v>28039</v>
      </c>
      <c r="AA19" s="23">
        <v>30095</v>
      </c>
      <c r="AB19" s="122">
        <v>28975</v>
      </c>
      <c r="AC19" s="122">
        <v>30753</v>
      </c>
      <c r="AD19" s="122">
        <v>30195</v>
      </c>
      <c r="AE19" s="122">
        <v>32242</v>
      </c>
      <c r="AF19" s="23"/>
      <c r="AG19" s="121">
        <v>9069</v>
      </c>
      <c r="AH19" s="23">
        <f>+M19-AG19</f>
        <v>9526</v>
      </c>
      <c r="AI19" s="121">
        <v>9761</v>
      </c>
      <c r="AJ19" s="23">
        <f>+N19-AI19</f>
        <v>10637</v>
      </c>
      <c r="AK19" s="121">
        <v>9822</v>
      </c>
      <c r="AL19" s="23">
        <f>+O19-AK19</f>
        <v>9903</v>
      </c>
      <c r="AM19" s="121">
        <v>9635</v>
      </c>
      <c r="AN19" s="23">
        <f>+P19-AM19</f>
        <v>9790</v>
      </c>
      <c r="AO19" s="121">
        <v>9998</v>
      </c>
      <c r="AP19" s="23">
        <f>+Q19-AO19</f>
        <v>10040</v>
      </c>
      <c r="AQ19" s="121"/>
      <c r="AR19" s="23"/>
      <c r="AS19" s="121"/>
      <c r="AT19" s="23"/>
      <c r="AU19" s="121"/>
      <c r="AV19" s="23"/>
      <c r="AW19" s="23"/>
      <c r="AX19" s="121"/>
      <c r="AY19" s="121"/>
      <c r="AZ19" s="121"/>
      <c r="BA19" s="121"/>
      <c r="BB19" s="121"/>
      <c r="BC19" s="23"/>
      <c r="BD19" s="121"/>
      <c r="BE19" s="121"/>
      <c r="BF19" s="23"/>
      <c r="BG19" s="121"/>
      <c r="BH19" s="23"/>
      <c r="BI19" s="121"/>
      <c r="BJ19" s="121"/>
      <c r="BK19" s="23"/>
      <c r="BL19" s="121"/>
      <c r="BM19" s="23"/>
      <c r="BN19" s="121"/>
      <c r="BO19" s="121"/>
      <c r="BP19" s="23"/>
      <c r="BQ19" s="121"/>
      <c r="BR19" s="23"/>
      <c r="BS19" s="23"/>
      <c r="BT19" s="121"/>
      <c r="BU19" s="23"/>
      <c r="BV19" s="121"/>
      <c r="BW19" s="23"/>
      <c r="BX19" s="23"/>
      <c r="BY19" s="121"/>
      <c r="BZ19" s="23"/>
      <c r="CA19" s="23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23"/>
      <c r="CN19" s="23"/>
      <c r="CO19" s="23"/>
    </row>
    <row r="20" spans="1:93">
      <c r="A20" s="23"/>
      <c r="B20" s="23" t="s">
        <v>176</v>
      </c>
      <c r="C20" s="23" t="s">
        <v>175</v>
      </c>
      <c r="D20" s="121"/>
      <c r="E20" s="121">
        <v>3843</v>
      </c>
      <c r="F20" s="121">
        <v>3694</v>
      </c>
      <c r="G20" s="121">
        <v>3507</v>
      </c>
      <c r="H20" s="121">
        <v>3467</v>
      </c>
      <c r="I20" s="121">
        <v>3491</v>
      </c>
      <c r="J20" s="121">
        <v>3255</v>
      </c>
      <c r="K20" s="121">
        <v>2985</v>
      </c>
      <c r="L20" s="121">
        <v>2879</v>
      </c>
      <c r="M20" s="121">
        <v>3515</v>
      </c>
      <c r="N20" s="121">
        <v>3461</v>
      </c>
      <c r="O20" s="121">
        <v>3105</v>
      </c>
      <c r="P20" s="121">
        <v>3000</v>
      </c>
      <c r="Q20" s="121">
        <v>3573</v>
      </c>
      <c r="R20" s="121">
        <v>3511</v>
      </c>
      <c r="S20" s="121">
        <v>3344</v>
      </c>
      <c r="T20" s="121">
        <v>3761</v>
      </c>
      <c r="U20" s="121">
        <v>4142</v>
      </c>
      <c r="V20" s="23">
        <v>4457</v>
      </c>
      <c r="W20" s="23">
        <v>3905</v>
      </c>
      <c r="X20" s="23">
        <v>4513</v>
      </c>
      <c r="Y20" s="23">
        <v>4406</v>
      </c>
      <c r="Z20" s="23">
        <v>4749</v>
      </c>
      <c r="AA20" s="23">
        <v>3704</v>
      </c>
      <c r="AB20" s="122">
        <v>4159</v>
      </c>
      <c r="AC20" s="122">
        <v>4285</v>
      </c>
      <c r="AD20" s="122">
        <v>4281</v>
      </c>
      <c r="AE20" s="122">
        <v>5947</v>
      </c>
      <c r="AF20" s="23"/>
      <c r="AG20" s="121"/>
      <c r="AH20" s="23"/>
      <c r="AI20" s="121"/>
      <c r="AJ20" s="23"/>
      <c r="AK20" s="121"/>
      <c r="AL20" s="23"/>
      <c r="AM20" s="121"/>
      <c r="AN20" s="23"/>
      <c r="AO20" s="121"/>
      <c r="AP20" s="23"/>
      <c r="AQ20" s="121"/>
      <c r="AR20" s="23"/>
      <c r="AS20" s="121"/>
      <c r="AT20" s="23"/>
      <c r="AU20" s="121"/>
      <c r="AV20" s="23"/>
      <c r="AW20" s="23"/>
      <c r="AX20" s="121"/>
      <c r="AY20" s="121"/>
      <c r="AZ20" s="121"/>
      <c r="BA20" s="121"/>
      <c r="BB20" s="121"/>
      <c r="BC20" s="23"/>
      <c r="BD20" s="121"/>
      <c r="BE20" s="121"/>
      <c r="BF20" s="23"/>
      <c r="BG20" s="121"/>
      <c r="BH20" s="23"/>
      <c r="BI20" s="121"/>
      <c r="BJ20" s="121"/>
      <c r="BK20" s="23"/>
      <c r="BL20" s="121"/>
      <c r="BM20" s="23"/>
      <c r="BN20" s="121"/>
      <c r="BO20" s="121"/>
      <c r="BP20" s="23"/>
      <c r="BQ20" s="121"/>
      <c r="BR20" s="23"/>
      <c r="BS20" s="23"/>
      <c r="BT20" s="121"/>
      <c r="BU20" s="23"/>
      <c r="BV20" s="121"/>
      <c r="BW20" s="23"/>
      <c r="BX20" s="23"/>
      <c r="BY20" s="121"/>
      <c r="BZ20" s="23"/>
      <c r="CA20" s="23"/>
      <c r="CB20" s="121"/>
      <c r="CC20" s="121"/>
      <c r="CD20" s="121"/>
      <c r="CE20" s="121"/>
      <c r="CF20" s="121"/>
      <c r="CG20" s="121"/>
      <c r="CH20" s="121"/>
      <c r="CI20" s="121"/>
      <c r="CJ20" s="121"/>
      <c r="CK20" s="121"/>
      <c r="CL20" s="121"/>
      <c r="CM20" s="23"/>
      <c r="CN20" s="23"/>
      <c r="CO20" s="23"/>
    </row>
    <row r="21" spans="1:93">
      <c r="A21" s="23"/>
      <c r="B21" s="23" t="s">
        <v>174</v>
      </c>
      <c r="C21" s="23" t="s">
        <v>173</v>
      </c>
      <c r="D21" s="121"/>
      <c r="E21" s="121">
        <v>31505</v>
      </c>
      <c r="F21" s="121">
        <v>33941</v>
      </c>
      <c r="G21" s="121">
        <v>37567</v>
      </c>
      <c r="H21" s="121">
        <v>43781</v>
      </c>
      <c r="I21" s="121">
        <v>48765</v>
      </c>
      <c r="J21" s="121">
        <v>52634</v>
      </c>
      <c r="K21" s="121">
        <v>46492</v>
      </c>
      <c r="L21" s="121">
        <v>48291</v>
      </c>
      <c r="M21" s="121">
        <v>49317</v>
      </c>
      <c r="N21" s="121">
        <v>54846</v>
      </c>
      <c r="O21" s="121">
        <v>54988</v>
      </c>
      <c r="P21" s="121">
        <v>54441</v>
      </c>
      <c r="Q21" s="121">
        <v>45135</v>
      </c>
      <c r="R21" s="121">
        <v>46915</v>
      </c>
      <c r="S21" s="121">
        <v>48231</v>
      </c>
      <c r="T21" s="121">
        <v>49984</v>
      </c>
      <c r="U21" s="121">
        <v>54693</v>
      </c>
      <c r="V21" s="23">
        <v>62398</v>
      </c>
      <c r="W21" s="23">
        <v>60433</v>
      </c>
      <c r="X21" s="23">
        <v>61686</v>
      </c>
      <c r="Y21" s="23">
        <v>63302</v>
      </c>
      <c r="Z21" s="23">
        <v>66288</v>
      </c>
      <c r="AA21" s="23">
        <v>67427</v>
      </c>
      <c r="AB21" s="122">
        <v>70471</v>
      </c>
      <c r="AC21" s="122">
        <v>71509</v>
      </c>
      <c r="AD21" s="122">
        <v>3550</v>
      </c>
      <c r="AE21" s="122">
        <v>4593</v>
      </c>
      <c r="AF21" s="23"/>
      <c r="AG21" s="121">
        <v>22459</v>
      </c>
      <c r="AH21" s="23">
        <f>+M21-AG21</f>
        <v>26858</v>
      </c>
      <c r="AI21" s="121">
        <v>24973</v>
      </c>
      <c r="AJ21" s="23">
        <f>+N21-AI21</f>
        <v>29873</v>
      </c>
      <c r="AK21" s="121">
        <v>26067</v>
      </c>
      <c r="AL21" s="23">
        <f>+O21-AK21</f>
        <v>28921</v>
      </c>
      <c r="AM21" s="121">
        <v>26499</v>
      </c>
      <c r="AN21" s="23">
        <f>+P21-AM21</f>
        <v>27942</v>
      </c>
      <c r="AO21" s="121">
        <v>21188</v>
      </c>
      <c r="AP21" s="23">
        <f>+Q21-AO21</f>
        <v>23947</v>
      </c>
      <c r="AQ21" s="121"/>
      <c r="AR21" s="23"/>
      <c r="AS21" s="121"/>
      <c r="AT21" s="23"/>
      <c r="AU21" s="121"/>
      <c r="AV21" s="23"/>
      <c r="AW21" s="23"/>
      <c r="AX21" s="121"/>
      <c r="AY21" s="121"/>
      <c r="AZ21" s="121"/>
      <c r="BA21" s="121"/>
      <c r="BB21" s="121"/>
      <c r="BC21" s="23"/>
      <c r="BD21" s="121"/>
      <c r="BE21" s="121"/>
      <c r="BF21" s="23"/>
      <c r="BG21" s="121"/>
      <c r="BH21" s="23"/>
      <c r="BI21" s="121"/>
      <c r="BJ21" s="121"/>
      <c r="BK21" s="23"/>
      <c r="BL21" s="121"/>
      <c r="BM21" s="23"/>
      <c r="BN21" s="121"/>
      <c r="BO21" s="121"/>
      <c r="BP21" s="23"/>
      <c r="BQ21" s="121"/>
      <c r="BR21" s="23"/>
      <c r="BS21" s="23"/>
      <c r="BT21" s="121"/>
      <c r="BU21" s="23"/>
      <c r="BV21" s="121"/>
      <c r="BW21" s="23"/>
      <c r="BX21" s="23"/>
      <c r="BY21" s="121"/>
      <c r="BZ21" s="23"/>
      <c r="CA21" s="23"/>
      <c r="CB21" s="121"/>
      <c r="CC21" s="121"/>
      <c r="CD21" s="121"/>
      <c r="CE21" s="121"/>
      <c r="CF21" s="121"/>
      <c r="CG21" s="121"/>
      <c r="CH21" s="121"/>
      <c r="CI21" s="121"/>
      <c r="CJ21" s="121"/>
      <c r="CK21" s="121"/>
      <c r="CL21" s="121"/>
      <c r="CM21" s="23"/>
      <c r="CN21" s="23"/>
      <c r="CO21" s="23"/>
    </row>
    <row r="22" spans="1:93">
      <c r="A22" s="23"/>
      <c r="B22" s="23" t="s">
        <v>172</v>
      </c>
      <c r="C22" s="23" t="s">
        <v>171</v>
      </c>
      <c r="D22" s="121"/>
      <c r="E22" s="121">
        <v>7654</v>
      </c>
      <c r="F22" s="121">
        <v>6987</v>
      </c>
      <c r="G22" s="121">
        <v>6978</v>
      </c>
      <c r="H22" s="121">
        <v>8125</v>
      </c>
      <c r="I22" s="121">
        <v>8361</v>
      </c>
      <c r="J22" s="121">
        <v>9294</v>
      </c>
      <c r="K22" s="121">
        <v>9432</v>
      </c>
      <c r="L22" s="121">
        <v>8655</v>
      </c>
      <c r="M22" s="121">
        <v>8147</v>
      </c>
      <c r="N22" s="121">
        <v>7594</v>
      </c>
      <c r="O22" s="121">
        <v>8337</v>
      </c>
      <c r="P22" s="121">
        <v>8379</v>
      </c>
      <c r="Q22" s="121">
        <v>9379</v>
      </c>
      <c r="R22" s="121">
        <v>9366</v>
      </c>
      <c r="S22" s="121">
        <v>8550</v>
      </c>
      <c r="T22" s="121">
        <f>5048+2006+1218+154+26</f>
        <v>8452</v>
      </c>
      <c r="U22" s="121">
        <f>5473+2163+1269+198+38</f>
        <v>9141</v>
      </c>
      <c r="V22" s="23">
        <f>6062+2235+1133+173+52</f>
        <v>9655</v>
      </c>
      <c r="W22" s="23">
        <f>6245+1819+1012+47+46</f>
        <v>9169</v>
      </c>
      <c r="X22" s="23">
        <f>6455+2322+957+160+36</f>
        <v>9930</v>
      </c>
      <c r="Y22" s="23">
        <f>6259+2360+187+33+1052</f>
        <v>9891</v>
      </c>
      <c r="Z22" s="23">
        <f>6243+1889+1080+65+35</f>
        <v>9312</v>
      </c>
      <c r="AA22" s="23">
        <f>6212+1917+1065+73+34</f>
        <v>9301</v>
      </c>
      <c r="AB22" s="23">
        <f>6279+2171+1085+136+32</f>
        <v>9703</v>
      </c>
      <c r="AC22" s="23">
        <f>6274+2543+1210+217+25</f>
        <v>10269</v>
      </c>
      <c r="AD22" s="23">
        <f>6487+2161+1162+130+20</f>
        <v>9960</v>
      </c>
      <c r="AE22" s="23">
        <f>6752+2097+1150+111+21</f>
        <v>10131</v>
      </c>
      <c r="AF22" s="23"/>
      <c r="AG22" s="121"/>
      <c r="AH22" s="23"/>
      <c r="AI22" s="121"/>
      <c r="AJ22" s="23"/>
      <c r="AK22" s="121"/>
      <c r="AL22" s="23"/>
      <c r="AM22" s="121"/>
      <c r="AN22" s="23"/>
      <c r="AO22" s="121"/>
      <c r="AP22" s="23"/>
      <c r="AQ22" s="121"/>
      <c r="AR22" s="23"/>
      <c r="AS22" s="121"/>
      <c r="AT22" s="23"/>
      <c r="AU22" s="121"/>
      <c r="AV22" s="23"/>
      <c r="AW22" s="23"/>
      <c r="AX22" s="121"/>
      <c r="AY22" s="121"/>
      <c r="AZ22" s="121"/>
      <c r="BA22" s="121"/>
      <c r="BB22" s="121"/>
      <c r="BC22" s="23"/>
      <c r="BD22" s="121"/>
      <c r="BE22" s="121"/>
      <c r="BF22" s="23"/>
      <c r="BG22" s="121"/>
      <c r="BH22" s="23"/>
      <c r="BI22" s="121"/>
      <c r="BJ22" s="121"/>
      <c r="BK22" s="23"/>
      <c r="BL22" s="121"/>
      <c r="BM22" s="23"/>
      <c r="BN22" s="121"/>
      <c r="BO22" s="121"/>
      <c r="BP22" s="23"/>
      <c r="BQ22" s="121"/>
      <c r="BR22" s="23"/>
      <c r="BS22" s="23"/>
      <c r="BT22" s="121"/>
      <c r="BU22" s="23"/>
      <c r="BV22" s="121"/>
      <c r="BW22" s="23"/>
      <c r="BX22" s="23"/>
      <c r="BY22" s="121"/>
      <c r="BZ22" s="23"/>
      <c r="CA22" s="23"/>
      <c r="CB22" s="121"/>
      <c r="CC22" s="121"/>
      <c r="CD22" s="121"/>
      <c r="CE22" s="121"/>
      <c r="CF22" s="121"/>
      <c r="CG22" s="121"/>
      <c r="CH22" s="121"/>
      <c r="CI22" s="121"/>
      <c r="CJ22" s="121"/>
      <c r="CK22" s="121"/>
      <c r="CL22" s="121"/>
      <c r="CM22" s="23"/>
      <c r="CN22" s="23"/>
      <c r="CO22" s="23"/>
    </row>
    <row r="23" spans="1:93">
      <c r="A23" s="23"/>
      <c r="B23" s="23" t="s">
        <v>876</v>
      </c>
      <c r="C23" s="23" t="s">
        <v>169</v>
      </c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121"/>
      <c r="AH23" s="23"/>
      <c r="AI23" s="121"/>
      <c r="AJ23" s="23"/>
      <c r="AK23" s="121"/>
      <c r="AL23" s="23"/>
      <c r="AM23" s="121"/>
      <c r="AN23" s="23"/>
      <c r="AO23" s="121"/>
      <c r="AP23" s="23"/>
      <c r="AQ23" s="121"/>
      <c r="AR23" s="23"/>
      <c r="AS23" s="121"/>
      <c r="AT23" s="23"/>
      <c r="AU23" s="121"/>
      <c r="AV23" s="23"/>
      <c r="AW23" s="23"/>
      <c r="AX23" s="121"/>
      <c r="AY23" s="121"/>
      <c r="AZ23" s="121"/>
      <c r="BA23" s="121"/>
      <c r="BB23" s="121"/>
      <c r="BC23" s="23"/>
      <c r="BD23" s="121"/>
      <c r="BE23" s="121"/>
      <c r="BF23" s="23"/>
      <c r="BG23" s="121"/>
      <c r="BH23" s="23"/>
      <c r="BI23" s="121"/>
      <c r="BJ23" s="121"/>
      <c r="BK23" s="23"/>
      <c r="BL23" s="121"/>
      <c r="BM23" s="23"/>
      <c r="BN23" s="121"/>
      <c r="BO23" s="121"/>
      <c r="BP23" s="23"/>
      <c r="BQ23" s="121"/>
      <c r="BR23" s="23"/>
      <c r="BS23" s="23"/>
      <c r="BT23" s="121"/>
      <c r="BU23" s="23"/>
      <c r="BV23" s="121"/>
      <c r="BW23" s="23"/>
      <c r="BX23" s="23"/>
      <c r="BY23" s="121"/>
      <c r="BZ23" s="23"/>
      <c r="CA23" s="23"/>
      <c r="CB23" s="121"/>
      <c r="CC23" s="121"/>
      <c r="CD23" s="121"/>
      <c r="CE23" s="121"/>
      <c r="CF23" s="121"/>
      <c r="CG23" s="121"/>
      <c r="CH23" s="121"/>
      <c r="CI23" s="121"/>
      <c r="CJ23" s="121"/>
      <c r="CK23" s="121"/>
      <c r="CL23" s="121"/>
      <c r="CM23" s="23"/>
      <c r="CN23" s="23"/>
      <c r="CO23" s="23"/>
    </row>
    <row r="24" spans="1:93">
      <c r="A24" s="23"/>
      <c r="B24" s="23" t="s">
        <v>168</v>
      </c>
      <c r="C24" s="23" t="s">
        <v>167</v>
      </c>
      <c r="D24" s="23"/>
      <c r="E24" s="23">
        <f t="shared" ref="E24:U24" si="18">-E25-SUM(E19:E22)</f>
        <v>8972</v>
      </c>
      <c r="F24" s="23">
        <f t="shared" si="18"/>
        <v>9655</v>
      </c>
      <c r="G24" s="23">
        <f t="shared" si="18"/>
        <v>8653</v>
      </c>
      <c r="H24" s="23">
        <f t="shared" si="18"/>
        <v>8362</v>
      </c>
      <c r="I24" s="23">
        <f t="shared" si="18"/>
        <v>9489</v>
      </c>
      <c r="J24" s="23">
        <f t="shared" si="18"/>
        <v>9295</v>
      </c>
      <c r="K24" s="23">
        <f t="shared" si="18"/>
        <v>9321</v>
      </c>
      <c r="L24" s="23">
        <f t="shared" si="18"/>
        <v>9390</v>
      </c>
      <c r="M24" s="23">
        <f t="shared" si="18"/>
        <v>9968</v>
      </c>
      <c r="N24" s="23">
        <f t="shared" si="18"/>
        <v>11539</v>
      </c>
      <c r="O24" s="23">
        <f t="shared" si="18"/>
        <v>10265</v>
      </c>
      <c r="P24" s="23">
        <f t="shared" si="18"/>
        <v>10114</v>
      </c>
      <c r="Q24" s="23">
        <f t="shared" si="18"/>
        <v>10339</v>
      </c>
      <c r="R24" s="23">
        <f t="shared" si="18"/>
        <v>9622</v>
      </c>
      <c r="S24" s="23">
        <f t="shared" si="18"/>
        <v>9586</v>
      </c>
      <c r="T24" s="23">
        <f t="shared" si="18"/>
        <v>9358</v>
      </c>
      <c r="U24" s="23">
        <f t="shared" si="18"/>
        <v>9743</v>
      </c>
      <c r="V24" s="23">
        <f t="shared" ref="V24:AA24" si="19">-V25-SUM(V19:V22)</f>
        <v>10726</v>
      </c>
      <c r="W24" s="23">
        <f t="shared" si="19"/>
        <v>11724</v>
      </c>
      <c r="X24" s="23">
        <f t="shared" si="19"/>
        <v>11510</v>
      </c>
      <c r="Y24" s="23">
        <f t="shared" si="19"/>
        <v>11707</v>
      </c>
      <c r="Z24" s="23">
        <f t="shared" si="19"/>
        <v>11766</v>
      </c>
      <c r="AA24" s="23">
        <f t="shared" si="19"/>
        <v>12121</v>
      </c>
      <c r="AB24" s="23">
        <f t="shared" ref="AB24:AC24" si="20">-AB25-SUM(AB19:AB22)</f>
        <v>12463</v>
      </c>
      <c r="AC24" s="23">
        <f t="shared" si="20"/>
        <v>11974</v>
      </c>
      <c r="AD24" s="23">
        <f t="shared" ref="AD24:AE24" si="21">-AD25-SUM(AD19:AD22)</f>
        <v>12794</v>
      </c>
      <c r="AE24" s="23">
        <f t="shared" si="21"/>
        <v>14799</v>
      </c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121"/>
      <c r="CC24" s="121"/>
      <c r="CD24" s="121"/>
      <c r="CE24" s="121"/>
      <c r="CF24" s="121"/>
      <c r="CG24" s="121"/>
      <c r="CH24" s="121"/>
      <c r="CI24" s="121"/>
      <c r="CJ24" s="121"/>
      <c r="CK24" s="121"/>
      <c r="CL24" s="121"/>
      <c r="CM24" s="121"/>
      <c r="CN24" s="23"/>
      <c r="CO24" s="23"/>
    </row>
    <row r="25" spans="1:93">
      <c r="A25" s="114"/>
      <c r="B25" s="124" t="s">
        <v>875</v>
      </c>
      <c r="C25" s="124" t="s">
        <v>179</v>
      </c>
      <c r="D25" s="125"/>
      <c r="E25" s="125">
        <v>-67341</v>
      </c>
      <c r="F25" s="125">
        <v>-70173</v>
      </c>
      <c r="G25" s="125">
        <v>-71362</v>
      </c>
      <c r="H25" s="125">
        <v>-80579</v>
      </c>
      <c r="I25" s="125">
        <v>-88287</v>
      </c>
      <c r="J25" s="125">
        <v>-93779</v>
      </c>
      <c r="K25" s="125">
        <v>-87127</v>
      </c>
      <c r="L25" s="125">
        <v>-87900</v>
      </c>
      <c r="M25" s="125">
        <v>-89542</v>
      </c>
      <c r="N25" s="125">
        <v>-97838</v>
      </c>
      <c r="O25" s="125">
        <v>-96420</v>
      </c>
      <c r="P25" s="125">
        <v>-95359</v>
      </c>
      <c r="Q25" s="125">
        <v>-88464</v>
      </c>
      <c r="R25" s="125">
        <v>-88748</v>
      </c>
      <c r="S25" s="125">
        <v>-88982</v>
      </c>
      <c r="T25" s="125">
        <v>-92863</v>
      </c>
      <c r="U25" s="125">
        <v>-99995</v>
      </c>
      <c r="V25" s="124">
        <v>-111414</v>
      </c>
      <c r="W25" s="124">
        <v>-111259</v>
      </c>
      <c r="X25" s="124">
        <v>-114472</v>
      </c>
      <c r="Y25" s="124">
        <v>-115499</v>
      </c>
      <c r="Z25" s="124">
        <v>-120154</v>
      </c>
      <c r="AA25" s="124">
        <v>-122648</v>
      </c>
      <c r="AB25" s="126">
        <v>-125771</v>
      </c>
      <c r="AC25" s="126">
        <v>-128790</v>
      </c>
      <c r="AD25" s="126">
        <v>-60780</v>
      </c>
      <c r="AE25" s="126">
        <v>-67712</v>
      </c>
      <c r="AF25" s="114"/>
      <c r="AG25" s="125">
        <v>-42292</v>
      </c>
      <c r="AH25" s="124">
        <f>+M25-AG25</f>
        <v>-47250</v>
      </c>
      <c r="AI25" s="125">
        <v>-45713</v>
      </c>
      <c r="AJ25" s="124">
        <f>+N25-AI25</f>
        <v>-52125</v>
      </c>
      <c r="AK25" s="125">
        <v>-46591</v>
      </c>
      <c r="AL25" s="124">
        <f>+O25-AK25</f>
        <v>-49829</v>
      </c>
      <c r="AM25" s="125">
        <v>-46609</v>
      </c>
      <c r="AN25" s="124">
        <f>+P25-AM25</f>
        <v>-48750</v>
      </c>
      <c r="AO25" s="125">
        <v>-42182</v>
      </c>
      <c r="AP25" s="124">
        <f>+Q25-AO25</f>
        <v>-46282</v>
      </c>
      <c r="AQ25" s="125">
        <v>-41573</v>
      </c>
      <c r="AR25" s="124">
        <f>+R25-AQ25</f>
        <v>-47175</v>
      </c>
      <c r="AS25" s="125">
        <v>-42409</v>
      </c>
      <c r="AT25" s="124">
        <f>+S25-AS25</f>
        <v>-46573</v>
      </c>
      <c r="AU25" s="125">
        <v>-45858</v>
      </c>
      <c r="AV25" s="124">
        <f>+T25-AU25</f>
        <v>-47005</v>
      </c>
      <c r="AW25" s="114"/>
      <c r="AX25" s="125"/>
      <c r="AY25" s="125"/>
      <c r="AZ25" s="125"/>
      <c r="BA25" s="125"/>
      <c r="BB25" s="125">
        <v>-20606</v>
      </c>
      <c r="BC25" s="124">
        <f>+AO25-BB25</f>
        <v>-21576</v>
      </c>
      <c r="BD25" s="125">
        <v>-22507</v>
      </c>
      <c r="BE25" s="125"/>
      <c r="BF25" s="124">
        <f>+AP25-BD25</f>
        <v>-23775</v>
      </c>
      <c r="BG25" s="125">
        <v>-20522</v>
      </c>
      <c r="BH25" s="124">
        <f>+AQ25-BG25</f>
        <v>-21051</v>
      </c>
      <c r="BI25" s="125">
        <v>-24983</v>
      </c>
      <c r="BJ25" s="125"/>
      <c r="BK25" s="124">
        <f>+AR25-BI25</f>
        <v>-22192</v>
      </c>
      <c r="BL25" s="125">
        <v>-20947</v>
      </c>
      <c r="BM25" s="124">
        <f>+AS25-BL25</f>
        <v>-21462</v>
      </c>
      <c r="BN25" s="125">
        <v>-24781</v>
      </c>
      <c r="BO25" s="125"/>
      <c r="BP25" s="124">
        <f>+AT25-BN25</f>
        <v>-21792</v>
      </c>
      <c r="BQ25" s="125">
        <v>-20942</v>
      </c>
      <c r="BR25" s="124">
        <f>+AU25-BQ25</f>
        <v>-24916</v>
      </c>
      <c r="BS25" s="124">
        <f>+BT25-AU25</f>
        <v>-23576</v>
      </c>
      <c r="BT25" s="125">
        <v>-69434</v>
      </c>
      <c r="BU25" s="124">
        <f>+AV25-BS25</f>
        <v>-23429</v>
      </c>
      <c r="BV25" s="125">
        <v>-22196</v>
      </c>
      <c r="BW25" s="124"/>
      <c r="BX25" s="124"/>
      <c r="BY25" s="125"/>
      <c r="BZ25" s="124"/>
      <c r="CA25" s="114"/>
      <c r="CB25" s="124"/>
      <c r="CC25" s="124"/>
      <c r="CD25" s="124"/>
      <c r="CE25" s="124"/>
      <c r="CF25" s="124"/>
      <c r="CG25" s="124"/>
      <c r="CH25" s="124"/>
      <c r="CI25" s="124"/>
      <c r="CJ25" s="124"/>
      <c r="CK25" s="124"/>
      <c r="CL25" s="124"/>
      <c r="CM25" s="124"/>
      <c r="CN25" s="124"/>
      <c r="CO25" s="114"/>
    </row>
    <row r="26" spans="1:9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121"/>
      <c r="CC26" s="121"/>
      <c r="CD26" s="121"/>
      <c r="CE26" s="121"/>
      <c r="CF26" s="121"/>
      <c r="CG26" s="121"/>
      <c r="CH26" s="121"/>
      <c r="CI26" s="121"/>
      <c r="CJ26" s="121"/>
      <c r="CK26" s="121"/>
      <c r="CL26" s="121"/>
      <c r="CM26" s="23"/>
      <c r="CN26" s="23"/>
      <c r="CO26" s="23"/>
    </row>
    <row r="27" spans="1:93">
      <c r="A27" s="114"/>
      <c r="B27" s="114" t="s">
        <v>874</v>
      </c>
      <c r="C27" s="114" t="s">
        <v>873</v>
      </c>
      <c r="D27" s="114"/>
      <c r="E27" s="114">
        <v>-1</v>
      </c>
      <c r="F27" s="114"/>
      <c r="G27" s="114">
        <v>-1</v>
      </c>
      <c r="H27" s="114">
        <v>-1</v>
      </c>
      <c r="I27" s="114">
        <v>-1</v>
      </c>
      <c r="J27" s="114"/>
      <c r="K27" s="114">
        <v>-1</v>
      </c>
      <c r="L27" s="114">
        <v>-1</v>
      </c>
      <c r="M27" s="114">
        <v>-1</v>
      </c>
      <c r="N27" s="114">
        <v>-1</v>
      </c>
      <c r="O27" s="114">
        <v>-1</v>
      </c>
      <c r="P27" s="114">
        <v>-1</v>
      </c>
      <c r="Q27" s="114">
        <v>-1</v>
      </c>
      <c r="R27" s="114">
        <v>-1</v>
      </c>
      <c r="S27" s="114"/>
      <c r="T27" s="114">
        <v>-1</v>
      </c>
      <c r="U27" s="114">
        <v>-1</v>
      </c>
      <c r="V27" s="114">
        <v>-1</v>
      </c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  <c r="BP27" s="114"/>
      <c r="BQ27" s="114"/>
      <c r="BR27" s="114"/>
      <c r="BS27" s="114"/>
      <c r="BT27" s="114"/>
      <c r="BU27" s="114"/>
      <c r="BV27" s="114"/>
      <c r="BW27" s="114"/>
      <c r="BX27" s="114"/>
      <c r="BY27" s="114"/>
      <c r="BZ27" s="114"/>
      <c r="CA27" s="114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4"/>
      <c r="CN27" s="114"/>
      <c r="CO27" s="114"/>
    </row>
    <row r="28" spans="1:9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121"/>
      <c r="CC28" s="121"/>
      <c r="CD28" s="121"/>
      <c r="CE28" s="121"/>
      <c r="CF28" s="121"/>
      <c r="CG28" s="121"/>
      <c r="CH28" s="121"/>
      <c r="CI28" s="121"/>
      <c r="CJ28" s="121"/>
      <c r="CK28" s="121"/>
      <c r="CL28" s="121"/>
      <c r="CM28" s="23"/>
      <c r="CN28" s="23"/>
      <c r="CO28" s="23"/>
    </row>
    <row r="29" spans="1:93">
      <c r="A29" s="114"/>
      <c r="B29" s="124" t="s">
        <v>4</v>
      </c>
      <c r="C29" s="124" t="s">
        <v>4</v>
      </c>
      <c r="D29" s="124"/>
      <c r="E29" s="124">
        <f t="shared" ref="E29:V29" si="22">E35-E33</f>
        <v>10491</v>
      </c>
      <c r="F29" s="124">
        <f t="shared" si="22"/>
        <v>9498</v>
      </c>
      <c r="G29" s="124">
        <f t="shared" si="22"/>
        <v>12948</v>
      </c>
      <c r="H29" s="124">
        <f t="shared" si="22"/>
        <v>16882</v>
      </c>
      <c r="I29" s="124">
        <f t="shared" si="22"/>
        <v>17184</v>
      </c>
      <c r="J29" s="124">
        <f t="shared" si="22"/>
        <v>17425</v>
      </c>
      <c r="K29" s="124">
        <f t="shared" si="22"/>
        <v>20449</v>
      </c>
      <c r="L29" s="124">
        <f t="shared" si="22"/>
        <v>19783</v>
      </c>
      <c r="M29" s="124">
        <f t="shared" si="22"/>
        <v>21419</v>
      </c>
      <c r="N29" s="124">
        <f t="shared" si="22"/>
        <v>21374</v>
      </c>
      <c r="O29" s="124">
        <f t="shared" si="22"/>
        <v>28535</v>
      </c>
      <c r="P29" s="124">
        <f t="shared" si="22"/>
        <v>28820</v>
      </c>
      <c r="Q29" s="124">
        <f t="shared" si="22"/>
        <v>33623</v>
      </c>
      <c r="R29" s="124">
        <f t="shared" si="22"/>
        <v>40129</v>
      </c>
      <c r="S29" s="124">
        <f t="shared" si="22"/>
        <v>36495</v>
      </c>
      <c r="T29" s="124">
        <f t="shared" si="22"/>
        <v>35740</v>
      </c>
      <c r="U29" s="124">
        <f t="shared" si="22"/>
        <v>40718</v>
      </c>
      <c r="V29" s="124">
        <f t="shared" si="22"/>
        <v>41360</v>
      </c>
      <c r="W29" s="124">
        <f t="shared" ref="W29:X29" si="23">W35-W33</f>
        <v>36758</v>
      </c>
      <c r="X29" s="124">
        <f t="shared" si="23"/>
        <v>39540</v>
      </c>
      <c r="Y29" s="124">
        <f t="shared" ref="Y29" si="24">Y35-Y33</f>
        <v>41432</v>
      </c>
      <c r="Z29" s="124">
        <f t="shared" ref="Z29:AE29" si="25">Z35-Z33</f>
        <v>38953</v>
      </c>
      <c r="AA29" s="124">
        <f t="shared" si="25"/>
        <v>37503</v>
      </c>
      <c r="AB29" s="124">
        <f t="shared" si="25"/>
        <v>43128</v>
      </c>
      <c r="AC29" s="124">
        <f t="shared" si="25"/>
        <v>51469</v>
      </c>
      <c r="AD29" s="124">
        <f t="shared" si="25"/>
        <v>45011</v>
      </c>
      <c r="AE29" s="124">
        <f t="shared" si="25"/>
        <v>56329</v>
      </c>
      <c r="AF29" s="11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14"/>
      <c r="AX29" s="124"/>
      <c r="AY29" s="124"/>
      <c r="AZ29" s="124"/>
      <c r="BA29" s="124"/>
      <c r="BB29" s="124"/>
      <c r="BC29" s="124"/>
      <c r="BD29" s="124"/>
      <c r="BE29" s="125"/>
      <c r="BF29" s="124"/>
      <c r="BG29" s="124"/>
      <c r="BH29" s="124"/>
      <c r="BI29" s="124"/>
      <c r="BJ29" s="125"/>
      <c r="BK29" s="124"/>
      <c r="BL29" s="124"/>
      <c r="BM29" s="124"/>
      <c r="BN29" s="124"/>
      <c r="BO29" s="125"/>
      <c r="BP29" s="124"/>
      <c r="BQ29" s="124"/>
      <c r="BR29" s="124"/>
      <c r="BS29" s="124"/>
      <c r="BT29" s="124"/>
      <c r="BU29" s="124"/>
      <c r="BV29" s="124"/>
      <c r="BW29" s="124"/>
      <c r="BX29" s="124"/>
      <c r="BY29" s="125"/>
      <c r="BZ29" s="124"/>
      <c r="CA29" s="114"/>
      <c r="CB29" s="124"/>
      <c r="CC29" s="124"/>
      <c r="CD29" s="124"/>
      <c r="CE29" s="124"/>
      <c r="CF29" s="124"/>
      <c r="CG29" s="124"/>
      <c r="CH29" s="124"/>
      <c r="CI29" s="124"/>
      <c r="CJ29" s="124"/>
      <c r="CK29" s="124"/>
      <c r="CL29" s="124"/>
      <c r="CM29" s="125"/>
      <c r="CN29" s="124"/>
      <c r="CO29" s="114"/>
    </row>
    <row r="30" spans="1:9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121"/>
      <c r="CC30" s="121"/>
      <c r="CD30" s="121"/>
      <c r="CE30" s="121"/>
      <c r="CF30" s="121"/>
      <c r="CG30" s="121"/>
      <c r="CH30" s="121"/>
      <c r="CI30" s="121"/>
      <c r="CJ30" s="121"/>
      <c r="CK30" s="121"/>
      <c r="CL30" s="121"/>
      <c r="CM30" s="23"/>
      <c r="CN30" s="23"/>
      <c r="CO30" s="23"/>
    </row>
    <row r="31" spans="1:93">
      <c r="A31" s="114"/>
      <c r="B31" s="114" t="s">
        <v>170</v>
      </c>
      <c r="C31" s="127" t="s">
        <v>71</v>
      </c>
      <c r="D31" s="115"/>
      <c r="E31" s="115">
        <v>-792</v>
      </c>
      <c r="F31" s="115">
        <v>-733</v>
      </c>
      <c r="G31" s="115">
        <v>-806</v>
      </c>
      <c r="H31" s="115">
        <v>-891</v>
      </c>
      <c r="I31" s="115">
        <v>-888</v>
      </c>
      <c r="J31" s="115">
        <v>-927</v>
      </c>
      <c r="K31" s="115">
        <v>-1054</v>
      </c>
      <c r="L31" s="115">
        <v>-1139</v>
      </c>
      <c r="M31" s="115">
        <v>-1174</v>
      </c>
      <c r="N31" s="115">
        <v>-1439</v>
      </c>
      <c r="O31" s="115">
        <v>-8901</v>
      </c>
      <c r="P31" s="115">
        <v>-8560</v>
      </c>
      <c r="Q31" s="115">
        <v>-8606</v>
      </c>
      <c r="R31" s="115">
        <v>-8957</v>
      </c>
      <c r="S31" s="115">
        <v>-10633</v>
      </c>
      <c r="T31" s="115">
        <v>-10206</v>
      </c>
      <c r="U31" s="115">
        <v>-10945</v>
      </c>
      <c r="V31" s="114">
        <v>-10615</v>
      </c>
      <c r="W31" s="114">
        <v>-11608</v>
      </c>
      <c r="X31" s="114">
        <v>-11226</v>
      </c>
      <c r="Y31" s="114">
        <v>-11946</v>
      </c>
      <c r="Z31" s="114">
        <v>-12301</v>
      </c>
      <c r="AA31" s="114">
        <v>-13842</v>
      </c>
      <c r="AB31" s="116">
        <v>-14780</v>
      </c>
      <c r="AC31" s="116">
        <v>-15009</v>
      </c>
      <c r="AD31" s="116">
        <v>-15274</v>
      </c>
      <c r="AE31" s="116">
        <v>-15999</v>
      </c>
      <c r="AF31" s="114"/>
      <c r="AG31" s="115"/>
      <c r="AH31" s="114"/>
      <c r="AI31" s="115"/>
      <c r="AJ31" s="114"/>
      <c r="AK31" s="115"/>
      <c r="AL31" s="114"/>
      <c r="AM31" s="115"/>
      <c r="AN31" s="114"/>
      <c r="AO31" s="115"/>
      <c r="AP31" s="114"/>
      <c r="AQ31" s="115"/>
      <c r="AR31" s="114"/>
      <c r="AS31" s="115"/>
      <c r="AT31" s="114"/>
      <c r="AU31" s="115"/>
      <c r="AV31" s="114"/>
      <c r="AW31" s="114"/>
      <c r="AX31" s="115"/>
      <c r="AY31" s="115"/>
      <c r="AZ31" s="115"/>
      <c r="BA31" s="115"/>
      <c r="BB31" s="115"/>
      <c r="BC31" s="114"/>
      <c r="BD31" s="115"/>
      <c r="BE31" s="115"/>
      <c r="BF31" s="114"/>
      <c r="BG31" s="115"/>
      <c r="BH31" s="114"/>
      <c r="BI31" s="115"/>
      <c r="BJ31" s="115"/>
      <c r="BK31" s="114"/>
      <c r="BL31" s="115"/>
      <c r="BM31" s="114"/>
      <c r="BN31" s="115"/>
      <c r="BO31" s="115"/>
      <c r="BP31" s="114"/>
      <c r="BQ31" s="115"/>
      <c r="BR31" s="114"/>
      <c r="BS31" s="114"/>
      <c r="BT31" s="115"/>
      <c r="BU31" s="114"/>
      <c r="BV31" s="115"/>
      <c r="BW31" s="114"/>
      <c r="BX31" s="114"/>
      <c r="BY31" s="115"/>
      <c r="BZ31" s="114"/>
      <c r="CA31" s="114"/>
      <c r="CB31" s="114"/>
      <c r="CC31" s="114"/>
      <c r="CD31" s="114"/>
      <c r="CE31" s="114"/>
      <c r="CF31" s="114"/>
      <c r="CG31" s="114"/>
      <c r="CH31" s="114"/>
      <c r="CI31" s="115"/>
      <c r="CJ31" s="115"/>
      <c r="CK31" s="115"/>
      <c r="CL31" s="115"/>
      <c r="CM31" s="115"/>
      <c r="CN31" s="114"/>
      <c r="CO31" s="114"/>
    </row>
    <row r="32" spans="1:93">
      <c r="A32" s="114"/>
      <c r="B32" s="114" t="s">
        <v>273</v>
      </c>
      <c r="C32" s="127" t="s">
        <v>149</v>
      </c>
      <c r="D32" s="115"/>
      <c r="E32" s="115">
        <v>0</v>
      </c>
      <c r="F32" s="115">
        <v>0</v>
      </c>
      <c r="G32" s="115">
        <v>0</v>
      </c>
      <c r="H32" s="115">
        <v>0</v>
      </c>
      <c r="I32" s="115">
        <v>0</v>
      </c>
      <c r="J32" s="115">
        <v>0</v>
      </c>
      <c r="K32" s="115">
        <v>0</v>
      </c>
      <c r="L32" s="115">
        <v>0</v>
      </c>
      <c r="M32" s="115">
        <v>0</v>
      </c>
      <c r="N32" s="115">
        <v>0</v>
      </c>
      <c r="O32" s="115">
        <v>-64</v>
      </c>
      <c r="P32" s="115">
        <v>-38</v>
      </c>
      <c r="Q32" s="115">
        <v>-39</v>
      </c>
      <c r="R32" s="115">
        <v>-51</v>
      </c>
      <c r="S32" s="115">
        <v>-51</v>
      </c>
      <c r="T32" s="115">
        <v>-20</v>
      </c>
      <c r="U32" s="115">
        <v>-150</v>
      </c>
      <c r="V32" s="115">
        <v>-150</v>
      </c>
      <c r="W32" s="114">
        <v>-75</v>
      </c>
      <c r="X32" s="114"/>
      <c r="Y32" s="114"/>
      <c r="Z32" s="114"/>
      <c r="AA32" s="114"/>
      <c r="AB32" s="114"/>
      <c r="AC32" s="114"/>
      <c r="AD32" s="114"/>
      <c r="AE32" s="114"/>
      <c r="AF32" s="114"/>
      <c r="AG32" s="115"/>
      <c r="AH32" s="114"/>
      <c r="AI32" s="115"/>
      <c r="AJ32" s="114"/>
      <c r="AK32" s="115"/>
      <c r="AL32" s="114"/>
      <c r="AM32" s="115"/>
      <c r="AN32" s="114"/>
      <c r="AO32" s="115"/>
      <c r="AP32" s="114"/>
      <c r="AQ32" s="115"/>
      <c r="AR32" s="114"/>
      <c r="AS32" s="115"/>
      <c r="AT32" s="114"/>
      <c r="AU32" s="115"/>
      <c r="AV32" s="114"/>
      <c r="AW32" s="114"/>
      <c r="AX32" s="115"/>
      <c r="AY32" s="115"/>
      <c r="AZ32" s="115"/>
      <c r="BA32" s="115"/>
      <c r="BB32" s="115"/>
      <c r="BC32" s="114"/>
      <c r="BD32" s="115"/>
      <c r="BE32" s="115"/>
      <c r="BF32" s="114"/>
      <c r="BG32" s="115"/>
      <c r="BH32" s="114"/>
      <c r="BI32" s="115"/>
      <c r="BJ32" s="115"/>
      <c r="BK32" s="114"/>
      <c r="BL32" s="115"/>
      <c r="BM32" s="114"/>
      <c r="BN32" s="115"/>
      <c r="BO32" s="115"/>
      <c r="BP32" s="114"/>
      <c r="BQ32" s="115"/>
      <c r="BR32" s="114"/>
      <c r="BS32" s="114"/>
      <c r="BT32" s="115"/>
      <c r="BU32" s="114"/>
      <c r="BV32" s="115"/>
      <c r="BW32" s="114"/>
      <c r="BX32" s="114"/>
      <c r="BY32" s="115"/>
      <c r="BZ32" s="114"/>
      <c r="CA32" s="114"/>
      <c r="CB32" s="128"/>
      <c r="CC32" s="128"/>
      <c r="CD32" s="128"/>
      <c r="CE32" s="128"/>
      <c r="CF32" s="128"/>
      <c r="CG32" s="128"/>
      <c r="CH32" s="128"/>
      <c r="CI32" s="128"/>
      <c r="CJ32" s="128"/>
      <c r="CK32" s="128"/>
      <c r="CL32" s="128"/>
      <c r="CM32" s="129"/>
      <c r="CN32" s="129"/>
      <c r="CO32" s="114"/>
    </row>
    <row r="33" spans="1:93">
      <c r="A33" s="114"/>
      <c r="B33" s="124" t="s">
        <v>872</v>
      </c>
      <c r="C33" s="124" t="s">
        <v>871</v>
      </c>
      <c r="D33" s="124"/>
      <c r="E33" s="124">
        <f t="shared" ref="E33:V33" si="26">SUM(E31:E32)</f>
        <v>-792</v>
      </c>
      <c r="F33" s="124">
        <f t="shared" si="26"/>
        <v>-733</v>
      </c>
      <c r="G33" s="124">
        <f t="shared" si="26"/>
        <v>-806</v>
      </c>
      <c r="H33" s="124">
        <f t="shared" si="26"/>
        <v>-891</v>
      </c>
      <c r="I33" s="124">
        <f t="shared" si="26"/>
        <v>-888</v>
      </c>
      <c r="J33" s="124">
        <f t="shared" si="26"/>
        <v>-927</v>
      </c>
      <c r="K33" s="124">
        <f t="shared" si="26"/>
        <v>-1054</v>
      </c>
      <c r="L33" s="124">
        <f t="shared" si="26"/>
        <v>-1139</v>
      </c>
      <c r="M33" s="124">
        <f t="shared" si="26"/>
        <v>-1174</v>
      </c>
      <c r="N33" s="124">
        <f t="shared" si="26"/>
        <v>-1439</v>
      </c>
      <c r="O33" s="124">
        <f t="shared" si="26"/>
        <v>-8965</v>
      </c>
      <c r="P33" s="124">
        <f t="shared" si="26"/>
        <v>-8598</v>
      </c>
      <c r="Q33" s="124">
        <f t="shared" si="26"/>
        <v>-8645</v>
      </c>
      <c r="R33" s="124">
        <f t="shared" si="26"/>
        <v>-9008</v>
      </c>
      <c r="S33" s="124">
        <f t="shared" si="26"/>
        <v>-10684</v>
      </c>
      <c r="T33" s="124">
        <f t="shared" si="26"/>
        <v>-10226</v>
      </c>
      <c r="U33" s="124">
        <f t="shared" si="26"/>
        <v>-11095</v>
      </c>
      <c r="V33" s="124">
        <f t="shared" si="26"/>
        <v>-10765</v>
      </c>
      <c r="W33" s="124">
        <f t="shared" ref="W33:X33" si="27">SUM(W31:W32)</f>
        <v>-11683</v>
      </c>
      <c r="X33" s="124">
        <f t="shared" si="27"/>
        <v>-11226</v>
      </c>
      <c r="Y33" s="124">
        <f t="shared" ref="Y33:Z33" si="28">SUM(Y31:Y32)</f>
        <v>-11946</v>
      </c>
      <c r="Z33" s="124">
        <f t="shared" si="28"/>
        <v>-12301</v>
      </c>
      <c r="AA33" s="124">
        <f t="shared" ref="AA33:AB33" si="29">SUM(AA31:AA32)</f>
        <v>-13842</v>
      </c>
      <c r="AB33" s="124">
        <f t="shared" si="29"/>
        <v>-14780</v>
      </c>
      <c r="AC33" s="124">
        <f t="shared" ref="AC33:AD33" si="30">SUM(AC31:AC32)</f>
        <v>-15009</v>
      </c>
      <c r="AD33" s="124">
        <f t="shared" si="30"/>
        <v>-15274</v>
      </c>
      <c r="AE33" s="124">
        <f t="shared" ref="AE33" si="31">SUM(AE31:AE32)</f>
        <v>-15999</v>
      </c>
      <c r="AF33" s="11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1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14"/>
      <c r="CB33" s="124"/>
      <c r="CC33" s="124"/>
      <c r="CD33" s="124"/>
      <c r="CE33" s="124"/>
      <c r="CF33" s="124"/>
      <c r="CG33" s="124"/>
      <c r="CH33" s="124"/>
      <c r="CI33" s="114"/>
      <c r="CJ33" s="114"/>
      <c r="CK33" s="114"/>
      <c r="CL33" s="114"/>
      <c r="CM33" s="114"/>
      <c r="CN33" s="124"/>
      <c r="CO33" s="114"/>
    </row>
    <row r="34" spans="1:9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121"/>
      <c r="CC34" s="121"/>
      <c r="CD34" s="121"/>
      <c r="CE34" s="121"/>
      <c r="CF34" s="121"/>
      <c r="CG34" s="121"/>
      <c r="CH34" s="121"/>
      <c r="CI34" s="121"/>
      <c r="CJ34" s="121"/>
      <c r="CK34" s="121"/>
      <c r="CL34" s="121"/>
      <c r="CM34" s="23"/>
      <c r="CN34" s="23"/>
      <c r="CO34" s="23"/>
    </row>
    <row r="35" spans="1:93">
      <c r="A35" s="114"/>
      <c r="B35" s="124" t="s">
        <v>625</v>
      </c>
      <c r="C35" s="124" t="s">
        <v>625</v>
      </c>
      <c r="D35" s="124"/>
      <c r="E35" s="125">
        <v>9699</v>
      </c>
      <c r="F35" s="125">
        <v>8765</v>
      </c>
      <c r="G35" s="125">
        <v>12142</v>
      </c>
      <c r="H35" s="125">
        <v>15991</v>
      </c>
      <c r="I35" s="125">
        <v>16296</v>
      </c>
      <c r="J35" s="125">
        <v>16498</v>
      </c>
      <c r="K35" s="125">
        <v>19395</v>
      </c>
      <c r="L35" s="125">
        <v>18644</v>
      </c>
      <c r="M35" s="125">
        <v>20245</v>
      </c>
      <c r="N35" s="125">
        <v>19935</v>
      </c>
      <c r="O35" s="125">
        <v>19570</v>
      </c>
      <c r="P35" s="125">
        <v>20222</v>
      </c>
      <c r="Q35" s="125">
        <v>24978</v>
      </c>
      <c r="R35" s="125">
        <v>31121</v>
      </c>
      <c r="S35" s="125">
        <v>25811</v>
      </c>
      <c r="T35" s="125">
        <v>25514</v>
      </c>
      <c r="U35" s="125">
        <v>29623</v>
      </c>
      <c r="V35" s="124">
        <v>30595</v>
      </c>
      <c r="W35" s="124">
        <v>25075</v>
      </c>
      <c r="X35" s="124">
        <v>28314</v>
      </c>
      <c r="Y35" s="124">
        <v>29486</v>
      </c>
      <c r="Z35" s="124">
        <v>26652</v>
      </c>
      <c r="AA35" s="124">
        <v>23661</v>
      </c>
      <c r="AB35" s="126">
        <v>28348</v>
      </c>
      <c r="AC35" s="126">
        <v>36460</v>
      </c>
      <c r="AD35" s="126">
        <v>29737</v>
      </c>
      <c r="AE35" s="126">
        <v>40330</v>
      </c>
      <c r="AF35" s="114"/>
      <c r="AG35" s="125">
        <v>8710</v>
      </c>
      <c r="AH35" s="124">
        <f>+M35-AG35</f>
        <v>11535</v>
      </c>
      <c r="AI35" s="125">
        <v>9499</v>
      </c>
      <c r="AJ35" s="124">
        <f>+N35-AI35</f>
        <v>10436</v>
      </c>
      <c r="AK35" s="125">
        <v>8973</v>
      </c>
      <c r="AL35" s="124">
        <f>+O35-AK35</f>
        <v>10597</v>
      </c>
      <c r="AM35" s="125">
        <v>9098</v>
      </c>
      <c r="AN35" s="124">
        <f>+P35-AM35</f>
        <v>11124</v>
      </c>
      <c r="AO35" s="125">
        <v>13002</v>
      </c>
      <c r="AP35" s="124">
        <f>+Q35-AO35</f>
        <v>11976</v>
      </c>
      <c r="AQ35" s="125">
        <v>15891</v>
      </c>
      <c r="AR35" s="124">
        <f>+R35-AQ35</f>
        <v>15230</v>
      </c>
      <c r="AS35" s="125">
        <v>12454</v>
      </c>
      <c r="AT35" s="124">
        <f>+S35-AS35</f>
        <v>13357</v>
      </c>
      <c r="AU35" s="125">
        <v>11216</v>
      </c>
      <c r="AV35" s="124">
        <f>+T35-AU35</f>
        <v>14298</v>
      </c>
      <c r="AW35" s="114"/>
      <c r="AX35" s="124"/>
      <c r="AY35" s="124"/>
      <c r="AZ35" s="124"/>
      <c r="BA35" s="124"/>
      <c r="BB35" s="125">
        <v>7244</v>
      </c>
      <c r="BC35" s="125">
        <f>+AO35-BB35</f>
        <v>5758</v>
      </c>
      <c r="BD35" s="125">
        <v>3734</v>
      </c>
      <c r="BE35" s="125"/>
      <c r="BF35" s="125">
        <f>+AP35-BD35</f>
        <v>8242</v>
      </c>
      <c r="BG35" s="125">
        <v>8331</v>
      </c>
      <c r="BH35" s="125">
        <f>+AQ35-BG35</f>
        <v>7560</v>
      </c>
      <c r="BI35" s="125">
        <v>10503</v>
      </c>
      <c r="BJ35" s="125"/>
      <c r="BK35" s="125">
        <f>+AR35-BI35</f>
        <v>4727</v>
      </c>
      <c r="BL35" s="125">
        <v>6900</v>
      </c>
      <c r="BM35" s="125">
        <f>+AS35-BL35</f>
        <v>5554</v>
      </c>
      <c r="BN35" s="125">
        <v>8105</v>
      </c>
      <c r="BO35" s="125"/>
      <c r="BP35" s="125">
        <f>+AT35-BN35</f>
        <v>5252</v>
      </c>
      <c r="BQ35" s="125">
        <v>6396</v>
      </c>
      <c r="BR35" s="125">
        <f>+AU35-BQ35</f>
        <v>4820</v>
      </c>
      <c r="BS35" s="125">
        <f>+BT35-AU35</f>
        <v>8310</v>
      </c>
      <c r="BT35" s="125">
        <v>19526</v>
      </c>
      <c r="BU35" s="125">
        <f>+AV35-BS35</f>
        <v>5988</v>
      </c>
      <c r="BV35" s="125">
        <v>6782</v>
      </c>
      <c r="BW35" s="125"/>
      <c r="BX35" s="125"/>
      <c r="BY35" s="125"/>
      <c r="BZ35" s="125"/>
      <c r="CA35" s="114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>
        <v>27000</v>
      </c>
      <c r="CO35" s="114"/>
    </row>
    <row r="36" spans="1:93" ht="12">
      <c r="A36" s="117"/>
      <c r="B36" s="117" t="s">
        <v>626</v>
      </c>
      <c r="C36" s="118"/>
      <c r="D36" s="117"/>
      <c r="E36" s="117">
        <f>Model!E36-E35</f>
        <v>0</v>
      </c>
      <c r="F36" s="117">
        <f>Model!F36-F35</f>
        <v>0</v>
      </c>
      <c r="G36" s="117">
        <f>Model!G36-G35</f>
        <v>0</v>
      </c>
      <c r="H36" s="117">
        <f>Model!H36-H35</f>
        <v>0</v>
      </c>
      <c r="I36" s="117">
        <f>Model!I36-I35</f>
        <v>0</v>
      </c>
      <c r="J36" s="117">
        <f>Model!J36-J35</f>
        <v>0</v>
      </c>
      <c r="K36" s="117">
        <f>Model!K36-K35</f>
        <v>0</v>
      </c>
      <c r="L36" s="117">
        <f>Model!L36-L35</f>
        <v>0</v>
      </c>
      <c r="M36" s="117">
        <f>Model!M36-M35</f>
        <v>0</v>
      </c>
      <c r="N36" s="117">
        <f>Model!N36-N35</f>
        <v>0</v>
      </c>
      <c r="O36" s="117">
        <f>Model!O36-O35</f>
        <v>0</v>
      </c>
      <c r="P36" s="117">
        <f>Model!P36-P35</f>
        <v>0</v>
      </c>
      <c r="Q36" s="117">
        <f>Model!Q36-Q35</f>
        <v>0</v>
      </c>
      <c r="R36" s="117">
        <f>Model!R36-R35</f>
        <v>0</v>
      </c>
      <c r="S36" s="117">
        <f>Model!S36-S35</f>
        <v>0</v>
      </c>
      <c r="T36" s="117">
        <f>Model!T36-T35</f>
        <v>0</v>
      </c>
      <c r="U36" s="117">
        <f>Model!U36-U35</f>
        <v>0</v>
      </c>
      <c r="V36" s="117">
        <f>Model!V36-V35</f>
        <v>0</v>
      </c>
      <c r="W36" s="117">
        <f>Model!W36-W35</f>
        <v>1</v>
      </c>
      <c r="X36" s="117">
        <f>Model!X36-X35</f>
        <v>0</v>
      </c>
      <c r="Y36" s="117">
        <f>Model!Y36-Y35</f>
        <v>1</v>
      </c>
      <c r="Z36" s="117">
        <f>Model!Z36-Z35</f>
        <v>1</v>
      </c>
      <c r="AA36" s="117">
        <f>Model!AA36-AA35</f>
        <v>1</v>
      </c>
      <c r="AB36" s="119">
        <f>Model!AB36-AB35</f>
        <v>1</v>
      </c>
      <c r="AC36" s="119">
        <f>Model!AC36-AC35</f>
        <v>0</v>
      </c>
      <c r="AD36" s="119">
        <f>Model!AD36-AD35</f>
        <v>1</v>
      </c>
      <c r="AE36" s="119">
        <f>Model!AE36-AE35</f>
        <v>0</v>
      </c>
      <c r="AF36" s="117"/>
      <c r="AG36" s="117"/>
      <c r="AH36" s="119"/>
      <c r="AI36" s="117"/>
      <c r="AJ36" s="119"/>
      <c r="AK36" s="117"/>
      <c r="AL36" s="119"/>
      <c r="AM36" s="117"/>
      <c r="AN36" s="119"/>
      <c r="AO36" s="117"/>
      <c r="AP36" s="119"/>
      <c r="AQ36" s="117"/>
      <c r="AR36" s="119"/>
      <c r="AS36" s="117"/>
      <c r="AT36" s="119"/>
      <c r="AU36" s="117"/>
      <c r="AV36" s="119"/>
      <c r="AW36" s="117"/>
      <c r="AX36" s="117"/>
      <c r="AY36" s="117"/>
      <c r="AZ36" s="117"/>
      <c r="BA36" s="117"/>
      <c r="BB36" s="117"/>
      <c r="BC36" s="119"/>
      <c r="BD36" s="117"/>
      <c r="BE36" s="117"/>
      <c r="BF36" s="119"/>
      <c r="BG36" s="117"/>
      <c r="BH36" s="119"/>
      <c r="BI36" s="117"/>
      <c r="BJ36" s="117"/>
      <c r="BK36" s="119"/>
      <c r="BL36" s="117"/>
      <c r="BM36" s="119"/>
      <c r="BN36" s="117"/>
      <c r="BO36" s="117"/>
      <c r="BP36" s="119"/>
      <c r="BQ36" s="117"/>
      <c r="BR36" s="119"/>
      <c r="BS36" s="119"/>
      <c r="BT36" s="117"/>
      <c r="BU36" s="119"/>
      <c r="BV36" s="117"/>
      <c r="BW36" s="119"/>
      <c r="BX36" s="119"/>
      <c r="BY36" s="117"/>
      <c r="BZ36" s="119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</row>
    <row r="37" spans="1:9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61">
        <f t="shared" ref="X37:Z37" si="32">+X35/X9</f>
        <v>7.3873657625314393E-2</v>
      </c>
      <c r="Y37" s="61">
        <f t="shared" si="32"/>
        <v>7.7051724948912659E-2</v>
      </c>
      <c r="Z37" s="61">
        <f t="shared" si="32"/>
        <v>6.8549911650552853E-2</v>
      </c>
      <c r="AA37" s="61">
        <f t="shared" ref="AA37:AB37" si="33">+AA35/AA9</f>
        <v>5.8995571779067682E-2</v>
      </c>
      <c r="AB37" s="61">
        <f t="shared" si="33"/>
        <v>6.8139153091957089E-2</v>
      </c>
      <c r="AC37" s="61">
        <f>+AC35/AC9</f>
        <v>8.7327040485160864E-2</v>
      </c>
      <c r="AD37" s="61">
        <f t="shared" ref="AD37:AE37" si="34">+AD35/AD9</f>
        <v>8.2261165437972864E-2</v>
      </c>
      <c r="AE37" s="61">
        <f t="shared" si="34"/>
        <v>9.2545423671251487E-2</v>
      </c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121"/>
      <c r="CC37" s="121"/>
      <c r="CD37" s="121"/>
      <c r="CE37" s="121"/>
      <c r="CF37" s="121"/>
      <c r="CG37" s="121"/>
      <c r="CH37" s="121"/>
      <c r="CI37" s="121"/>
      <c r="CJ37" s="121"/>
      <c r="CK37" s="121"/>
      <c r="CL37" s="121"/>
      <c r="CM37" s="121"/>
      <c r="CN37" s="23"/>
      <c r="CO37" s="23"/>
    </row>
    <row r="38" spans="1:93">
      <c r="A38" s="23"/>
      <c r="B38" s="23" t="s">
        <v>870</v>
      </c>
      <c r="C38" s="23" t="s">
        <v>252</v>
      </c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>
        <v>705</v>
      </c>
      <c r="R38" s="121">
        <v>347</v>
      </c>
      <c r="S38" s="121">
        <v>141</v>
      </c>
      <c r="T38" s="121">
        <v>169</v>
      </c>
      <c r="U38" s="121">
        <v>285</v>
      </c>
      <c r="V38" s="23">
        <v>267</v>
      </c>
      <c r="W38" s="23">
        <v>336</v>
      </c>
      <c r="X38" s="23">
        <v>452</v>
      </c>
      <c r="Y38" s="23">
        <v>846</v>
      </c>
      <c r="Z38" s="23">
        <v>1080</v>
      </c>
      <c r="AA38" s="23">
        <v>1715</v>
      </c>
      <c r="AB38" s="122">
        <v>1956</v>
      </c>
      <c r="AC38" s="122">
        <v>996</v>
      </c>
      <c r="AD38" s="122">
        <v>385</v>
      </c>
      <c r="AE38" s="122">
        <v>2239</v>
      </c>
      <c r="AF38" s="23"/>
      <c r="AG38" s="121"/>
      <c r="AH38" s="23"/>
      <c r="AI38" s="121"/>
      <c r="AJ38" s="23"/>
      <c r="AK38" s="121"/>
      <c r="AL38" s="23"/>
      <c r="AM38" s="121"/>
      <c r="AN38" s="23"/>
      <c r="AO38" s="121"/>
      <c r="AP38" s="23"/>
      <c r="AQ38" s="121"/>
      <c r="AR38" s="23"/>
      <c r="AS38" s="121"/>
      <c r="AT38" s="23"/>
      <c r="AU38" s="121"/>
      <c r="AV38" s="23"/>
      <c r="AW38" s="23"/>
      <c r="AX38" s="121"/>
      <c r="AY38" s="121"/>
      <c r="AZ38" s="121"/>
      <c r="BA38" s="121"/>
      <c r="BB38" s="121"/>
      <c r="BC38" s="23"/>
      <c r="BD38" s="121"/>
      <c r="BE38" s="121"/>
      <c r="BF38" s="23"/>
      <c r="BG38" s="121"/>
      <c r="BH38" s="23"/>
      <c r="BI38" s="121"/>
      <c r="BJ38" s="121"/>
      <c r="BK38" s="23"/>
      <c r="BL38" s="121"/>
      <c r="BM38" s="23"/>
      <c r="BN38" s="121"/>
      <c r="BO38" s="121"/>
      <c r="BP38" s="23"/>
      <c r="BQ38" s="121"/>
      <c r="BR38" s="23"/>
      <c r="BS38" s="23"/>
      <c r="BT38" s="121"/>
      <c r="BU38" s="23"/>
      <c r="BV38" s="121"/>
      <c r="BW38" s="23"/>
      <c r="BX38" s="23"/>
      <c r="BY38" s="121"/>
      <c r="BZ38" s="23"/>
      <c r="CA38" s="23"/>
      <c r="CB38" s="121"/>
      <c r="CC38" s="121"/>
      <c r="CD38" s="121"/>
      <c r="CE38" s="121"/>
      <c r="CF38" s="121"/>
      <c r="CG38" s="121"/>
      <c r="CH38" s="121"/>
      <c r="CI38" s="121"/>
      <c r="CJ38" s="121"/>
      <c r="CK38" s="121"/>
      <c r="CL38" s="121"/>
      <c r="CM38" s="23"/>
      <c r="CN38" s="23"/>
      <c r="CO38" s="23"/>
    </row>
    <row r="39" spans="1:93">
      <c r="A39" s="114"/>
      <c r="B39" s="23" t="s">
        <v>869</v>
      </c>
      <c r="C39" s="23" t="s">
        <v>43</v>
      </c>
      <c r="D39" s="115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>
        <v>367</v>
      </c>
      <c r="V39" s="114">
        <v>334</v>
      </c>
      <c r="W39" s="114">
        <v>364</v>
      </c>
      <c r="X39" s="114">
        <v>382</v>
      </c>
      <c r="Y39" s="114">
        <v>433</v>
      </c>
      <c r="Z39" s="114">
        <v>448</v>
      </c>
      <c r="AA39" s="114">
        <v>470</v>
      </c>
      <c r="AB39" s="116">
        <v>502</v>
      </c>
      <c r="AC39" s="116">
        <v>504</v>
      </c>
      <c r="AD39" s="116">
        <v>532</v>
      </c>
      <c r="AE39" s="116">
        <v>596</v>
      </c>
      <c r="AF39" s="114"/>
      <c r="AG39" s="121"/>
      <c r="AH39" s="23"/>
      <c r="AI39" s="121"/>
      <c r="AJ39" s="23"/>
      <c r="AK39" s="121"/>
      <c r="AL39" s="23"/>
      <c r="AM39" s="121"/>
      <c r="AN39" s="23"/>
      <c r="AO39" s="121"/>
      <c r="AP39" s="23"/>
      <c r="AQ39" s="121"/>
      <c r="AR39" s="23"/>
      <c r="AS39" s="121"/>
      <c r="AT39" s="23"/>
      <c r="AU39" s="121"/>
      <c r="AV39" s="23"/>
      <c r="AW39" s="114"/>
      <c r="AX39" s="121"/>
      <c r="AY39" s="121"/>
      <c r="AZ39" s="121"/>
      <c r="BA39" s="121"/>
      <c r="BB39" s="121"/>
      <c r="BC39" s="23"/>
      <c r="BD39" s="121"/>
      <c r="BE39" s="121"/>
      <c r="BF39" s="23"/>
      <c r="BG39" s="121"/>
      <c r="BH39" s="23"/>
      <c r="BI39" s="121"/>
      <c r="BJ39" s="121"/>
      <c r="BK39" s="23"/>
      <c r="BL39" s="121"/>
      <c r="BM39" s="23"/>
      <c r="BN39" s="121"/>
      <c r="BO39" s="121"/>
      <c r="BP39" s="23"/>
      <c r="BQ39" s="121"/>
      <c r="BR39" s="23"/>
      <c r="BS39" s="23"/>
      <c r="BT39" s="121"/>
      <c r="BU39" s="23"/>
      <c r="BV39" s="121"/>
      <c r="BW39" s="23"/>
      <c r="BX39" s="23"/>
      <c r="BY39" s="121"/>
      <c r="BZ39" s="23"/>
      <c r="CA39" s="114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4"/>
      <c r="CN39" s="114"/>
      <c r="CO39" s="114"/>
    </row>
    <row r="40" spans="1:93">
      <c r="A40" s="23"/>
      <c r="B40" s="130" t="s">
        <v>868</v>
      </c>
      <c r="C40" s="130" t="s">
        <v>867</v>
      </c>
      <c r="D40" s="130"/>
      <c r="E40" s="131">
        <v>637</v>
      </c>
      <c r="F40" s="131">
        <v>552</v>
      </c>
      <c r="G40" s="131">
        <v>590</v>
      </c>
      <c r="H40" s="131">
        <v>667</v>
      </c>
      <c r="I40" s="131">
        <v>516</v>
      </c>
      <c r="J40" s="131">
        <v>424</v>
      </c>
      <c r="K40" s="131">
        <v>305</v>
      </c>
      <c r="L40" s="131">
        <v>288</v>
      </c>
      <c r="M40" s="131">
        <v>338</v>
      </c>
      <c r="N40" s="131">
        <v>897</v>
      </c>
      <c r="O40" s="131">
        <v>1639</v>
      </c>
      <c r="P40" s="131">
        <v>2945</v>
      </c>
      <c r="Q40" s="131">
        <v>1018</v>
      </c>
      <c r="R40" s="131">
        <v>583</v>
      </c>
      <c r="S40" s="131">
        <v>425</v>
      </c>
      <c r="T40" s="131">
        <f>169+261</f>
        <v>430</v>
      </c>
      <c r="U40" s="131">
        <f>285+367</f>
        <v>652</v>
      </c>
      <c r="V40" s="130">
        <f t="shared" ref="V40:AA40" si="35">SUM(V38:V39)</f>
        <v>601</v>
      </c>
      <c r="W40" s="130">
        <f t="shared" si="35"/>
        <v>700</v>
      </c>
      <c r="X40" s="130">
        <f t="shared" si="35"/>
        <v>834</v>
      </c>
      <c r="Y40" s="130">
        <f t="shared" si="35"/>
        <v>1279</v>
      </c>
      <c r="Z40" s="130">
        <f t="shared" si="35"/>
        <v>1528</v>
      </c>
      <c r="AA40" s="130">
        <f t="shared" si="35"/>
        <v>2185</v>
      </c>
      <c r="AB40" s="130">
        <f t="shared" ref="AB40:AC40" si="36">SUM(AB38:AB39)</f>
        <v>2458</v>
      </c>
      <c r="AC40" s="130">
        <f t="shared" si="36"/>
        <v>1500</v>
      </c>
      <c r="AD40" s="130">
        <f t="shared" ref="AD40:AE40" si="37">SUM(AD38:AD39)</f>
        <v>917</v>
      </c>
      <c r="AE40" s="130">
        <f t="shared" si="37"/>
        <v>2835</v>
      </c>
      <c r="AF40" s="23"/>
      <c r="AG40" s="131">
        <v>216</v>
      </c>
      <c r="AH40" s="130">
        <f>+M40-AG40</f>
        <v>122</v>
      </c>
      <c r="AI40" s="131">
        <v>383</v>
      </c>
      <c r="AJ40" s="130">
        <f>+N40-AI40</f>
        <v>514</v>
      </c>
      <c r="AK40" s="131">
        <v>762</v>
      </c>
      <c r="AL40" s="130">
        <f>+O40-AK40</f>
        <v>877</v>
      </c>
      <c r="AM40" s="131">
        <v>2309</v>
      </c>
      <c r="AN40" s="130">
        <f>+P40-AM40</f>
        <v>636</v>
      </c>
      <c r="AO40" s="131">
        <v>369</v>
      </c>
      <c r="AP40" s="130">
        <f>+Q40-AO40</f>
        <v>649</v>
      </c>
      <c r="AQ40" s="131">
        <v>223</v>
      </c>
      <c r="AR40" s="130">
        <f>+R40-AQ40</f>
        <v>360</v>
      </c>
      <c r="AS40" s="131">
        <v>69</v>
      </c>
      <c r="AT40" s="130">
        <f>+S40-AS40</f>
        <v>356</v>
      </c>
      <c r="AU40" s="131">
        <v>68</v>
      </c>
      <c r="AV40" s="130">
        <f>+T40-AU40</f>
        <v>362</v>
      </c>
      <c r="AW40" s="23"/>
      <c r="AX40" s="130"/>
      <c r="AY40" s="130"/>
      <c r="AZ40" s="130"/>
      <c r="BA40" s="130"/>
      <c r="BB40" s="131"/>
      <c r="BC40" s="130"/>
      <c r="BD40" s="131"/>
      <c r="BE40" s="130"/>
      <c r="BF40" s="130"/>
      <c r="BG40" s="131"/>
      <c r="BH40" s="130"/>
      <c r="BI40" s="131"/>
      <c r="BJ40" s="130"/>
      <c r="BK40" s="130"/>
      <c r="BL40" s="131"/>
      <c r="BM40" s="130"/>
      <c r="BN40" s="131"/>
      <c r="BO40" s="130"/>
      <c r="BP40" s="130"/>
      <c r="BQ40" s="131"/>
      <c r="BR40" s="130"/>
      <c r="BS40" s="130"/>
      <c r="BT40" s="131"/>
      <c r="BU40" s="130"/>
      <c r="BV40" s="131"/>
      <c r="BW40" s="130"/>
      <c r="BX40" s="130"/>
      <c r="BY40" s="130"/>
      <c r="BZ40" s="130"/>
      <c r="CA40" s="23"/>
      <c r="CB40" s="130"/>
      <c r="CC40" s="130"/>
      <c r="CD40" s="130"/>
      <c r="CE40" s="130"/>
      <c r="CF40" s="130"/>
      <c r="CG40" s="130"/>
      <c r="CH40" s="130"/>
      <c r="CI40" s="130"/>
      <c r="CJ40" s="130"/>
      <c r="CK40" s="130"/>
      <c r="CL40" s="130"/>
      <c r="CM40" s="130"/>
      <c r="CN40" s="130"/>
      <c r="CO40" s="23"/>
    </row>
    <row r="41" spans="1:93">
      <c r="A41" s="121"/>
      <c r="B41" s="132"/>
      <c r="C41" s="132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23"/>
      <c r="AC41" s="23"/>
      <c r="AD41" s="23"/>
      <c r="AE41" s="23"/>
      <c r="AF41" s="121"/>
      <c r="AG41" s="121"/>
      <c r="AH41" s="23"/>
      <c r="AI41" s="121"/>
      <c r="AJ41" s="23"/>
      <c r="AK41" s="121"/>
      <c r="AL41" s="23"/>
      <c r="AM41" s="121"/>
      <c r="AN41" s="23"/>
      <c r="AO41" s="121"/>
      <c r="AP41" s="23"/>
      <c r="AQ41" s="121"/>
      <c r="AR41" s="23"/>
      <c r="AS41" s="121"/>
      <c r="AT41" s="23"/>
      <c r="AU41" s="121"/>
      <c r="AV41" s="23"/>
      <c r="AW41" s="121"/>
      <c r="AX41" s="121"/>
      <c r="AY41" s="121"/>
      <c r="AZ41" s="121"/>
      <c r="BA41" s="121"/>
      <c r="BB41" s="121"/>
      <c r="BC41" s="23"/>
      <c r="BD41" s="121"/>
      <c r="BE41" s="121"/>
      <c r="BF41" s="23"/>
      <c r="BG41" s="121"/>
      <c r="BH41" s="23"/>
      <c r="BI41" s="121"/>
      <c r="BJ41" s="121"/>
      <c r="BK41" s="23"/>
      <c r="BL41" s="121"/>
      <c r="BM41" s="23"/>
      <c r="BN41" s="121"/>
      <c r="BO41" s="121"/>
      <c r="BP41" s="23"/>
      <c r="BQ41" s="121"/>
      <c r="BR41" s="23"/>
      <c r="BS41" s="23"/>
      <c r="BT41" s="121"/>
      <c r="BU41" s="23"/>
      <c r="BV41" s="121"/>
      <c r="BW41" s="23"/>
      <c r="BX41" s="23"/>
      <c r="BY41" s="121"/>
      <c r="BZ41" s="23"/>
      <c r="CA41" s="121"/>
      <c r="CB41" s="121"/>
      <c r="CC41" s="121"/>
      <c r="CD41" s="121"/>
      <c r="CE41" s="121"/>
      <c r="CF41" s="121"/>
      <c r="CG41" s="121"/>
      <c r="CH41" s="121"/>
      <c r="CI41" s="121"/>
      <c r="CJ41" s="121"/>
      <c r="CK41" s="121"/>
      <c r="CL41" s="121"/>
      <c r="CM41" s="23"/>
      <c r="CN41" s="23"/>
      <c r="CO41" s="121"/>
    </row>
    <row r="42" spans="1:93">
      <c r="A42" s="121"/>
      <c r="B42" s="23" t="s">
        <v>251</v>
      </c>
      <c r="C42" s="23" t="s">
        <v>250</v>
      </c>
      <c r="D42" s="121"/>
      <c r="E42" s="121">
        <v>-2600</v>
      </c>
      <c r="F42" s="121">
        <v>-2424</v>
      </c>
      <c r="G42" s="121">
        <v>-2640</v>
      </c>
      <c r="H42" s="121">
        <v>-1990</v>
      </c>
      <c r="I42" s="121">
        <v>-1993</v>
      </c>
      <c r="J42" s="121">
        <v>-1106</v>
      </c>
      <c r="K42" s="121">
        <v>-795</v>
      </c>
      <c r="L42" s="121">
        <v>-699</v>
      </c>
      <c r="M42" s="121">
        <v>-610</v>
      </c>
      <c r="N42" s="121">
        <v>-390</v>
      </c>
      <c r="O42" s="121">
        <v>-267</v>
      </c>
      <c r="P42" s="121">
        <v>-179</v>
      </c>
      <c r="Q42" s="121">
        <v>-43</v>
      </c>
      <c r="R42" s="121">
        <v>-27</v>
      </c>
      <c r="S42" s="121">
        <v>-20</v>
      </c>
      <c r="T42" s="121">
        <v>-8</v>
      </c>
      <c r="U42" s="121">
        <v>-5</v>
      </c>
      <c r="V42" s="121">
        <v>-4</v>
      </c>
      <c r="W42" s="121">
        <v>-260</v>
      </c>
      <c r="X42" s="121">
        <v>-277</v>
      </c>
      <c r="Y42" s="121">
        <v>-266</v>
      </c>
      <c r="Z42" s="121">
        <v>-259</v>
      </c>
      <c r="AA42" s="121">
        <v>-252</v>
      </c>
      <c r="AB42" s="122">
        <v>-246</v>
      </c>
      <c r="AC42" s="122">
        <v>-239</v>
      </c>
      <c r="AD42" s="122">
        <v>-231</v>
      </c>
      <c r="AE42" s="122">
        <v>-222</v>
      </c>
      <c r="AF42" s="121"/>
      <c r="AG42" s="121">
        <v>-321</v>
      </c>
      <c r="AH42" s="23">
        <f>+M42-AG42</f>
        <v>-289</v>
      </c>
      <c r="AI42" s="121">
        <v>-247</v>
      </c>
      <c r="AJ42" s="23">
        <f>+N42-AI42</f>
        <v>-143</v>
      </c>
      <c r="AK42" s="121">
        <v>-139</v>
      </c>
      <c r="AL42" s="23">
        <f>+O42-AK42</f>
        <v>-128</v>
      </c>
      <c r="AM42" s="121">
        <v>-105</v>
      </c>
      <c r="AN42" s="23">
        <f>+P42-AM42</f>
        <v>-74</v>
      </c>
      <c r="AO42" s="121">
        <v>-22</v>
      </c>
      <c r="AP42" s="23">
        <f>+Q42-AO42</f>
        <v>-21</v>
      </c>
      <c r="AQ42" s="121">
        <v>-15</v>
      </c>
      <c r="AR42" s="23">
        <f>+R42-AQ42</f>
        <v>-12</v>
      </c>
      <c r="AS42" s="121">
        <v>-10</v>
      </c>
      <c r="AT42" s="23">
        <f>+S42-AS42</f>
        <v>-10</v>
      </c>
      <c r="AU42" s="121">
        <v>-4</v>
      </c>
      <c r="AV42" s="23">
        <f>+T42-AU42</f>
        <v>-4</v>
      </c>
      <c r="AW42" s="121"/>
      <c r="AX42" s="121"/>
      <c r="AY42" s="121"/>
      <c r="AZ42" s="121"/>
      <c r="BA42" s="121"/>
      <c r="BB42" s="121"/>
      <c r="BC42" s="23"/>
      <c r="BD42" s="121"/>
      <c r="BE42" s="121"/>
      <c r="BF42" s="23"/>
      <c r="BG42" s="121"/>
      <c r="BH42" s="23"/>
      <c r="BI42" s="121"/>
      <c r="BJ42" s="121"/>
      <c r="BK42" s="23"/>
      <c r="BL42" s="121"/>
      <c r="BM42" s="23"/>
      <c r="BN42" s="121"/>
      <c r="BO42" s="121"/>
      <c r="BP42" s="23"/>
      <c r="BQ42" s="121"/>
      <c r="BR42" s="23"/>
      <c r="BS42" s="23"/>
      <c r="BT42" s="121"/>
      <c r="BU42" s="23"/>
      <c r="BV42" s="121"/>
      <c r="BW42" s="23"/>
      <c r="BX42" s="23"/>
      <c r="BY42" s="121"/>
      <c r="BZ42" s="23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23"/>
      <c r="CN42" s="23"/>
      <c r="CO42" s="121"/>
    </row>
    <row r="43" spans="1:93">
      <c r="A43" s="121"/>
      <c r="B43" s="23"/>
      <c r="C43" s="23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23"/>
      <c r="AC43" s="23"/>
      <c r="AD43" s="23"/>
      <c r="AE43" s="23"/>
      <c r="AF43" s="121"/>
      <c r="AG43" s="121"/>
      <c r="AH43" s="23"/>
      <c r="AI43" s="121"/>
      <c r="AJ43" s="23"/>
      <c r="AK43" s="121"/>
      <c r="AL43" s="23"/>
      <c r="AM43" s="121"/>
      <c r="AN43" s="23"/>
      <c r="AO43" s="121"/>
      <c r="AP43" s="23"/>
      <c r="AQ43" s="121"/>
      <c r="AR43" s="23"/>
      <c r="AS43" s="121"/>
      <c r="AT43" s="23"/>
      <c r="AU43" s="121"/>
      <c r="AV43" s="23"/>
      <c r="AW43" s="121"/>
      <c r="AX43" s="121"/>
      <c r="AY43" s="121"/>
      <c r="AZ43" s="121"/>
      <c r="BA43" s="121"/>
      <c r="BB43" s="121"/>
      <c r="BC43" s="23"/>
      <c r="BD43" s="121"/>
      <c r="BE43" s="121"/>
      <c r="BF43" s="23"/>
      <c r="BG43" s="121"/>
      <c r="BH43" s="23"/>
      <c r="BI43" s="121"/>
      <c r="BJ43" s="121"/>
      <c r="BK43" s="23"/>
      <c r="BL43" s="121"/>
      <c r="BM43" s="23"/>
      <c r="BN43" s="121"/>
      <c r="BO43" s="121"/>
      <c r="BP43" s="23"/>
      <c r="BQ43" s="121"/>
      <c r="BR43" s="23"/>
      <c r="BS43" s="23"/>
      <c r="BT43" s="121"/>
      <c r="BU43" s="23"/>
      <c r="BV43" s="121"/>
      <c r="BW43" s="23"/>
      <c r="BX43" s="23"/>
      <c r="BY43" s="121"/>
      <c r="BZ43" s="23"/>
      <c r="CA43" s="121"/>
      <c r="CB43" s="133"/>
      <c r="CC43" s="133"/>
      <c r="CD43" s="133"/>
      <c r="CE43" s="133"/>
      <c r="CF43" s="133"/>
      <c r="CG43" s="133"/>
      <c r="CH43" s="133"/>
      <c r="CI43" s="133"/>
      <c r="CJ43" s="133"/>
      <c r="CK43" s="133"/>
      <c r="CL43" s="133"/>
      <c r="CM43" s="123"/>
      <c r="CN43" s="123"/>
      <c r="CO43" s="121"/>
    </row>
    <row r="44" spans="1:93">
      <c r="A44" s="114"/>
      <c r="B44" s="124" t="s">
        <v>248</v>
      </c>
      <c r="C44" s="124" t="s">
        <v>866</v>
      </c>
      <c r="D44" s="124"/>
      <c r="E44" s="124">
        <f t="shared" ref="E44:V44" si="38">E40+E42</f>
        <v>-1963</v>
      </c>
      <c r="F44" s="124">
        <f t="shared" si="38"/>
        <v>-1872</v>
      </c>
      <c r="G44" s="124">
        <f t="shared" si="38"/>
        <v>-2050</v>
      </c>
      <c r="H44" s="124">
        <f t="shared" si="38"/>
        <v>-1323</v>
      </c>
      <c r="I44" s="124">
        <f t="shared" si="38"/>
        <v>-1477</v>
      </c>
      <c r="J44" s="124">
        <f t="shared" si="38"/>
        <v>-682</v>
      </c>
      <c r="K44" s="124">
        <f t="shared" si="38"/>
        <v>-490</v>
      </c>
      <c r="L44" s="124">
        <f t="shared" si="38"/>
        <v>-411</v>
      </c>
      <c r="M44" s="124">
        <f t="shared" si="38"/>
        <v>-272</v>
      </c>
      <c r="N44" s="124">
        <f t="shared" si="38"/>
        <v>507</v>
      </c>
      <c r="O44" s="124">
        <f t="shared" si="38"/>
        <v>1372</v>
      </c>
      <c r="P44" s="124">
        <f t="shared" si="38"/>
        <v>2766</v>
      </c>
      <c r="Q44" s="124">
        <f t="shared" si="38"/>
        <v>975</v>
      </c>
      <c r="R44" s="124">
        <f t="shared" si="38"/>
        <v>556</v>
      </c>
      <c r="S44" s="124">
        <f t="shared" si="38"/>
        <v>405</v>
      </c>
      <c r="T44" s="124">
        <f t="shared" si="38"/>
        <v>422</v>
      </c>
      <c r="U44" s="124">
        <f t="shared" si="38"/>
        <v>647</v>
      </c>
      <c r="V44" s="124">
        <f t="shared" si="38"/>
        <v>597</v>
      </c>
      <c r="W44" s="124">
        <f t="shared" ref="W44:X44" si="39">W40+W42</f>
        <v>440</v>
      </c>
      <c r="X44" s="124">
        <f t="shared" si="39"/>
        <v>557</v>
      </c>
      <c r="Y44" s="124">
        <f t="shared" ref="Y44:Z44" si="40">Y40+Y42</f>
        <v>1013</v>
      </c>
      <c r="Z44" s="124">
        <f t="shared" si="40"/>
        <v>1269</v>
      </c>
      <c r="AA44" s="124">
        <f t="shared" ref="AA44:AB44" si="41">AA40+AA42</f>
        <v>1933</v>
      </c>
      <c r="AB44" s="124">
        <f t="shared" si="41"/>
        <v>2212</v>
      </c>
      <c r="AC44" s="124">
        <f t="shared" ref="AC44:AD44" si="42">AC40+AC42</f>
        <v>1261</v>
      </c>
      <c r="AD44" s="124">
        <f t="shared" si="42"/>
        <v>686</v>
      </c>
      <c r="AE44" s="124">
        <f t="shared" ref="AE44" si="43">AE40+AE42</f>
        <v>2613</v>
      </c>
      <c r="AF44" s="114"/>
      <c r="AG44" s="124">
        <f>AG40+AG42</f>
        <v>-105</v>
      </c>
      <c r="AH44" s="124">
        <f>+M44-AG44</f>
        <v>-167</v>
      </c>
      <c r="AI44" s="124">
        <f>AI40+AI42</f>
        <v>136</v>
      </c>
      <c r="AJ44" s="124">
        <f>+N44-AI44</f>
        <v>371</v>
      </c>
      <c r="AK44" s="124">
        <f>AK40+AK42</f>
        <v>623</v>
      </c>
      <c r="AL44" s="124">
        <f>+O44-AK44</f>
        <v>749</v>
      </c>
      <c r="AM44" s="124">
        <f>AM40+AM42</f>
        <v>2204</v>
      </c>
      <c r="AN44" s="124">
        <f>+P44-AM44</f>
        <v>562</v>
      </c>
      <c r="AO44" s="124">
        <f>AO40+AO42</f>
        <v>347</v>
      </c>
      <c r="AP44" s="124">
        <f>+Q44-AO44</f>
        <v>628</v>
      </c>
      <c r="AQ44" s="124">
        <f>AQ40+AQ42</f>
        <v>208</v>
      </c>
      <c r="AR44" s="124">
        <f>+R44-AQ44</f>
        <v>348</v>
      </c>
      <c r="AS44" s="124">
        <f>AS40+AS42</f>
        <v>59</v>
      </c>
      <c r="AT44" s="124">
        <f>+S44-AS44</f>
        <v>346</v>
      </c>
      <c r="AU44" s="124">
        <f>AU40+AU42</f>
        <v>64</v>
      </c>
      <c r="AV44" s="124">
        <f>+T44-AU44</f>
        <v>358</v>
      </c>
      <c r="AW44" s="11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14"/>
      <c r="CB44" s="114"/>
      <c r="CC44" s="114"/>
      <c r="CD44" s="114"/>
      <c r="CE44" s="114"/>
      <c r="CF44" s="114"/>
      <c r="CG44" s="114"/>
      <c r="CH44" s="114"/>
      <c r="CI44" s="114"/>
      <c r="CJ44" s="114"/>
      <c r="CK44" s="114"/>
      <c r="CL44" s="114"/>
      <c r="CM44" s="114"/>
      <c r="CN44" s="114"/>
      <c r="CO44" s="114"/>
    </row>
    <row r="45" spans="1:93">
      <c r="A45" s="121"/>
      <c r="B45" s="132"/>
      <c r="C45" s="132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23"/>
      <c r="AC45" s="23"/>
      <c r="AD45" s="23"/>
      <c r="AE45" s="23"/>
      <c r="AF45" s="121"/>
      <c r="AG45" s="121"/>
      <c r="AH45" s="23"/>
      <c r="AI45" s="121"/>
      <c r="AJ45" s="23"/>
      <c r="AK45" s="121"/>
      <c r="AL45" s="23"/>
      <c r="AM45" s="121"/>
      <c r="AN45" s="23"/>
      <c r="AO45" s="121"/>
      <c r="AP45" s="23"/>
      <c r="AQ45" s="121"/>
      <c r="AR45" s="23"/>
      <c r="AS45" s="121"/>
      <c r="AT45" s="23"/>
      <c r="AU45" s="121"/>
      <c r="AV45" s="23"/>
      <c r="AW45" s="121"/>
      <c r="AX45" s="121"/>
      <c r="AY45" s="121"/>
      <c r="AZ45" s="121"/>
      <c r="BA45" s="121"/>
      <c r="BB45" s="121"/>
      <c r="BC45" s="23"/>
      <c r="BD45" s="121"/>
      <c r="BE45" s="121"/>
      <c r="BF45" s="23"/>
      <c r="BG45" s="121"/>
      <c r="BH45" s="23"/>
      <c r="BI45" s="121"/>
      <c r="BJ45" s="121"/>
      <c r="BK45" s="23"/>
      <c r="BL45" s="121"/>
      <c r="BM45" s="23"/>
      <c r="BN45" s="121"/>
      <c r="BO45" s="121"/>
      <c r="BP45" s="23"/>
      <c r="BQ45" s="121"/>
      <c r="BR45" s="23"/>
      <c r="BS45" s="23"/>
      <c r="BT45" s="121"/>
      <c r="BU45" s="23"/>
      <c r="BV45" s="121"/>
      <c r="BW45" s="23"/>
      <c r="BX45" s="23"/>
      <c r="BY45" s="121"/>
      <c r="BZ45" s="23"/>
      <c r="CA45" s="121"/>
      <c r="CB45" s="121"/>
      <c r="CC45" s="121"/>
      <c r="CD45" s="121"/>
      <c r="CE45" s="121"/>
      <c r="CF45" s="121"/>
      <c r="CG45" s="121"/>
      <c r="CH45" s="121"/>
      <c r="CI45" s="121"/>
      <c r="CJ45" s="121"/>
      <c r="CK45" s="121"/>
      <c r="CL45" s="121"/>
      <c r="CM45" s="23"/>
      <c r="CN45" s="23"/>
      <c r="CO45" s="121"/>
    </row>
    <row r="46" spans="1:93" hidden="1" outlineLevel="1">
      <c r="A46" s="23"/>
      <c r="B46" s="23"/>
      <c r="C46" s="23" t="s">
        <v>865</v>
      </c>
      <c r="D46" s="23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121"/>
      <c r="AH46" s="23"/>
      <c r="AI46" s="121"/>
      <c r="AJ46" s="23"/>
      <c r="AK46" s="121"/>
      <c r="AL46" s="23"/>
      <c r="AM46" s="121"/>
      <c r="AN46" s="23"/>
      <c r="AO46" s="121"/>
      <c r="AP46" s="23"/>
      <c r="AQ46" s="121"/>
      <c r="AR46" s="23"/>
      <c r="AS46" s="121"/>
      <c r="AT46" s="23"/>
      <c r="AU46" s="121"/>
      <c r="AV46" s="23"/>
      <c r="AW46" s="23"/>
      <c r="AX46" s="121"/>
      <c r="AY46" s="121"/>
      <c r="AZ46" s="121"/>
      <c r="BA46" s="121"/>
      <c r="BB46" s="121"/>
      <c r="BC46" s="23"/>
      <c r="BD46" s="121"/>
      <c r="BE46" s="121"/>
      <c r="BF46" s="23"/>
      <c r="BG46" s="121"/>
      <c r="BH46" s="23"/>
      <c r="BI46" s="121"/>
      <c r="BJ46" s="121"/>
      <c r="BK46" s="23"/>
      <c r="BL46" s="121"/>
      <c r="BM46" s="23"/>
      <c r="BN46" s="121"/>
      <c r="BO46" s="121"/>
      <c r="BP46" s="23"/>
      <c r="BQ46" s="121"/>
      <c r="BR46" s="23"/>
      <c r="BS46" s="23"/>
      <c r="BT46" s="121"/>
      <c r="BU46" s="23"/>
      <c r="BV46" s="121"/>
      <c r="BW46" s="23"/>
      <c r="BX46" s="23"/>
      <c r="BY46" s="121"/>
      <c r="BZ46" s="23"/>
      <c r="CA46" s="23"/>
      <c r="CB46" s="121"/>
      <c r="CC46" s="121"/>
      <c r="CD46" s="121"/>
      <c r="CE46" s="121"/>
      <c r="CF46" s="121"/>
      <c r="CG46" s="121"/>
      <c r="CH46" s="121"/>
      <c r="CI46" s="121"/>
      <c r="CJ46" s="121"/>
      <c r="CK46" s="121"/>
      <c r="CL46" s="121"/>
      <c r="CM46" s="121"/>
      <c r="CN46" s="121"/>
      <c r="CO46" s="23"/>
    </row>
    <row r="47" spans="1:93" hidden="1" outlineLevel="1">
      <c r="A47" s="23"/>
      <c r="B47" s="23"/>
      <c r="C47" s="23" t="s">
        <v>864</v>
      </c>
      <c r="D47" s="23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121"/>
      <c r="AH47" s="23"/>
      <c r="AI47" s="121"/>
      <c r="AJ47" s="23"/>
      <c r="AK47" s="121"/>
      <c r="AL47" s="23"/>
      <c r="AM47" s="121"/>
      <c r="AN47" s="23"/>
      <c r="AO47" s="121"/>
      <c r="AP47" s="23"/>
      <c r="AQ47" s="121"/>
      <c r="AR47" s="23"/>
      <c r="AS47" s="121"/>
      <c r="AT47" s="23"/>
      <c r="AU47" s="121"/>
      <c r="AV47" s="23"/>
      <c r="AW47" s="23"/>
      <c r="AX47" s="121"/>
      <c r="AY47" s="121"/>
      <c r="AZ47" s="121"/>
      <c r="BA47" s="121"/>
      <c r="BB47" s="121"/>
      <c r="BC47" s="23"/>
      <c r="BD47" s="121"/>
      <c r="BE47" s="121"/>
      <c r="BF47" s="23"/>
      <c r="BG47" s="121"/>
      <c r="BH47" s="23"/>
      <c r="BI47" s="121"/>
      <c r="BJ47" s="121"/>
      <c r="BK47" s="23"/>
      <c r="BL47" s="121"/>
      <c r="BM47" s="23"/>
      <c r="BN47" s="121"/>
      <c r="BO47" s="121"/>
      <c r="BP47" s="23"/>
      <c r="BQ47" s="121"/>
      <c r="BR47" s="23"/>
      <c r="BS47" s="23"/>
      <c r="BT47" s="121"/>
      <c r="BU47" s="23"/>
      <c r="BV47" s="121"/>
      <c r="BW47" s="23"/>
      <c r="BX47" s="23"/>
      <c r="BY47" s="121"/>
      <c r="BZ47" s="23"/>
      <c r="CA47" s="23"/>
      <c r="CB47" s="121"/>
      <c r="CC47" s="121"/>
      <c r="CD47" s="121"/>
      <c r="CE47" s="121"/>
      <c r="CF47" s="121"/>
      <c r="CG47" s="121"/>
      <c r="CH47" s="121"/>
      <c r="CI47" s="121"/>
      <c r="CJ47" s="121"/>
      <c r="CK47" s="121"/>
      <c r="CL47" s="121"/>
      <c r="CM47" s="23"/>
      <c r="CN47" s="23"/>
      <c r="CO47" s="23"/>
    </row>
    <row r="48" spans="1:93" hidden="1" outlineLevel="1">
      <c r="A48" s="23"/>
      <c r="B48" s="23"/>
      <c r="C48" s="23" t="s">
        <v>863</v>
      </c>
      <c r="D48" s="23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121"/>
      <c r="AH48" s="23"/>
      <c r="AI48" s="121"/>
      <c r="AJ48" s="23"/>
      <c r="AK48" s="121"/>
      <c r="AL48" s="23"/>
      <c r="AM48" s="121"/>
      <c r="AN48" s="23"/>
      <c r="AO48" s="121"/>
      <c r="AP48" s="23"/>
      <c r="AQ48" s="121"/>
      <c r="AR48" s="23"/>
      <c r="AS48" s="121"/>
      <c r="AT48" s="23"/>
      <c r="AU48" s="121"/>
      <c r="AV48" s="23"/>
      <c r="AW48" s="23"/>
      <c r="AX48" s="121"/>
      <c r="AY48" s="121"/>
      <c r="AZ48" s="121"/>
      <c r="BA48" s="121"/>
      <c r="BB48" s="121"/>
      <c r="BC48" s="23"/>
      <c r="BD48" s="121"/>
      <c r="BE48" s="121"/>
      <c r="BF48" s="23"/>
      <c r="BG48" s="121"/>
      <c r="BH48" s="23"/>
      <c r="BI48" s="121"/>
      <c r="BJ48" s="121"/>
      <c r="BK48" s="23"/>
      <c r="BL48" s="121"/>
      <c r="BM48" s="23"/>
      <c r="BN48" s="121"/>
      <c r="BO48" s="121"/>
      <c r="BP48" s="23"/>
      <c r="BQ48" s="121"/>
      <c r="BR48" s="23"/>
      <c r="BS48" s="23"/>
      <c r="BT48" s="121"/>
      <c r="BU48" s="23"/>
      <c r="BV48" s="121"/>
      <c r="BW48" s="23"/>
      <c r="BX48" s="23"/>
      <c r="BY48" s="121"/>
      <c r="BZ48" s="23"/>
      <c r="CA48" s="23"/>
      <c r="CB48" s="121"/>
      <c r="CC48" s="121"/>
      <c r="CD48" s="121"/>
      <c r="CE48" s="121"/>
      <c r="CF48" s="121"/>
      <c r="CG48" s="121"/>
      <c r="CH48" s="121"/>
      <c r="CI48" s="121"/>
      <c r="CJ48" s="121"/>
      <c r="CK48" s="121"/>
      <c r="CL48" s="121"/>
      <c r="CM48" s="23"/>
      <c r="CN48" s="23"/>
      <c r="CO48" s="23"/>
    </row>
    <row r="49" spans="1:93" hidden="1" outlineLevel="1">
      <c r="A49" s="23"/>
      <c r="B49" s="23"/>
      <c r="C49" s="23" t="s">
        <v>863</v>
      </c>
      <c r="D49" s="23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121"/>
      <c r="AH49" s="23"/>
      <c r="AI49" s="121"/>
      <c r="AJ49" s="23"/>
      <c r="AK49" s="121"/>
      <c r="AL49" s="23"/>
      <c r="AM49" s="121"/>
      <c r="AN49" s="23"/>
      <c r="AO49" s="121"/>
      <c r="AP49" s="23"/>
      <c r="AQ49" s="121"/>
      <c r="AR49" s="23"/>
      <c r="AS49" s="121"/>
      <c r="AT49" s="23"/>
      <c r="AU49" s="121"/>
      <c r="AV49" s="23"/>
      <c r="AW49" s="23"/>
      <c r="AX49" s="121"/>
      <c r="AY49" s="121"/>
      <c r="AZ49" s="121"/>
      <c r="BA49" s="121"/>
      <c r="BB49" s="121"/>
      <c r="BC49" s="23"/>
      <c r="BD49" s="121"/>
      <c r="BE49" s="121"/>
      <c r="BF49" s="23"/>
      <c r="BG49" s="121"/>
      <c r="BH49" s="23"/>
      <c r="BI49" s="121"/>
      <c r="BJ49" s="121"/>
      <c r="BK49" s="23"/>
      <c r="BL49" s="121"/>
      <c r="BM49" s="23"/>
      <c r="BN49" s="121"/>
      <c r="BO49" s="121"/>
      <c r="BP49" s="23"/>
      <c r="BQ49" s="121"/>
      <c r="BR49" s="23"/>
      <c r="BS49" s="23"/>
      <c r="BT49" s="121"/>
      <c r="BU49" s="23"/>
      <c r="BV49" s="121"/>
      <c r="BW49" s="23"/>
      <c r="BX49" s="23"/>
      <c r="BY49" s="121"/>
      <c r="BZ49" s="23"/>
      <c r="CA49" s="23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  <c r="CM49" s="23"/>
      <c r="CN49" s="23"/>
      <c r="CO49" s="23"/>
    </row>
    <row r="50" spans="1:93" collapsed="1">
      <c r="A50" s="114"/>
      <c r="B50" s="124" t="s">
        <v>246</v>
      </c>
      <c r="C50" s="124" t="s">
        <v>245</v>
      </c>
      <c r="D50" s="124"/>
      <c r="E50" s="124">
        <f t="shared" ref="E50:V50" si="44">SUM(E46:E49)</f>
        <v>0</v>
      </c>
      <c r="F50" s="124">
        <f t="shared" si="44"/>
        <v>0</v>
      </c>
      <c r="G50" s="124">
        <f t="shared" si="44"/>
        <v>0</v>
      </c>
      <c r="H50" s="124">
        <f t="shared" si="44"/>
        <v>0</v>
      </c>
      <c r="I50" s="124">
        <f t="shared" si="44"/>
        <v>0</v>
      </c>
      <c r="J50" s="124">
        <f t="shared" si="44"/>
        <v>0</v>
      </c>
      <c r="K50" s="124">
        <f t="shared" si="44"/>
        <v>0</v>
      </c>
      <c r="L50" s="124">
        <f t="shared" si="44"/>
        <v>0</v>
      </c>
      <c r="M50" s="124">
        <f t="shared" si="44"/>
        <v>0</v>
      </c>
      <c r="N50" s="124">
        <f t="shared" si="44"/>
        <v>0</v>
      </c>
      <c r="O50" s="124">
        <f t="shared" si="44"/>
        <v>0</v>
      </c>
      <c r="P50" s="124">
        <f t="shared" si="44"/>
        <v>0</v>
      </c>
      <c r="Q50" s="124">
        <f t="shared" si="44"/>
        <v>0</v>
      </c>
      <c r="R50" s="124">
        <f t="shared" si="44"/>
        <v>0</v>
      </c>
      <c r="S50" s="124">
        <f t="shared" si="44"/>
        <v>0</v>
      </c>
      <c r="T50" s="124">
        <f t="shared" si="44"/>
        <v>0</v>
      </c>
      <c r="U50" s="124">
        <f t="shared" si="44"/>
        <v>0</v>
      </c>
      <c r="V50" s="124">
        <f t="shared" si="44"/>
        <v>0</v>
      </c>
      <c r="W50" s="124">
        <f t="shared" ref="W50:X50" si="45">SUM(W46:W49)</f>
        <v>0</v>
      </c>
      <c r="X50" s="124">
        <f t="shared" si="45"/>
        <v>0</v>
      </c>
      <c r="Y50" s="124">
        <f t="shared" ref="Y50:Z50" si="46">SUM(Y46:Y49)</f>
        <v>0</v>
      </c>
      <c r="Z50" s="124">
        <f t="shared" si="46"/>
        <v>0</v>
      </c>
      <c r="AA50" s="124">
        <f t="shared" ref="AA50:AB50" si="47">SUM(AA46:AA49)</f>
        <v>0</v>
      </c>
      <c r="AB50" s="124">
        <f t="shared" si="47"/>
        <v>0</v>
      </c>
      <c r="AC50" s="124">
        <f t="shared" ref="AC50:AD50" si="48">SUM(AC46:AC49)</f>
        <v>0</v>
      </c>
      <c r="AD50" s="124">
        <f t="shared" si="48"/>
        <v>0</v>
      </c>
      <c r="AE50" s="124">
        <f t="shared" ref="AE50" si="49">SUM(AE46:AE49)</f>
        <v>0</v>
      </c>
      <c r="AF50" s="114"/>
      <c r="AG50" s="124">
        <f>SUM(AG46:AG49)</f>
        <v>0</v>
      </c>
      <c r="AH50" s="124">
        <f>+M50-AG50</f>
        <v>0</v>
      </c>
      <c r="AI50" s="124">
        <f>SUM(AI46:AI49)</f>
        <v>0</v>
      </c>
      <c r="AJ50" s="124">
        <f>+N50-AI50</f>
        <v>0</v>
      </c>
      <c r="AK50" s="124">
        <f>SUM(AK46:AK49)</f>
        <v>0</v>
      </c>
      <c r="AL50" s="124">
        <f>+O50-AK50</f>
        <v>0</v>
      </c>
      <c r="AM50" s="124">
        <f>SUM(AM46:AM49)</f>
        <v>0</v>
      </c>
      <c r="AN50" s="124">
        <f>+P50-AM50</f>
        <v>0</v>
      </c>
      <c r="AO50" s="124">
        <f>SUM(AO46:AO49)</f>
        <v>0</v>
      </c>
      <c r="AP50" s="124">
        <f>+Q50-AO50</f>
        <v>0</v>
      </c>
      <c r="AQ50" s="124">
        <f>SUM(AQ46:AQ49)</f>
        <v>0</v>
      </c>
      <c r="AR50" s="124">
        <f>+R50-AQ50</f>
        <v>0</v>
      </c>
      <c r="AS50" s="124">
        <f>SUM(AS46:AS49)</f>
        <v>0</v>
      </c>
      <c r="AT50" s="124">
        <f>+S50-AS50</f>
        <v>0</v>
      </c>
      <c r="AU50" s="124">
        <f>SUM(AU46:AU49)</f>
        <v>0</v>
      </c>
      <c r="AV50" s="124">
        <f>+T50-AU50</f>
        <v>0</v>
      </c>
      <c r="AW50" s="11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1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14"/>
    </row>
    <row r="51" spans="1:9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121"/>
      <c r="CC51" s="121"/>
      <c r="CD51" s="121"/>
      <c r="CE51" s="121"/>
      <c r="CF51" s="121"/>
      <c r="CG51" s="121"/>
      <c r="CH51" s="121"/>
      <c r="CI51" s="121"/>
      <c r="CJ51" s="121"/>
      <c r="CK51" s="121"/>
      <c r="CL51" s="121"/>
      <c r="CM51" s="23"/>
      <c r="CN51" s="23"/>
      <c r="CO51" s="23"/>
    </row>
    <row r="52" spans="1:93">
      <c r="A52" s="23"/>
      <c r="B52" s="23"/>
      <c r="C52" s="23" t="s">
        <v>69</v>
      </c>
      <c r="D52" s="121"/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37</v>
      </c>
      <c r="N52" s="121">
        <v>236</v>
      </c>
      <c r="O52" s="121">
        <v>179</v>
      </c>
      <c r="P52" s="121">
        <v>167</v>
      </c>
      <c r="Q52" s="121">
        <v>160</v>
      </c>
      <c r="R52" s="121">
        <v>185</v>
      </c>
      <c r="S52" s="121">
        <v>67</v>
      </c>
      <c r="T52" s="121">
        <v>16</v>
      </c>
      <c r="U52" s="121">
        <v>17</v>
      </c>
      <c r="V52" s="23">
        <v>34</v>
      </c>
      <c r="W52" s="23">
        <v>84</v>
      </c>
      <c r="X52" s="23">
        <v>106</v>
      </c>
      <c r="Y52" s="23">
        <v>116</v>
      </c>
      <c r="Z52" s="23">
        <v>136</v>
      </c>
      <c r="AA52" s="23">
        <v>142</v>
      </c>
      <c r="AB52" s="122">
        <v>150</v>
      </c>
      <c r="AC52" s="122">
        <v>40</v>
      </c>
      <c r="AD52" s="122">
        <v>146</v>
      </c>
      <c r="AE52" s="122">
        <v>93</v>
      </c>
      <c r="AF52" s="23"/>
      <c r="AG52" s="121"/>
      <c r="AH52" s="23"/>
      <c r="AI52" s="121"/>
      <c r="AJ52" s="23"/>
      <c r="AK52" s="121"/>
      <c r="AL52" s="23"/>
      <c r="AM52" s="121"/>
      <c r="AN52" s="23"/>
      <c r="AO52" s="121"/>
      <c r="AP52" s="23"/>
      <c r="AQ52" s="121"/>
      <c r="AR52" s="23"/>
      <c r="AS52" s="121"/>
      <c r="AT52" s="23"/>
      <c r="AU52" s="121"/>
      <c r="AV52" s="23"/>
      <c r="AW52" s="23"/>
      <c r="AX52" s="121"/>
      <c r="AY52" s="121"/>
      <c r="AZ52" s="121"/>
      <c r="BA52" s="121"/>
      <c r="BB52" s="121"/>
      <c r="BC52" s="23"/>
      <c r="BD52" s="121"/>
      <c r="BE52" s="121"/>
      <c r="BF52" s="23"/>
      <c r="BG52" s="121"/>
      <c r="BH52" s="23"/>
      <c r="BI52" s="121"/>
      <c r="BJ52" s="121"/>
      <c r="BK52" s="23"/>
      <c r="BL52" s="121"/>
      <c r="BM52" s="23"/>
      <c r="BN52" s="121"/>
      <c r="BO52" s="121"/>
      <c r="BP52" s="23"/>
      <c r="BQ52" s="121"/>
      <c r="BR52" s="23"/>
      <c r="BS52" s="23"/>
      <c r="BT52" s="121"/>
      <c r="BU52" s="23"/>
      <c r="BV52" s="121"/>
      <c r="BW52" s="23"/>
      <c r="BX52" s="23"/>
      <c r="BY52" s="121"/>
      <c r="BZ52" s="23"/>
      <c r="CA52" s="23"/>
      <c r="CB52" s="121"/>
      <c r="CC52" s="121"/>
      <c r="CD52" s="121"/>
      <c r="CE52" s="121"/>
      <c r="CF52" s="121"/>
      <c r="CG52" s="121"/>
      <c r="CH52" s="121"/>
      <c r="CI52" s="121"/>
      <c r="CJ52" s="121"/>
      <c r="CK52" s="121"/>
      <c r="CL52" s="121"/>
      <c r="CM52" s="23"/>
      <c r="CN52" s="23"/>
      <c r="CO52" s="23"/>
    </row>
    <row r="53" spans="1:93">
      <c r="A53" s="23"/>
      <c r="B53" s="23"/>
      <c r="C53" s="23" t="s">
        <v>862</v>
      </c>
      <c r="D53" s="121"/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</v>
      </c>
      <c r="Q53" s="121">
        <v>0</v>
      </c>
      <c r="R53" s="121">
        <v>0</v>
      </c>
      <c r="S53" s="121">
        <v>0</v>
      </c>
      <c r="T53" s="121">
        <v>0</v>
      </c>
      <c r="U53" s="121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/>
      <c r="AB53" s="23"/>
      <c r="AC53" s="23"/>
      <c r="AD53" s="23"/>
      <c r="AE53" s="23"/>
      <c r="AF53" s="23"/>
      <c r="AG53" s="121"/>
      <c r="AH53" s="23"/>
      <c r="AI53" s="121"/>
      <c r="AJ53" s="23"/>
      <c r="AK53" s="121"/>
      <c r="AL53" s="23"/>
      <c r="AM53" s="121"/>
      <c r="AN53" s="23"/>
      <c r="AO53" s="121"/>
      <c r="AP53" s="23"/>
      <c r="AQ53" s="121"/>
      <c r="AR53" s="23"/>
      <c r="AS53" s="121"/>
      <c r="AT53" s="23"/>
      <c r="AU53" s="121"/>
      <c r="AV53" s="23"/>
      <c r="AW53" s="23"/>
      <c r="AX53" s="121"/>
      <c r="AY53" s="121"/>
      <c r="AZ53" s="121"/>
      <c r="BA53" s="121"/>
      <c r="BB53" s="121"/>
      <c r="BC53" s="23"/>
      <c r="BD53" s="121"/>
      <c r="BE53" s="121"/>
      <c r="BF53" s="23"/>
      <c r="BG53" s="121"/>
      <c r="BH53" s="23"/>
      <c r="BI53" s="121"/>
      <c r="BJ53" s="121"/>
      <c r="BK53" s="23"/>
      <c r="BL53" s="121"/>
      <c r="BM53" s="23"/>
      <c r="BN53" s="121"/>
      <c r="BO53" s="121"/>
      <c r="BP53" s="23"/>
      <c r="BQ53" s="121"/>
      <c r="BR53" s="23"/>
      <c r="BS53" s="23"/>
      <c r="BT53" s="121"/>
      <c r="BU53" s="23"/>
      <c r="BV53" s="121"/>
      <c r="BW53" s="23"/>
      <c r="BX53" s="23"/>
      <c r="BY53" s="121"/>
      <c r="BZ53" s="23"/>
      <c r="CA53" s="23"/>
      <c r="CB53" s="133"/>
      <c r="CC53" s="133"/>
      <c r="CD53" s="133"/>
      <c r="CE53" s="133"/>
      <c r="CF53" s="133"/>
      <c r="CG53" s="133"/>
      <c r="CH53" s="133"/>
      <c r="CI53" s="133"/>
      <c r="CJ53" s="133"/>
      <c r="CK53" s="133"/>
      <c r="CL53" s="133"/>
      <c r="CM53" s="123"/>
      <c r="CN53" s="123"/>
      <c r="CO53" s="23"/>
    </row>
    <row r="54" spans="1:93">
      <c r="A54" s="114"/>
      <c r="B54" s="124" t="s">
        <v>240</v>
      </c>
      <c r="C54" s="124" t="s">
        <v>239</v>
      </c>
      <c r="D54" s="124"/>
      <c r="E54" s="124">
        <f t="shared" ref="E54:V54" si="50">SUM(E52:E53)</f>
        <v>0</v>
      </c>
      <c r="F54" s="124">
        <f t="shared" si="50"/>
        <v>0</v>
      </c>
      <c r="G54" s="124">
        <f t="shared" si="50"/>
        <v>0</v>
      </c>
      <c r="H54" s="124">
        <f t="shared" si="50"/>
        <v>0</v>
      </c>
      <c r="I54" s="124">
        <f t="shared" si="50"/>
        <v>0</v>
      </c>
      <c r="J54" s="124">
        <f t="shared" si="50"/>
        <v>0</v>
      </c>
      <c r="K54" s="124">
        <f t="shared" si="50"/>
        <v>0</v>
      </c>
      <c r="L54" s="124">
        <f t="shared" si="50"/>
        <v>0</v>
      </c>
      <c r="M54" s="124">
        <f t="shared" si="50"/>
        <v>37</v>
      </c>
      <c r="N54" s="124">
        <f t="shared" si="50"/>
        <v>236</v>
      </c>
      <c r="O54" s="124">
        <f t="shared" si="50"/>
        <v>179</v>
      </c>
      <c r="P54" s="124">
        <f t="shared" si="50"/>
        <v>167</v>
      </c>
      <c r="Q54" s="124">
        <f t="shared" si="50"/>
        <v>160</v>
      </c>
      <c r="R54" s="124">
        <f t="shared" si="50"/>
        <v>185</v>
      </c>
      <c r="S54" s="124">
        <f t="shared" si="50"/>
        <v>67</v>
      </c>
      <c r="T54" s="124">
        <f t="shared" si="50"/>
        <v>16</v>
      </c>
      <c r="U54" s="124">
        <f t="shared" si="50"/>
        <v>17</v>
      </c>
      <c r="V54" s="124">
        <f t="shared" si="50"/>
        <v>34</v>
      </c>
      <c r="W54" s="124">
        <f t="shared" ref="W54:X54" si="51">SUM(W52:W53)</f>
        <v>84</v>
      </c>
      <c r="X54" s="124">
        <f t="shared" si="51"/>
        <v>106</v>
      </c>
      <c r="Y54" s="124">
        <f t="shared" ref="Y54:Z54" si="52">SUM(Y52:Y53)</f>
        <v>116</v>
      </c>
      <c r="Z54" s="124">
        <f t="shared" si="52"/>
        <v>136</v>
      </c>
      <c r="AA54" s="124">
        <f t="shared" ref="AA54:AB54" si="53">SUM(AA52:AA53)</f>
        <v>142</v>
      </c>
      <c r="AB54" s="124">
        <f t="shared" si="53"/>
        <v>150</v>
      </c>
      <c r="AC54" s="124">
        <f t="shared" ref="AC54:AD54" si="54">SUM(AC52:AC53)</f>
        <v>40</v>
      </c>
      <c r="AD54" s="124">
        <f t="shared" si="54"/>
        <v>146</v>
      </c>
      <c r="AE54" s="124">
        <f t="shared" ref="AE54" si="55">SUM(AE52:AE53)</f>
        <v>93</v>
      </c>
      <c r="AF54" s="114"/>
      <c r="AG54" s="124" t="e">
        <v>#REF!</v>
      </c>
      <c r="AH54" s="125" t="e">
        <f>+M54-AG54</f>
        <v>#REF!</v>
      </c>
      <c r="AI54" s="124">
        <v>105</v>
      </c>
      <c r="AJ54" s="125">
        <f>+N54-AI54</f>
        <v>131</v>
      </c>
      <c r="AK54" s="124">
        <v>119</v>
      </c>
      <c r="AL54" s="125">
        <f>+O54-AK54</f>
        <v>60</v>
      </c>
      <c r="AM54" s="124">
        <v>66</v>
      </c>
      <c r="AN54" s="125">
        <f>+P54-AM54</f>
        <v>101</v>
      </c>
      <c r="AO54" s="124">
        <v>65</v>
      </c>
      <c r="AP54" s="125">
        <f>+Q54-AO54</f>
        <v>95</v>
      </c>
      <c r="AQ54" s="124">
        <v>109</v>
      </c>
      <c r="AR54" s="125">
        <f>+R54-AQ54</f>
        <v>76</v>
      </c>
      <c r="AS54" s="124">
        <v>19</v>
      </c>
      <c r="AT54" s="125">
        <f>+S54-AS54</f>
        <v>48</v>
      </c>
      <c r="AU54" s="124">
        <v>19</v>
      </c>
      <c r="AV54" s="125">
        <f>+T54-AU54</f>
        <v>-3</v>
      </c>
      <c r="AW54" s="11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14"/>
      <c r="CB54" s="114"/>
      <c r="CC54" s="114"/>
      <c r="CD54" s="114"/>
      <c r="CE54" s="114"/>
      <c r="CF54" s="114"/>
      <c r="CG54" s="114"/>
      <c r="CH54" s="114"/>
      <c r="CI54" s="114"/>
      <c r="CJ54" s="114"/>
      <c r="CK54" s="114"/>
      <c r="CL54" s="114"/>
      <c r="CM54" s="114"/>
      <c r="CN54" s="114"/>
      <c r="CO54" s="114"/>
    </row>
    <row r="55" spans="1:93">
      <c r="A55" s="23"/>
      <c r="B55" s="23"/>
      <c r="C55" s="132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121"/>
      <c r="CC55" s="121"/>
      <c r="CD55" s="121"/>
      <c r="CE55" s="121"/>
      <c r="CF55" s="121"/>
      <c r="CG55" s="121"/>
      <c r="CH55" s="121"/>
      <c r="CI55" s="121"/>
      <c r="CJ55" s="121"/>
      <c r="CK55" s="121"/>
      <c r="CL55" s="121"/>
      <c r="CM55" s="23"/>
      <c r="CN55" s="23"/>
      <c r="CO55" s="23"/>
    </row>
    <row r="56" spans="1:93">
      <c r="A56" s="114"/>
      <c r="B56" s="124" t="s">
        <v>861</v>
      </c>
      <c r="C56" s="124" t="s">
        <v>860</v>
      </c>
      <c r="D56" s="124"/>
      <c r="E56" s="124">
        <f t="shared" ref="E56:T56" si="56">E62-E60-E59-E35-E38-E42-E50-E54</f>
        <v>3108</v>
      </c>
      <c r="F56" s="124">
        <f t="shared" si="56"/>
        <v>2135</v>
      </c>
      <c r="G56" s="124">
        <f t="shared" si="56"/>
        <v>1548</v>
      </c>
      <c r="H56" s="124">
        <f t="shared" si="56"/>
        <v>959</v>
      </c>
      <c r="I56" s="124">
        <f t="shared" si="56"/>
        <v>1849</v>
      </c>
      <c r="J56" s="124">
        <f t="shared" si="56"/>
        <v>827</v>
      </c>
      <c r="K56" s="124">
        <f t="shared" si="56"/>
        <v>371</v>
      </c>
      <c r="L56" s="124">
        <f t="shared" si="56"/>
        <v>173</v>
      </c>
      <c r="M56" s="124">
        <f t="shared" si="56"/>
        <v>587</v>
      </c>
      <c r="N56" s="124">
        <f t="shared" si="56"/>
        <v>1370</v>
      </c>
      <c r="O56" s="124">
        <f t="shared" si="56"/>
        <v>2064</v>
      </c>
      <c r="P56" s="124">
        <f t="shared" si="56"/>
        <v>2413</v>
      </c>
      <c r="Q56" s="124">
        <f t="shared" si="56"/>
        <v>917</v>
      </c>
      <c r="R56" s="124">
        <f t="shared" si="56"/>
        <v>918</v>
      </c>
      <c r="S56" s="124">
        <f t="shared" si="56"/>
        <v>1192</v>
      </c>
      <c r="T56" s="124">
        <f t="shared" si="56"/>
        <v>1298</v>
      </c>
      <c r="U56" s="124">
        <f t="shared" ref="U56:Z56" si="57">U62-U60-U59-U35-U40-U42-U50-U54</f>
        <v>1710</v>
      </c>
      <c r="V56" s="124">
        <f t="shared" si="57"/>
        <v>1017</v>
      </c>
      <c r="W56" s="124">
        <f t="shared" si="57"/>
        <v>1029</v>
      </c>
      <c r="X56" s="124">
        <f t="shared" si="57"/>
        <v>511</v>
      </c>
      <c r="Y56" s="124">
        <f t="shared" si="57"/>
        <v>532</v>
      </c>
      <c r="Z56" s="124">
        <f t="shared" si="57"/>
        <v>515</v>
      </c>
      <c r="AA56" s="124">
        <f t="shared" ref="AA56:AB56" si="58">AA62-AA60-AA59-AA35-AA40-AA42-AA50-AA54</f>
        <v>433</v>
      </c>
      <c r="AB56" s="124">
        <f t="shared" si="58"/>
        <v>640</v>
      </c>
      <c r="AC56" s="124">
        <f t="shared" ref="AC56:AD56" si="59">AC62-AC60-AC59-AC35-AC40-AC42-AC50-AC54</f>
        <v>936</v>
      </c>
      <c r="AD56" s="124">
        <f t="shared" si="59"/>
        <v>1265</v>
      </c>
      <c r="AE56" s="124">
        <f t="shared" ref="AE56" si="60">AE62-AE60-AE59-AE35-AE40-AE42-AE50-AE54</f>
        <v>688</v>
      </c>
      <c r="AF56" s="114"/>
      <c r="AG56" s="124" t="e">
        <f>AG62-AG60-AG59-AG35-AG38-AG42-AG50-AG54</f>
        <v>#REF!</v>
      </c>
      <c r="AH56" s="124" t="e">
        <f>+M56-AG56</f>
        <v>#REF!</v>
      </c>
      <c r="AI56" s="124">
        <f>AI62-AI60-AI59-AI35-AI38-AI42-AI50-AI54</f>
        <v>571</v>
      </c>
      <c r="AJ56" s="124">
        <f>+N56-AI56</f>
        <v>799</v>
      </c>
      <c r="AK56" s="124">
        <f>AK62-AK60-AK59-AK35-AK38-AK42-AK50-AK54</f>
        <v>1106</v>
      </c>
      <c r="AL56" s="124">
        <f>+O56-AK56</f>
        <v>958</v>
      </c>
      <c r="AM56" s="124">
        <f>AM62-AM60-AM59-AM35-AM38-AM42-AM50-AM54</f>
        <v>2401</v>
      </c>
      <c r="AN56" s="124">
        <f>+P56-AM56</f>
        <v>12</v>
      </c>
      <c r="AO56" s="124">
        <f>AO62-AO60-AO59-AO35-AO38-AO42-AO50-AO54</f>
        <v>902</v>
      </c>
      <c r="AP56" s="124">
        <f>+Q56-AO56</f>
        <v>15</v>
      </c>
      <c r="AQ56" s="124">
        <f>AQ62-AQ60-AQ59-AQ35-AQ38-AQ42-AQ50-AQ54</f>
        <v>442</v>
      </c>
      <c r="AR56" s="124">
        <f>+R56-AQ56</f>
        <v>476</v>
      </c>
      <c r="AS56" s="124">
        <f>AS62-AS60-AS59-AS35-AS38-AS42-AS50-AS54</f>
        <v>665</v>
      </c>
      <c r="AT56" s="124">
        <f>+S56-AS56</f>
        <v>527</v>
      </c>
      <c r="AU56" s="124">
        <f>AU62-AU60-AU59-AU35-AU38-AU42-AU50-AU54</f>
        <v>493</v>
      </c>
      <c r="AV56" s="124">
        <f>+T56-AU56</f>
        <v>805</v>
      </c>
      <c r="AW56" s="114"/>
      <c r="AX56" s="124"/>
      <c r="AY56" s="124"/>
      <c r="AZ56" s="124"/>
      <c r="BA56" s="124"/>
      <c r="BB56" s="124">
        <f>BB62-BB60-BB59-BB35-BB38-BB42-BB50-BB54</f>
        <v>580</v>
      </c>
      <c r="BC56" s="124">
        <f>+AO56-BB56</f>
        <v>322</v>
      </c>
      <c r="BD56" s="124">
        <f>BD62-BD60-BD59-BD35-BD38-BD42-BD50-BD54</f>
        <v>807</v>
      </c>
      <c r="BE56" s="124"/>
      <c r="BF56" s="124">
        <f>+AP56-BD56</f>
        <v>-792</v>
      </c>
      <c r="BG56" s="124">
        <f>BG62-BG60-BG59-BG35-BG38-BG42-BG50-BG54</f>
        <v>424</v>
      </c>
      <c r="BH56" s="124">
        <f>+AQ56-BG56</f>
        <v>18</v>
      </c>
      <c r="BI56" s="124">
        <f>BI62-BI60-BI59-BI35-BI38-BI42-BI50-BI54</f>
        <v>521</v>
      </c>
      <c r="BJ56" s="124"/>
      <c r="BK56" s="124">
        <f>+AR56-BI56</f>
        <v>-45</v>
      </c>
      <c r="BL56" s="124">
        <f>BL62-BL60-BL59-BL35-BL38-BL42-BL50-BL54</f>
        <v>-58</v>
      </c>
      <c r="BM56" s="124">
        <f>+AS56-BL56</f>
        <v>723</v>
      </c>
      <c r="BN56" s="124">
        <f>BN62-BN60-BN59-BN35-BN38-BN42-BN50-BN54</f>
        <v>1175</v>
      </c>
      <c r="BO56" s="124"/>
      <c r="BP56" s="124">
        <f>+AT56-BN56</f>
        <v>-648</v>
      </c>
      <c r="BQ56" s="124">
        <f>BQ62-BQ60-BQ59-BQ35-BQ38-BQ42-BQ50-BQ54</f>
        <v>350</v>
      </c>
      <c r="BR56" s="124">
        <f>+AU56-BQ56</f>
        <v>143</v>
      </c>
      <c r="BS56" s="124">
        <f>+BT56-AU56</f>
        <v>404</v>
      </c>
      <c r="BT56" s="124">
        <f>BT62-BT60-BT59-BT35-BT38-BT42-BT50-BT54</f>
        <v>897</v>
      </c>
      <c r="BU56" s="124">
        <f>+AV56-BS56</f>
        <v>401</v>
      </c>
      <c r="BV56" s="124">
        <f>BV62-BV60-BV59-BV35-BV38-BV42-BV50-BV54</f>
        <v>419</v>
      </c>
      <c r="BW56" s="124"/>
      <c r="BX56" s="124"/>
      <c r="BY56" s="124"/>
      <c r="BZ56" s="124"/>
      <c r="CA56" s="114"/>
      <c r="CB56" s="124"/>
      <c r="CC56" s="124"/>
      <c r="CD56" s="124"/>
      <c r="CE56" s="124"/>
      <c r="CF56" s="124"/>
      <c r="CG56" s="124"/>
      <c r="CH56" s="124"/>
      <c r="CI56" s="124"/>
      <c r="CJ56" s="124"/>
      <c r="CK56" s="124"/>
      <c r="CL56" s="124"/>
      <c r="CM56" s="124"/>
      <c r="CN56" s="124"/>
      <c r="CO56" s="114"/>
    </row>
    <row r="57" spans="1:93">
      <c r="A57" s="114"/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  <c r="BP57" s="114"/>
      <c r="BQ57" s="114"/>
      <c r="BR57" s="114"/>
      <c r="BS57" s="114"/>
      <c r="BT57" s="114"/>
      <c r="BU57" s="114"/>
      <c r="BV57" s="114"/>
      <c r="BW57" s="114"/>
      <c r="BX57" s="114"/>
      <c r="BY57" s="114"/>
      <c r="BZ57" s="114"/>
      <c r="CA57" s="114"/>
      <c r="CB57" s="115"/>
      <c r="CC57" s="115"/>
      <c r="CD57" s="115"/>
      <c r="CE57" s="115"/>
      <c r="CF57" s="115"/>
      <c r="CG57" s="115"/>
      <c r="CH57" s="115"/>
      <c r="CI57" s="115"/>
      <c r="CJ57" s="115"/>
      <c r="CK57" s="115"/>
      <c r="CL57" s="115"/>
      <c r="CM57" s="114"/>
      <c r="CN57" s="114"/>
      <c r="CO57" s="114"/>
    </row>
    <row r="58" spans="1:93">
      <c r="A58" s="114"/>
      <c r="B58" s="114" t="s">
        <v>234</v>
      </c>
      <c r="C58" s="114" t="s">
        <v>233</v>
      </c>
      <c r="D58" s="115"/>
      <c r="E58" s="115">
        <v>10206</v>
      </c>
      <c r="F58" s="115">
        <v>8475</v>
      </c>
      <c r="G58" s="115">
        <v>11050</v>
      </c>
      <c r="H58" s="115">
        <v>14960</v>
      </c>
      <c r="I58" s="115">
        <v>16152</v>
      </c>
      <c r="J58" s="115">
        <v>16218</v>
      </c>
      <c r="K58" s="115">
        <v>18971</v>
      </c>
      <c r="L58" s="115">
        <v>18117</v>
      </c>
      <c r="M58" s="115">
        <v>20259</v>
      </c>
      <c r="N58" s="115">
        <v>21151</v>
      </c>
      <c r="O58" s="115">
        <v>21546</v>
      </c>
      <c r="P58" s="115">
        <v>22623</v>
      </c>
      <c r="Q58" s="115">
        <v>26716</v>
      </c>
      <c r="R58" s="115">
        <v>32545</v>
      </c>
      <c r="S58" s="115">
        <v>27191</v>
      </c>
      <c r="T58" s="115">
        <v>26989</v>
      </c>
      <c r="U58" s="115">
        <v>31997</v>
      </c>
      <c r="V58" s="114">
        <v>32243</v>
      </c>
      <c r="W58" s="114">
        <v>26630</v>
      </c>
      <c r="X58" s="114">
        <v>29489</v>
      </c>
      <c r="Y58" s="114">
        <v>31147</v>
      </c>
      <c r="Z58" s="114">
        <v>28571</v>
      </c>
      <c r="AA58" s="114">
        <v>26169</v>
      </c>
      <c r="AB58" s="116">
        <v>31350</v>
      </c>
      <c r="AC58" s="116">
        <v>38697</v>
      </c>
      <c r="AD58" s="116">
        <v>31834</v>
      </c>
      <c r="AE58" s="116">
        <v>43724</v>
      </c>
      <c r="AF58" s="114"/>
      <c r="AG58" s="115">
        <v>8663</v>
      </c>
      <c r="AH58" s="114">
        <f>+M58-AG58</f>
        <v>11596</v>
      </c>
      <c r="AI58" s="115">
        <v>9927</v>
      </c>
      <c r="AJ58" s="114">
        <f>+N58-AI58</f>
        <v>11224</v>
      </c>
      <c r="AK58" s="115">
        <v>10059</v>
      </c>
      <c r="AL58" s="114">
        <f>+O58-AK58</f>
        <v>11487</v>
      </c>
      <c r="AM58" s="115">
        <v>11461</v>
      </c>
      <c r="AN58" s="114">
        <f>+P58-AM58</f>
        <v>11162</v>
      </c>
      <c r="AO58" s="115">
        <v>13948</v>
      </c>
      <c r="AP58" s="114">
        <f>+Q58-AO58</f>
        <v>12768</v>
      </c>
      <c r="AQ58" s="115">
        <v>16427</v>
      </c>
      <c r="AR58" s="114">
        <f>+R58-AQ58</f>
        <v>16118</v>
      </c>
      <c r="AS58" s="115">
        <v>13128</v>
      </c>
      <c r="AT58" s="114">
        <f>+S58-AS58</f>
        <v>14063</v>
      </c>
      <c r="AU58" s="115">
        <v>11724</v>
      </c>
      <c r="AV58" s="114">
        <f>+T58-AU58</f>
        <v>15265</v>
      </c>
      <c r="AW58" s="114"/>
      <c r="AX58" s="115"/>
      <c r="AY58" s="115"/>
      <c r="AZ58" s="115"/>
      <c r="BA58" s="115"/>
      <c r="BB58" s="115">
        <v>7824</v>
      </c>
      <c r="BC58" s="114">
        <f>+AO58-BB58</f>
        <v>6124</v>
      </c>
      <c r="BD58" s="115">
        <v>4539</v>
      </c>
      <c r="BE58" s="115"/>
      <c r="BF58" s="114">
        <f>+AP58-BD58</f>
        <v>8229</v>
      </c>
      <c r="BG58" s="115">
        <v>8754</v>
      </c>
      <c r="BH58" s="114">
        <f>+AQ58-BG58</f>
        <v>7673</v>
      </c>
      <c r="BI58" s="115">
        <v>11024</v>
      </c>
      <c r="BJ58" s="115"/>
      <c r="BK58" s="114">
        <f>+AR58-BI58</f>
        <v>5094</v>
      </c>
      <c r="BL58" s="115">
        <v>7355</v>
      </c>
      <c r="BM58" s="114">
        <f>+AS58-BL58</f>
        <v>5773</v>
      </c>
      <c r="BN58" s="115">
        <v>8560</v>
      </c>
      <c r="BO58" s="115"/>
      <c r="BP58" s="114">
        <f>+AT58-BN58</f>
        <v>5503</v>
      </c>
      <c r="BQ58" s="115">
        <v>6746</v>
      </c>
      <c r="BR58" s="114">
        <f>+AU58-BQ58</f>
        <v>4978</v>
      </c>
      <c r="BS58" s="114">
        <f>+BT58-AU58</f>
        <v>8698</v>
      </c>
      <c r="BT58" s="115">
        <v>20422</v>
      </c>
      <c r="BU58" s="114">
        <f>+AV58-BS58</f>
        <v>6567</v>
      </c>
      <c r="BV58" s="115">
        <v>7201</v>
      </c>
      <c r="BW58" s="114"/>
      <c r="BX58" s="114"/>
      <c r="BY58" s="115"/>
      <c r="BZ58" s="114"/>
      <c r="CA58" s="114"/>
      <c r="CB58" s="115"/>
      <c r="CC58" s="115"/>
      <c r="CD58" s="115"/>
      <c r="CE58" s="115"/>
      <c r="CF58" s="115"/>
      <c r="CG58" s="115"/>
      <c r="CH58" s="115"/>
      <c r="CI58" s="115"/>
      <c r="CJ58" s="115"/>
      <c r="CK58" s="115"/>
      <c r="CL58" s="115"/>
      <c r="CM58" s="115"/>
      <c r="CN58" s="115">
        <v>28000</v>
      </c>
      <c r="CO58" s="114"/>
    </row>
    <row r="59" spans="1:93">
      <c r="A59" s="23"/>
      <c r="B59" s="23" t="s">
        <v>859</v>
      </c>
      <c r="C59" s="23" t="s">
        <v>231</v>
      </c>
      <c r="D59" s="121"/>
      <c r="E59" s="121">
        <v>551</v>
      </c>
      <c r="F59" s="121">
        <v>116</v>
      </c>
      <c r="G59" s="121">
        <v>87</v>
      </c>
      <c r="H59" s="121">
        <v>172</v>
      </c>
      <c r="I59" s="121">
        <v>114</v>
      </c>
      <c r="J59" s="121">
        <v>1712</v>
      </c>
      <c r="K59" s="121">
        <v>343</v>
      </c>
      <c r="L59" s="121">
        <v>1137</v>
      </c>
      <c r="M59" s="121">
        <v>8359</v>
      </c>
      <c r="N59" s="121">
        <v>5694</v>
      </c>
      <c r="O59" s="121">
        <v>1390</v>
      </c>
      <c r="P59" s="121">
        <v>943</v>
      </c>
      <c r="Q59" s="121">
        <v>49</v>
      </c>
      <c r="R59" s="121">
        <v>158</v>
      </c>
      <c r="S59" s="121">
        <v>501</v>
      </c>
      <c r="T59" s="121">
        <v>69</v>
      </c>
      <c r="U59" s="121">
        <v>133</v>
      </c>
      <c r="V59" s="23">
        <v>4383</v>
      </c>
      <c r="W59" s="23">
        <v>1217</v>
      </c>
      <c r="X59" s="23">
        <v>1082</v>
      </c>
      <c r="Y59" s="23">
        <v>1479</v>
      </c>
      <c r="Z59" s="23">
        <v>723</v>
      </c>
      <c r="AA59" s="23">
        <v>1137</v>
      </c>
      <c r="AB59" s="122">
        <v>1901</v>
      </c>
      <c r="AC59" s="122">
        <v>2044</v>
      </c>
      <c r="AD59" s="122">
        <v>430</v>
      </c>
      <c r="AE59" s="122">
        <v>268</v>
      </c>
      <c r="AF59" s="23"/>
      <c r="AG59" s="121">
        <v>8065</v>
      </c>
      <c r="AH59" s="23">
        <f>+M59-AG59</f>
        <v>294</v>
      </c>
      <c r="AI59" s="121">
        <v>5436</v>
      </c>
      <c r="AJ59" s="23">
        <f>+N59-AI59</f>
        <v>258</v>
      </c>
      <c r="AK59" s="121">
        <v>1114</v>
      </c>
      <c r="AL59" s="23">
        <f>+O59-AK59</f>
        <v>276</v>
      </c>
      <c r="AM59" s="121">
        <v>536</v>
      </c>
      <c r="AN59" s="23">
        <f>+P59-AM59</f>
        <v>407</v>
      </c>
      <c r="AO59" s="121">
        <v>36</v>
      </c>
      <c r="AP59" s="23">
        <f>+Q59-AO59</f>
        <v>13</v>
      </c>
      <c r="AQ59" s="121">
        <v>21</v>
      </c>
      <c r="AR59" s="23">
        <f>+R59-AQ59</f>
        <v>137</v>
      </c>
      <c r="AS59" s="121">
        <v>87</v>
      </c>
      <c r="AT59" s="23">
        <f>+S59-AS59</f>
        <v>414</v>
      </c>
      <c r="AU59" s="121">
        <v>12</v>
      </c>
      <c r="AV59" s="23">
        <f>+T59-AU59</f>
        <v>57</v>
      </c>
      <c r="AW59" s="23"/>
      <c r="AX59" s="121"/>
      <c r="AY59" s="121"/>
      <c r="AZ59" s="121"/>
      <c r="BA59" s="121"/>
      <c r="BB59" s="121">
        <v>32</v>
      </c>
      <c r="BC59" s="23">
        <f>+AO59-BB59</f>
        <v>4</v>
      </c>
      <c r="BD59" s="121">
        <v>12</v>
      </c>
      <c r="BE59" s="121"/>
      <c r="BF59" s="23">
        <f>+AP59-BD59</f>
        <v>1</v>
      </c>
      <c r="BG59" s="121">
        <v>7</v>
      </c>
      <c r="BH59" s="23">
        <f>+AQ59-BG59</f>
        <v>14</v>
      </c>
      <c r="BI59" s="121">
        <v>29</v>
      </c>
      <c r="BJ59" s="121"/>
      <c r="BK59" s="23">
        <f>+AR59-BI59</f>
        <v>108</v>
      </c>
      <c r="BL59" s="121">
        <v>65</v>
      </c>
      <c r="BM59" s="23">
        <f>+AS59-BL59</f>
        <v>22</v>
      </c>
      <c r="BN59" s="121">
        <v>218</v>
      </c>
      <c r="BO59" s="121"/>
      <c r="BP59" s="23">
        <f>+AT59-BN59</f>
        <v>196</v>
      </c>
      <c r="BQ59" s="121">
        <v>4</v>
      </c>
      <c r="BR59" s="23">
        <f>+AU59-BQ59</f>
        <v>8</v>
      </c>
      <c r="BS59" s="23">
        <f>+BT59-AU59</f>
        <v>1</v>
      </c>
      <c r="BT59" s="121">
        <v>13</v>
      </c>
      <c r="BU59" s="23">
        <f>+AV59-BS59</f>
        <v>56</v>
      </c>
      <c r="BV59" s="121">
        <v>25</v>
      </c>
      <c r="BW59" s="23"/>
      <c r="BX59" s="23"/>
      <c r="BY59" s="121"/>
      <c r="BZ59" s="23"/>
      <c r="CA59" s="23"/>
      <c r="CB59" s="121"/>
      <c r="CC59" s="121"/>
      <c r="CD59" s="121"/>
      <c r="CE59" s="121"/>
      <c r="CF59" s="121"/>
      <c r="CG59" s="121"/>
      <c r="CH59" s="121"/>
      <c r="CI59" s="121"/>
      <c r="CJ59" s="121"/>
      <c r="CK59" s="121"/>
      <c r="CL59" s="121"/>
      <c r="CM59" s="23"/>
      <c r="CN59" s="23"/>
      <c r="CO59" s="23"/>
    </row>
    <row r="60" spans="1:93">
      <c r="A60" s="23"/>
      <c r="B60" s="23" t="s">
        <v>858</v>
      </c>
      <c r="C60" s="23" t="s">
        <v>229</v>
      </c>
      <c r="D60" s="121"/>
      <c r="E60" s="121">
        <v>-1316</v>
      </c>
      <c r="F60" s="121">
        <v>-2623</v>
      </c>
      <c r="G60" s="121">
        <v>-2577</v>
      </c>
      <c r="H60" s="121">
        <v>-5402</v>
      </c>
      <c r="I60" s="121">
        <v>-14674</v>
      </c>
      <c r="J60" s="121">
        <v>-5899</v>
      </c>
      <c r="K60" s="121">
        <v>-4622</v>
      </c>
      <c r="L60" s="121">
        <v>-1919</v>
      </c>
      <c r="M60" s="121">
        <v>-5538</v>
      </c>
      <c r="N60" s="121">
        <v>-2050</v>
      </c>
      <c r="O60" s="121">
        <v>-6040</v>
      </c>
      <c r="P60" s="121">
        <v>-2051</v>
      </c>
      <c r="Q60" s="121">
        <v>-2293</v>
      </c>
      <c r="R60" s="121">
        <v>-1900</v>
      </c>
      <c r="S60" s="121">
        <v>-5965</v>
      </c>
      <c r="T60" s="121">
        <v>-629</v>
      </c>
      <c r="U60" s="121">
        <v>-3193</v>
      </c>
      <c r="V60" s="23">
        <v>-323</v>
      </c>
      <c r="W60" s="23">
        <v>-205</v>
      </c>
      <c r="X60" s="23">
        <v>-1765</v>
      </c>
      <c r="Y60" s="23">
        <v>-2163</v>
      </c>
      <c r="Z60" s="23">
        <v>-2008</v>
      </c>
      <c r="AA60" s="23">
        <v>-1400</v>
      </c>
      <c r="AB60" s="122">
        <v>-651</v>
      </c>
      <c r="AC60" s="122">
        <v>-1832</v>
      </c>
      <c r="AD60" s="122">
        <v>-678</v>
      </c>
      <c r="AE60" s="122">
        <v>-445</v>
      </c>
      <c r="AF60" s="23"/>
      <c r="AG60" s="121">
        <v>-3016</v>
      </c>
      <c r="AH60" s="23">
        <f>+M60-AG60</f>
        <v>-2522</v>
      </c>
      <c r="AI60" s="121">
        <v>-841</v>
      </c>
      <c r="AJ60" s="23">
        <f>+N60-AI60</f>
        <v>-1209</v>
      </c>
      <c r="AK60" s="121">
        <v>-5572</v>
      </c>
      <c r="AL60" s="23">
        <f>+O60-AK60</f>
        <v>-468</v>
      </c>
      <c r="AM60" s="121">
        <v>-1356</v>
      </c>
      <c r="AN60" s="23">
        <f>+P60-AM60</f>
        <v>-695</v>
      </c>
      <c r="AO60" s="121">
        <v>-715</v>
      </c>
      <c r="AP60" s="23">
        <f>+Q60-AO60</f>
        <v>-1578</v>
      </c>
      <c r="AQ60" s="121">
        <v>-416</v>
      </c>
      <c r="AR60" s="23">
        <f>+R60-AQ60</f>
        <v>-1484</v>
      </c>
      <c r="AS60" s="121">
        <v>-826</v>
      </c>
      <c r="AT60" s="23">
        <f>+S60-AS60</f>
        <v>-5139</v>
      </c>
      <c r="AU60" s="121">
        <v>-743</v>
      </c>
      <c r="AV60" s="23">
        <f>+T60-AU60</f>
        <v>114</v>
      </c>
      <c r="AW60" s="23"/>
      <c r="AX60" s="121"/>
      <c r="AY60" s="121"/>
      <c r="AZ60" s="121"/>
      <c r="BA60" s="121"/>
      <c r="BB60" s="121">
        <v>-147</v>
      </c>
      <c r="BC60" s="23">
        <f>+AO60-BB60</f>
        <v>-568</v>
      </c>
      <c r="BD60" s="121">
        <v>-1137</v>
      </c>
      <c r="BE60" s="121"/>
      <c r="BF60" s="23">
        <f>+AP60-BD60</f>
        <v>-441</v>
      </c>
      <c r="BG60" s="121">
        <v>-160</v>
      </c>
      <c r="BH60" s="23">
        <f>+AQ60-BG60</f>
        <v>-256</v>
      </c>
      <c r="BI60" s="121">
        <v>36</v>
      </c>
      <c r="BJ60" s="121"/>
      <c r="BK60" s="23">
        <f>+AR60-BI60</f>
        <v>-1520</v>
      </c>
      <c r="BL60" s="121">
        <v>-511</v>
      </c>
      <c r="BM60" s="23">
        <f>+AS60-BL60</f>
        <v>-315</v>
      </c>
      <c r="BN60" s="121">
        <v>-80</v>
      </c>
      <c r="BO60" s="121"/>
      <c r="BP60" s="23">
        <f>+AT60-BN60</f>
        <v>-5059</v>
      </c>
      <c r="BQ60" s="121">
        <v>-354</v>
      </c>
      <c r="BR60" s="23">
        <f>+AU60-BQ60</f>
        <v>-389</v>
      </c>
      <c r="BS60" s="23">
        <f>+BT60-AU60</f>
        <v>-400</v>
      </c>
      <c r="BT60" s="121">
        <v>-1143</v>
      </c>
      <c r="BU60" s="23">
        <f>+AV60-BS60</f>
        <v>514</v>
      </c>
      <c r="BV60" s="121">
        <v>-422</v>
      </c>
      <c r="BW60" s="23"/>
      <c r="BX60" s="23"/>
      <c r="BY60" s="121"/>
      <c r="BZ60" s="23"/>
      <c r="CA60" s="23"/>
      <c r="CB60" s="121"/>
      <c r="CC60" s="121"/>
      <c r="CD60" s="121"/>
      <c r="CE60" s="121"/>
      <c r="CF60" s="121"/>
      <c r="CG60" s="121"/>
      <c r="CH60" s="121"/>
      <c r="CI60" s="121"/>
      <c r="CJ60" s="121"/>
      <c r="CK60" s="121"/>
      <c r="CL60" s="121"/>
      <c r="CM60" s="23"/>
      <c r="CN60" s="23"/>
      <c r="CO60" s="23"/>
    </row>
    <row r="61" spans="1:9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133"/>
      <c r="CC61" s="133"/>
      <c r="CD61" s="133"/>
      <c r="CE61" s="133"/>
      <c r="CF61" s="133"/>
      <c r="CG61" s="133"/>
      <c r="CH61" s="133"/>
      <c r="CI61" s="133"/>
      <c r="CJ61" s="133"/>
      <c r="CK61" s="133"/>
      <c r="CL61" s="133"/>
      <c r="CM61" s="133"/>
      <c r="CN61" s="133"/>
      <c r="CO61" s="23"/>
    </row>
    <row r="62" spans="1:93">
      <c r="A62" s="114"/>
      <c r="B62" s="124" t="s">
        <v>857</v>
      </c>
      <c r="C62" s="124" t="s">
        <v>856</v>
      </c>
      <c r="D62" s="125"/>
      <c r="E62" s="125">
        <v>9442</v>
      </c>
      <c r="F62" s="125">
        <v>5969</v>
      </c>
      <c r="G62" s="125">
        <v>8560</v>
      </c>
      <c r="H62" s="125">
        <v>9730</v>
      </c>
      <c r="I62" s="125">
        <v>1592</v>
      </c>
      <c r="J62" s="125">
        <v>12032</v>
      </c>
      <c r="K62" s="125">
        <v>14692</v>
      </c>
      <c r="L62" s="125">
        <v>17336</v>
      </c>
      <c r="M62" s="125">
        <v>23080</v>
      </c>
      <c r="N62" s="125">
        <v>24795</v>
      </c>
      <c r="O62" s="125">
        <v>16896</v>
      </c>
      <c r="P62" s="125">
        <v>21515</v>
      </c>
      <c r="Q62" s="125">
        <v>24473</v>
      </c>
      <c r="R62" s="125">
        <v>30802</v>
      </c>
      <c r="S62" s="125">
        <v>21727</v>
      </c>
      <c r="T62" s="125">
        <v>26429</v>
      </c>
      <c r="U62" s="125">
        <v>28937</v>
      </c>
      <c r="V62" s="125">
        <v>36303</v>
      </c>
      <c r="W62" s="125">
        <v>27640</v>
      </c>
      <c r="X62" s="125">
        <v>28805</v>
      </c>
      <c r="Y62" s="125">
        <v>30463</v>
      </c>
      <c r="Z62" s="125">
        <v>27287</v>
      </c>
      <c r="AA62" s="125">
        <v>25906</v>
      </c>
      <c r="AB62" s="126">
        <v>32600</v>
      </c>
      <c r="AC62" s="126">
        <v>38909</v>
      </c>
      <c r="AD62" s="126">
        <v>31586</v>
      </c>
      <c r="AE62" s="126">
        <v>43547</v>
      </c>
      <c r="AF62" s="114"/>
      <c r="AG62" s="125">
        <v>13712</v>
      </c>
      <c r="AH62" s="124">
        <f>+M62-AG62</f>
        <v>9368</v>
      </c>
      <c r="AI62" s="125">
        <v>14523</v>
      </c>
      <c r="AJ62" s="124">
        <f>+N62-AI62</f>
        <v>10272</v>
      </c>
      <c r="AK62" s="125">
        <v>5601</v>
      </c>
      <c r="AL62" s="124">
        <f>+O62-AK62</f>
        <v>11295</v>
      </c>
      <c r="AM62" s="125">
        <v>10640</v>
      </c>
      <c r="AN62" s="124">
        <f>+P62-AM62</f>
        <v>10875</v>
      </c>
      <c r="AO62" s="125">
        <v>13268</v>
      </c>
      <c r="AP62" s="124">
        <f>+Q62-AO62</f>
        <v>11205</v>
      </c>
      <c r="AQ62" s="125">
        <v>16032</v>
      </c>
      <c r="AR62" s="124">
        <f>+R62-AQ62</f>
        <v>14770</v>
      </c>
      <c r="AS62" s="125">
        <v>12389</v>
      </c>
      <c r="AT62" s="124">
        <f>+S62-AS62</f>
        <v>9338</v>
      </c>
      <c r="AU62" s="125">
        <v>10993</v>
      </c>
      <c r="AV62" s="124">
        <f>+T62-AU62</f>
        <v>15436</v>
      </c>
      <c r="AW62" s="114"/>
      <c r="AX62" s="125"/>
      <c r="AY62" s="125"/>
      <c r="AZ62" s="125"/>
      <c r="BA62" s="125"/>
      <c r="BB62" s="125">
        <v>7709</v>
      </c>
      <c r="BC62" s="124">
        <f>+AO62-BB62</f>
        <v>5559</v>
      </c>
      <c r="BD62" s="125">
        <v>3416</v>
      </c>
      <c r="BE62" s="125"/>
      <c r="BF62" s="124">
        <f>+AP62-BD62</f>
        <v>7789</v>
      </c>
      <c r="BG62" s="125">
        <v>8602</v>
      </c>
      <c r="BH62" s="124">
        <f>+AQ62-BG62</f>
        <v>7430</v>
      </c>
      <c r="BI62" s="125">
        <v>11089</v>
      </c>
      <c r="BJ62" s="125"/>
      <c r="BK62" s="124">
        <f>+AR62-BI62</f>
        <v>3681</v>
      </c>
      <c r="BL62" s="125">
        <v>6396</v>
      </c>
      <c r="BM62" s="124">
        <f>+AS62-BL62</f>
        <v>5993</v>
      </c>
      <c r="BN62" s="125">
        <v>9418</v>
      </c>
      <c r="BO62" s="125"/>
      <c r="BP62" s="124">
        <f>+AT62-BN62</f>
        <v>-80</v>
      </c>
      <c r="BQ62" s="125">
        <v>6396</v>
      </c>
      <c r="BR62" s="124">
        <f>+AU62-BQ62</f>
        <v>4597</v>
      </c>
      <c r="BS62" s="124">
        <f>+BT62-AU62</f>
        <v>8300</v>
      </c>
      <c r="BT62" s="125">
        <v>19293</v>
      </c>
      <c r="BU62" s="124">
        <f>+AV62-BS62</f>
        <v>7136</v>
      </c>
      <c r="BV62" s="125">
        <v>6804</v>
      </c>
      <c r="BW62" s="124"/>
      <c r="BX62" s="124"/>
      <c r="BY62" s="125"/>
      <c r="BZ62" s="124"/>
      <c r="CA62" s="114"/>
      <c r="CB62" s="124"/>
      <c r="CC62" s="124"/>
      <c r="CD62" s="124"/>
      <c r="CE62" s="124"/>
      <c r="CF62" s="124"/>
      <c r="CG62" s="124"/>
      <c r="CH62" s="124"/>
      <c r="CI62" s="124"/>
      <c r="CJ62" s="124"/>
      <c r="CK62" s="124"/>
      <c r="CL62" s="124"/>
      <c r="CM62" s="124"/>
      <c r="CN62" s="124"/>
      <c r="CO62" s="114"/>
    </row>
    <row r="63" spans="1:93" ht="12">
      <c r="A63" s="117"/>
      <c r="B63" s="117" t="s">
        <v>626</v>
      </c>
      <c r="C63" s="118"/>
      <c r="D63" s="117"/>
      <c r="E63" s="117">
        <f>Model!E68-E62</f>
        <v>0</v>
      </c>
      <c r="F63" s="117">
        <f>Model!F68-F62</f>
        <v>0</v>
      </c>
      <c r="G63" s="117">
        <f>Model!G68-G62</f>
        <v>0</v>
      </c>
      <c r="H63" s="117">
        <f>Model!H68-H62</f>
        <v>0</v>
      </c>
      <c r="I63" s="117">
        <f>Model!I68-I62</f>
        <v>0</v>
      </c>
      <c r="J63" s="117">
        <f>Model!J68-J62</f>
        <v>0</v>
      </c>
      <c r="K63" s="117">
        <f>Model!K68-K62</f>
        <v>0</v>
      </c>
      <c r="L63" s="117">
        <f>Model!L68-L62</f>
        <v>0</v>
      </c>
      <c r="M63" s="117">
        <f>Model!M68-M62</f>
        <v>0</v>
      </c>
      <c r="N63" s="117">
        <f>Model!N68-N62</f>
        <v>0</v>
      </c>
      <c r="O63" s="117">
        <f>Model!O68-O62</f>
        <v>0</v>
      </c>
      <c r="P63" s="117">
        <f>Model!P68-P62</f>
        <v>0</v>
      </c>
      <c r="Q63" s="117">
        <f>Model!Q68-Q62</f>
        <v>0</v>
      </c>
      <c r="R63" s="117">
        <f>Model!R68-R62</f>
        <v>0</v>
      </c>
      <c r="S63" s="117">
        <f>Model!S68-S62</f>
        <v>0</v>
      </c>
      <c r="T63" s="117">
        <f>Model!T68-T62</f>
        <v>0</v>
      </c>
      <c r="U63" s="117">
        <f>Model!U68-U62</f>
        <v>0</v>
      </c>
      <c r="V63" s="117">
        <f>Model!V68-V62</f>
        <v>0</v>
      </c>
      <c r="W63" s="117">
        <f>Model!W68-W62</f>
        <v>0</v>
      </c>
      <c r="X63" s="117">
        <f>Model!X68-X62</f>
        <v>0</v>
      </c>
      <c r="Y63" s="117">
        <f>Model!Y68-Y62</f>
        <v>0</v>
      </c>
      <c r="Z63" s="117">
        <f>Model!Z68-Z62</f>
        <v>0</v>
      </c>
      <c r="AA63" s="117">
        <f>Model!AA68-AA62</f>
        <v>0</v>
      </c>
      <c r="AB63" s="119">
        <f>Model!AB68-AB62</f>
        <v>0</v>
      </c>
      <c r="AC63" s="119">
        <f>Model!AC68-AC62</f>
        <v>0</v>
      </c>
      <c r="AD63" s="119">
        <f>Model!AD68-AD62</f>
        <v>0</v>
      </c>
      <c r="AE63" s="119">
        <f>Model!AE68-AE62</f>
        <v>0</v>
      </c>
      <c r="AF63" s="117"/>
      <c r="AG63" s="117"/>
      <c r="AH63" s="119"/>
      <c r="AI63" s="117"/>
      <c r="AJ63" s="119"/>
      <c r="AK63" s="117"/>
      <c r="AL63" s="119"/>
      <c r="AM63" s="117"/>
      <c r="AN63" s="119"/>
      <c r="AO63" s="117"/>
      <c r="AP63" s="119"/>
      <c r="AQ63" s="117"/>
      <c r="AR63" s="119"/>
      <c r="AS63" s="117"/>
      <c r="AT63" s="119"/>
      <c r="AU63" s="117"/>
      <c r="AV63" s="119"/>
      <c r="AW63" s="117"/>
      <c r="AX63" s="117"/>
      <c r="AY63" s="117"/>
      <c r="AZ63" s="117"/>
      <c r="BA63" s="117"/>
      <c r="BB63" s="117"/>
      <c r="BC63" s="119"/>
      <c r="BD63" s="117"/>
      <c r="BE63" s="117"/>
      <c r="BF63" s="119"/>
      <c r="BG63" s="117"/>
      <c r="BH63" s="119"/>
      <c r="BI63" s="117"/>
      <c r="BJ63" s="117"/>
      <c r="BK63" s="119"/>
      <c r="BL63" s="117"/>
      <c r="BM63" s="119"/>
      <c r="BN63" s="117"/>
      <c r="BO63" s="117"/>
      <c r="BP63" s="119"/>
      <c r="BQ63" s="117"/>
      <c r="BR63" s="119"/>
      <c r="BS63" s="119"/>
      <c r="BT63" s="117"/>
      <c r="BU63" s="119"/>
      <c r="BV63" s="117"/>
      <c r="BW63" s="119"/>
      <c r="BX63" s="119"/>
      <c r="BY63" s="117"/>
      <c r="BZ63" s="119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</row>
    <row r="64" spans="1:9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121"/>
      <c r="CC64" s="121"/>
      <c r="CD64" s="121"/>
      <c r="CE64" s="121"/>
      <c r="CF64" s="121"/>
      <c r="CG64" s="121"/>
      <c r="CH64" s="121"/>
      <c r="CI64" s="121"/>
      <c r="CJ64" s="121"/>
      <c r="CK64" s="121"/>
      <c r="CL64" s="121"/>
      <c r="CM64" s="23"/>
      <c r="CN64" s="23"/>
      <c r="CO64" s="23"/>
    </row>
    <row r="65" spans="1:93">
      <c r="A65" s="114"/>
      <c r="B65" s="114" t="s">
        <v>855</v>
      </c>
      <c r="C65" s="114" t="s">
        <v>186</v>
      </c>
      <c r="D65" s="114"/>
      <c r="E65" s="114">
        <f t="shared" ref="E65:U65" si="61">+E74-E62-E67</f>
        <v>-5154</v>
      </c>
      <c r="F65" s="114">
        <f t="shared" si="61"/>
        <v>-4012</v>
      </c>
      <c r="G65" s="114">
        <f t="shared" si="61"/>
        <v>-5120</v>
      </c>
      <c r="H65" s="114">
        <f t="shared" si="61"/>
        <v>-5440</v>
      </c>
      <c r="I65" s="114">
        <f t="shared" si="61"/>
        <v>-1062</v>
      </c>
      <c r="J65" s="114">
        <f t="shared" si="61"/>
        <v>-6314</v>
      </c>
      <c r="K65" s="114">
        <f t="shared" si="61"/>
        <v>-7963</v>
      </c>
      <c r="L65" s="114">
        <f t="shared" si="61"/>
        <v>-9107</v>
      </c>
      <c r="M65" s="114">
        <f t="shared" si="61"/>
        <v>-9655</v>
      </c>
      <c r="N65" s="114">
        <f t="shared" si="61"/>
        <v>-9825</v>
      </c>
      <c r="O65" s="114">
        <f t="shared" si="61"/>
        <v>-9805</v>
      </c>
      <c r="P65" s="114">
        <f t="shared" si="61"/>
        <v>-8983</v>
      </c>
      <c r="Q65" s="114">
        <f t="shared" si="61"/>
        <v>-10057</v>
      </c>
      <c r="R65" s="114">
        <f t="shared" si="61"/>
        <v>-11500</v>
      </c>
      <c r="S65" s="114">
        <f t="shared" si="61"/>
        <v>-8664</v>
      </c>
      <c r="T65" s="114">
        <f t="shared" si="61"/>
        <v>-9787</v>
      </c>
      <c r="U65" s="114">
        <f t="shared" si="61"/>
        <v>-11171</v>
      </c>
      <c r="V65" s="114">
        <v>-13024</v>
      </c>
      <c r="W65" s="114">
        <v>-10256</v>
      </c>
      <c r="X65" s="114">
        <v>-9586</v>
      </c>
      <c r="Y65" s="114">
        <v>-9238</v>
      </c>
      <c r="Z65" s="114">
        <v>-8475</v>
      </c>
      <c r="AA65" s="114">
        <v>-6954</v>
      </c>
      <c r="AB65" s="116">
        <v>-8724</v>
      </c>
      <c r="AC65" s="116">
        <v>-9298</v>
      </c>
      <c r="AD65" s="116">
        <v>-8571</v>
      </c>
      <c r="AE65" s="116">
        <v>-10053</v>
      </c>
      <c r="AF65" s="114"/>
      <c r="AG65" s="114">
        <f>-(AG62-AG74-AG67)</f>
        <v>-5528</v>
      </c>
      <c r="AH65" s="114">
        <f>+M65-AG65</f>
        <v>-4127</v>
      </c>
      <c r="AI65" s="114">
        <f>-(AI62-AI74-AI67)</f>
        <v>-5733</v>
      </c>
      <c r="AJ65" s="114">
        <f>+N65-AI65</f>
        <v>-4092</v>
      </c>
      <c r="AK65" s="114">
        <f>-(AK62-AK74-AK67)</f>
        <v>-4689</v>
      </c>
      <c r="AL65" s="114">
        <f>+O65-AK65</f>
        <v>-5116</v>
      </c>
      <c r="AM65" s="114">
        <f>-(AM62-AM74-AM67)</f>
        <v>-4402</v>
      </c>
      <c r="AN65" s="114">
        <f>+P65-AM65</f>
        <v>-4581</v>
      </c>
      <c r="AO65" s="114">
        <f>-(AO62-AO74-AO67)</f>
        <v>-5036</v>
      </c>
      <c r="AP65" s="114">
        <f>+Q65-AO65</f>
        <v>-5021</v>
      </c>
      <c r="AQ65" s="114">
        <f>-(AQ62-AQ74-AQ67)</f>
        <v>-5915</v>
      </c>
      <c r="AR65" s="114">
        <f>+R65-AQ65</f>
        <v>-5585</v>
      </c>
      <c r="AS65" s="114">
        <f>-(AS62-AS74-AS67)</f>
        <v>-4875</v>
      </c>
      <c r="AT65" s="114">
        <f>+S65-AS65</f>
        <v>-3789</v>
      </c>
      <c r="AU65" s="114">
        <f>-(AU62-AU74-AU67)</f>
        <v>-4428</v>
      </c>
      <c r="AV65" s="114">
        <f>+T65-AU65</f>
        <v>-5359</v>
      </c>
      <c r="AW65" s="114"/>
      <c r="AX65" s="115"/>
      <c r="AY65" s="115"/>
      <c r="AZ65" s="115"/>
      <c r="BA65" s="115"/>
      <c r="BB65" s="114">
        <f>-(BB62-BB74-BB67)</f>
        <v>-2814</v>
      </c>
      <c r="BC65" s="114">
        <f>+AO65-BB65</f>
        <v>-2222</v>
      </c>
      <c r="BD65" s="114">
        <f>-(BD62-BD74-BD67)</f>
        <v>-1609</v>
      </c>
      <c r="BE65" s="115"/>
      <c r="BF65" s="114">
        <f>+AP65-BD65</f>
        <v>-3412</v>
      </c>
      <c r="BG65" s="114">
        <f>-(BG62-BG74-BG67)</f>
        <v>-3174</v>
      </c>
      <c r="BH65" s="114">
        <f>+AQ65-BG65</f>
        <v>-2741</v>
      </c>
      <c r="BI65" s="114">
        <f>-(BI62-BI74-BI67)</f>
        <v>-3980</v>
      </c>
      <c r="BJ65" s="115"/>
      <c r="BK65" s="114">
        <f>+AR65-BI65</f>
        <v>-1605</v>
      </c>
      <c r="BL65" s="114">
        <f>-(BL62-BL74-BL67)</f>
        <v>-2547</v>
      </c>
      <c r="BM65" s="114">
        <f>+AS65-BL65</f>
        <v>-2328</v>
      </c>
      <c r="BN65" s="114">
        <f>-(BN62-BN74-BN67)</f>
        <v>-4009</v>
      </c>
      <c r="BO65" s="115"/>
      <c r="BP65" s="114">
        <f>+AT65-BN65</f>
        <v>220</v>
      </c>
      <c r="BQ65" s="114">
        <f>-(BQ62-BQ74-BQ67)</f>
        <v>-2547</v>
      </c>
      <c r="BR65" s="114">
        <f>+AU65-BQ65</f>
        <v>-1881</v>
      </c>
      <c r="BS65" s="114">
        <f>+BT65-AU65</f>
        <v>-3421</v>
      </c>
      <c r="BT65" s="114">
        <f>-(BT62-BT74-BT67)</f>
        <v>-7849</v>
      </c>
      <c r="BU65" s="114">
        <f>+AV65-BS65</f>
        <v>-1938</v>
      </c>
      <c r="BV65" s="114">
        <f>-(BV62-BV74-BV67)</f>
        <v>-3111</v>
      </c>
      <c r="BW65" s="114"/>
      <c r="BX65" s="114"/>
      <c r="BY65" s="115"/>
      <c r="BZ65" s="114"/>
      <c r="CA65" s="114"/>
      <c r="CB65" s="115"/>
      <c r="CC65" s="115"/>
      <c r="CD65" s="115"/>
      <c r="CE65" s="115"/>
      <c r="CF65" s="115"/>
      <c r="CG65" s="115"/>
      <c r="CH65" s="115"/>
      <c r="CI65" s="115"/>
      <c r="CJ65" s="115"/>
      <c r="CK65" s="115"/>
      <c r="CL65" s="115"/>
      <c r="CM65" s="114"/>
      <c r="CN65" s="114"/>
      <c r="CO65" s="114"/>
    </row>
    <row r="66" spans="1:93">
      <c r="A66" s="23"/>
      <c r="B66" s="23"/>
      <c r="C66" s="23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121"/>
      <c r="CC66" s="121"/>
      <c r="CD66" s="121"/>
      <c r="CE66" s="121"/>
      <c r="CF66" s="121"/>
      <c r="CG66" s="121"/>
      <c r="CH66" s="121"/>
      <c r="CI66" s="121"/>
      <c r="CJ66" s="121"/>
      <c r="CK66" s="121"/>
      <c r="CL66" s="121"/>
      <c r="CM66" s="23"/>
      <c r="CN66" s="23"/>
      <c r="CO66" s="23"/>
    </row>
    <row r="67" spans="1:93">
      <c r="A67" s="114"/>
      <c r="B67" s="114" t="s">
        <v>183</v>
      </c>
      <c r="C67" s="114" t="s">
        <v>598</v>
      </c>
      <c r="D67" s="115"/>
      <c r="E67" s="115">
        <v>110</v>
      </c>
      <c r="F67" s="115">
        <v>110</v>
      </c>
      <c r="G67" s="115">
        <v>24</v>
      </c>
      <c r="H67" s="115">
        <v>491</v>
      </c>
      <c r="I67" s="115">
        <v>312</v>
      </c>
      <c r="J67" s="115">
        <v>756</v>
      </c>
      <c r="K67" s="115">
        <v>667</v>
      </c>
      <c r="L67" s="115">
        <v>852</v>
      </c>
      <c r="M67" s="115">
        <v>-1458</v>
      </c>
      <c r="N67" s="115">
        <v>-1157</v>
      </c>
      <c r="O67" s="115">
        <v>-915</v>
      </c>
      <c r="P67" s="115">
        <v>-1150</v>
      </c>
      <c r="Q67" s="115">
        <v>-587</v>
      </c>
      <c r="R67" s="115">
        <v>-796</v>
      </c>
      <c r="S67" s="115">
        <v>-648</v>
      </c>
      <c r="T67" s="115">
        <v>-523</v>
      </c>
      <c r="U67" s="115">
        <v>-486</v>
      </c>
      <c r="V67" s="114">
        <v>-556</v>
      </c>
      <c r="W67" s="114">
        <v>-483</v>
      </c>
      <c r="X67" s="114">
        <v>-856</v>
      </c>
      <c r="Y67" s="114">
        <v>-387</v>
      </c>
      <c r="Z67" s="114">
        <v>-380</v>
      </c>
      <c r="AA67" s="114">
        <v>-513</v>
      </c>
      <c r="AB67" s="116">
        <v>-496</v>
      </c>
      <c r="AC67" s="116">
        <v>-540</v>
      </c>
      <c r="AD67" s="116">
        <v>-600</v>
      </c>
      <c r="AE67" s="116">
        <v>-368</v>
      </c>
      <c r="AF67" s="114"/>
      <c r="AG67" s="115">
        <v>903</v>
      </c>
      <c r="AH67" s="114">
        <f>+M67-AG67</f>
        <v>-2361</v>
      </c>
      <c r="AI67" s="115">
        <v>602</v>
      </c>
      <c r="AJ67" s="114">
        <f>+N67-AI67</f>
        <v>-1759</v>
      </c>
      <c r="AK67" s="115">
        <v>608</v>
      </c>
      <c r="AL67" s="114">
        <f>+O67-AK67</f>
        <v>-1523</v>
      </c>
      <c r="AM67" s="115">
        <v>723</v>
      </c>
      <c r="AN67" s="114">
        <f>+P67-AM67</f>
        <v>-1873</v>
      </c>
      <c r="AO67" s="115">
        <v>331</v>
      </c>
      <c r="AP67" s="114">
        <f>+Q67-AO67</f>
        <v>-918</v>
      </c>
      <c r="AQ67" s="115">
        <v>457</v>
      </c>
      <c r="AR67" s="114">
        <f>+R67-AQ67</f>
        <v>-1253</v>
      </c>
      <c r="AS67" s="115">
        <v>345</v>
      </c>
      <c r="AT67" s="114">
        <f>+S67-AS67</f>
        <v>-993</v>
      </c>
      <c r="AU67" s="115">
        <v>301</v>
      </c>
      <c r="AV67" s="114">
        <f>+T67-AU67</f>
        <v>-824</v>
      </c>
      <c r="AW67" s="114"/>
      <c r="AX67" s="115"/>
      <c r="AY67" s="115"/>
      <c r="AZ67" s="115"/>
      <c r="BA67" s="115"/>
      <c r="BB67" s="115">
        <v>239</v>
      </c>
      <c r="BC67" s="114">
        <f>+AO67-BB67</f>
        <v>92</v>
      </c>
      <c r="BD67" s="115">
        <v>97</v>
      </c>
      <c r="BE67" s="115"/>
      <c r="BF67" s="114">
        <f>+AP67-BD67</f>
        <v>-1015</v>
      </c>
      <c r="BG67" s="115">
        <v>237</v>
      </c>
      <c r="BH67" s="114">
        <f>+AQ67-BG67</f>
        <v>220</v>
      </c>
      <c r="BI67" s="115">
        <v>249</v>
      </c>
      <c r="BJ67" s="115"/>
      <c r="BK67" s="114">
        <f>+AR67-BI67</f>
        <v>-1502</v>
      </c>
      <c r="BL67" s="115">
        <v>161</v>
      </c>
      <c r="BM67" s="114">
        <f>+AS67-BL67</f>
        <v>184</v>
      </c>
      <c r="BN67" s="115">
        <v>159</v>
      </c>
      <c r="BO67" s="115"/>
      <c r="BP67" s="114">
        <f>+AT67-BN67</f>
        <v>-1152</v>
      </c>
      <c r="BQ67" s="115">
        <v>161</v>
      </c>
      <c r="BR67" s="114">
        <f>+AU67-BQ67</f>
        <v>140</v>
      </c>
      <c r="BS67" s="114">
        <f>+BT67-AU67</f>
        <v>112</v>
      </c>
      <c r="BT67" s="115">
        <v>413</v>
      </c>
      <c r="BU67" s="114">
        <f>+AV67-BS67</f>
        <v>-936</v>
      </c>
      <c r="BV67" s="115">
        <v>117</v>
      </c>
      <c r="BW67" s="114"/>
      <c r="BX67" s="114"/>
      <c r="BY67" s="115"/>
      <c r="BZ67" s="114"/>
      <c r="CA67" s="114"/>
      <c r="CB67" s="115"/>
      <c r="CC67" s="115"/>
      <c r="CD67" s="115"/>
      <c r="CE67" s="115"/>
      <c r="CF67" s="115"/>
      <c r="CG67" s="115"/>
      <c r="CH67" s="115"/>
      <c r="CI67" s="115"/>
      <c r="CJ67" s="115"/>
      <c r="CK67" s="115"/>
      <c r="CL67" s="115"/>
      <c r="CM67" s="114"/>
      <c r="CN67" s="114"/>
      <c r="CO67" s="114"/>
    </row>
    <row r="68" spans="1:93">
      <c r="A68" s="114"/>
      <c r="B68" s="114"/>
      <c r="C68" s="114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5"/>
      <c r="AH68" s="114"/>
      <c r="AI68" s="115"/>
      <c r="AJ68" s="114"/>
      <c r="AK68" s="115"/>
      <c r="AL68" s="114"/>
      <c r="AM68" s="115"/>
      <c r="AN68" s="114"/>
      <c r="AO68" s="115"/>
      <c r="AP68" s="114"/>
      <c r="AQ68" s="115"/>
      <c r="AR68" s="114"/>
      <c r="AS68" s="115"/>
      <c r="AT68" s="114"/>
      <c r="AU68" s="115"/>
      <c r="AV68" s="114"/>
      <c r="AW68" s="114"/>
      <c r="AX68" s="115"/>
      <c r="AY68" s="115"/>
      <c r="AZ68" s="115"/>
      <c r="BA68" s="115"/>
      <c r="BB68" s="115"/>
      <c r="BC68" s="114"/>
      <c r="BD68" s="115"/>
      <c r="BE68" s="115"/>
      <c r="BF68" s="114"/>
      <c r="BG68" s="115"/>
      <c r="BH68" s="114"/>
      <c r="BI68" s="115"/>
      <c r="BJ68" s="115"/>
      <c r="BK68" s="114"/>
      <c r="BL68" s="115"/>
      <c r="BM68" s="114"/>
      <c r="BN68" s="115"/>
      <c r="BO68" s="115"/>
      <c r="BP68" s="114"/>
      <c r="BQ68" s="115"/>
      <c r="BR68" s="114"/>
      <c r="BS68" s="114"/>
      <c r="BT68" s="115"/>
      <c r="BU68" s="114"/>
      <c r="BV68" s="115"/>
      <c r="BW68" s="114"/>
      <c r="BX68" s="114"/>
      <c r="BY68" s="115"/>
      <c r="BZ68" s="114"/>
      <c r="CA68" s="114"/>
      <c r="CB68" s="115"/>
      <c r="CC68" s="115"/>
      <c r="CD68" s="115"/>
      <c r="CE68" s="115"/>
      <c r="CF68" s="115"/>
      <c r="CG68" s="115"/>
      <c r="CH68" s="115"/>
      <c r="CI68" s="115"/>
      <c r="CJ68" s="115"/>
      <c r="CK68" s="115"/>
      <c r="CL68" s="115"/>
      <c r="CM68" s="114"/>
      <c r="CN68" s="114"/>
      <c r="CO68" s="114"/>
    </row>
    <row r="69" spans="1:93">
      <c r="A69" s="114"/>
      <c r="B69" s="114" t="s">
        <v>854</v>
      </c>
      <c r="C69" s="114" t="s">
        <v>853</v>
      </c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5"/>
      <c r="CC69" s="115"/>
      <c r="CD69" s="115"/>
      <c r="CE69" s="115"/>
      <c r="CF69" s="115"/>
      <c r="CG69" s="115"/>
      <c r="CH69" s="115"/>
      <c r="CI69" s="115"/>
      <c r="CJ69" s="115"/>
      <c r="CK69" s="115"/>
      <c r="CL69" s="115"/>
      <c r="CM69" s="115"/>
      <c r="CN69" s="115"/>
      <c r="CO69" s="114"/>
    </row>
    <row r="70" spans="1:93">
      <c r="A70" s="114"/>
      <c r="B70" s="114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14"/>
      <c r="BA70" s="114"/>
      <c r="BB70" s="114"/>
      <c r="BC70" s="114"/>
      <c r="BD70" s="114"/>
      <c r="BE70" s="114"/>
      <c r="BF70" s="114"/>
      <c r="BG70" s="114"/>
      <c r="BH70" s="114"/>
      <c r="BI70" s="114"/>
      <c r="BJ70" s="114"/>
      <c r="BK70" s="114"/>
      <c r="BL70" s="114"/>
      <c r="BM70" s="114"/>
      <c r="BN70" s="114"/>
      <c r="BO70" s="114"/>
      <c r="BP70" s="114"/>
      <c r="BQ70" s="114"/>
      <c r="BR70" s="114"/>
      <c r="BS70" s="114"/>
      <c r="BT70" s="114"/>
      <c r="BU70" s="114"/>
      <c r="BV70" s="114"/>
      <c r="BW70" s="114"/>
      <c r="BX70" s="114"/>
      <c r="BY70" s="114"/>
      <c r="BZ70" s="114"/>
      <c r="CA70" s="114"/>
      <c r="CB70" s="115"/>
      <c r="CC70" s="115"/>
      <c r="CD70" s="115"/>
      <c r="CE70" s="115"/>
      <c r="CF70" s="115"/>
      <c r="CG70" s="115"/>
      <c r="CH70" s="115"/>
      <c r="CI70" s="115"/>
      <c r="CJ70" s="115"/>
      <c r="CK70" s="115"/>
      <c r="CL70" s="115"/>
      <c r="CM70" s="115"/>
      <c r="CN70" s="115"/>
      <c r="CO70" s="114"/>
    </row>
    <row r="71" spans="1:93">
      <c r="A71" s="23"/>
      <c r="B71" s="23"/>
      <c r="C71" s="23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121"/>
      <c r="AH71" s="23"/>
      <c r="AI71" s="121"/>
      <c r="AJ71" s="23"/>
      <c r="AK71" s="121"/>
      <c r="AL71" s="23"/>
      <c r="AM71" s="121"/>
      <c r="AN71" s="23"/>
      <c r="AO71" s="121"/>
      <c r="AP71" s="23"/>
      <c r="AQ71" s="121"/>
      <c r="AR71" s="23"/>
      <c r="AS71" s="121"/>
      <c r="AT71" s="23"/>
      <c r="AU71" s="121"/>
      <c r="AV71" s="23"/>
      <c r="AW71" s="23"/>
      <c r="AX71" s="121"/>
      <c r="AY71" s="121"/>
      <c r="AZ71" s="121"/>
      <c r="BA71" s="121"/>
      <c r="BB71" s="121"/>
      <c r="BC71" s="23"/>
      <c r="BD71" s="121"/>
      <c r="BE71" s="121"/>
      <c r="BF71" s="23"/>
      <c r="BG71" s="121"/>
      <c r="BH71" s="23"/>
      <c r="BI71" s="121"/>
      <c r="BJ71" s="121"/>
      <c r="BK71" s="23"/>
      <c r="BL71" s="121"/>
      <c r="BM71" s="23"/>
      <c r="BN71" s="121"/>
      <c r="BO71" s="121"/>
      <c r="BP71" s="23"/>
      <c r="BQ71" s="121"/>
      <c r="BR71" s="23"/>
      <c r="BS71" s="23"/>
      <c r="BT71" s="121"/>
      <c r="BU71" s="23"/>
      <c r="BV71" s="121"/>
      <c r="BW71" s="23"/>
      <c r="BX71" s="23"/>
      <c r="BY71" s="121"/>
      <c r="BZ71" s="23"/>
      <c r="CA71" s="23"/>
      <c r="CB71" s="115"/>
      <c r="CC71" s="115"/>
      <c r="CD71" s="115"/>
      <c r="CE71" s="115"/>
      <c r="CF71" s="115"/>
      <c r="CG71" s="115"/>
      <c r="CH71" s="115"/>
      <c r="CI71" s="115"/>
      <c r="CJ71" s="115"/>
      <c r="CK71" s="115"/>
      <c r="CL71" s="115"/>
      <c r="CM71" s="115"/>
      <c r="CN71" s="115"/>
      <c r="CO71" s="23"/>
    </row>
    <row r="72" spans="1:93">
      <c r="A72" s="114"/>
      <c r="B72" s="124" t="s">
        <v>223</v>
      </c>
      <c r="C72" s="124" t="s">
        <v>852</v>
      </c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1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124"/>
      <c r="AW72" s="11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24"/>
      <c r="BP72" s="124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14"/>
      <c r="CB72" s="124"/>
      <c r="CC72" s="124"/>
      <c r="CD72" s="124"/>
      <c r="CE72" s="124"/>
      <c r="CF72" s="124"/>
      <c r="CG72" s="124"/>
      <c r="CH72" s="124"/>
      <c r="CI72" s="124"/>
      <c r="CJ72" s="124"/>
      <c r="CK72" s="124"/>
      <c r="CL72" s="124"/>
      <c r="CM72" s="124"/>
      <c r="CN72" s="124"/>
      <c r="CO72" s="114"/>
    </row>
    <row r="73" spans="1:9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133"/>
      <c r="CC73" s="133"/>
      <c r="CD73" s="133"/>
      <c r="CE73" s="133"/>
      <c r="CF73" s="133"/>
      <c r="CG73" s="133"/>
      <c r="CH73" s="133"/>
      <c r="CI73" s="133"/>
      <c r="CJ73" s="133"/>
      <c r="CK73" s="133"/>
      <c r="CL73" s="133"/>
      <c r="CM73" s="123"/>
      <c r="CN73" s="123"/>
      <c r="CO73" s="23"/>
    </row>
    <row r="74" spans="1:93">
      <c r="A74" s="114"/>
      <c r="B74" s="124" t="s">
        <v>851</v>
      </c>
      <c r="C74" s="124" t="s">
        <v>468</v>
      </c>
      <c r="D74" s="125"/>
      <c r="E74" s="125">
        <v>4398</v>
      </c>
      <c r="F74" s="125">
        <v>2067</v>
      </c>
      <c r="G74" s="125">
        <v>3464</v>
      </c>
      <c r="H74" s="125">
        <v>4781</v>
      </c>
      <c r="I74" s="125">
        <v>842</v>
      </c>
      <c r="J74" s="125">
        <v>6474</v>
      </c>
      <c r="K74" s="125">
        <v>7396</v>
      </c>
      <c r="L74" s="125">
        <v>9081</v>
      </c>
      <c r="M74" s="125">
        <v>11967</v>
      </c>
      <c r="N74" s="125">
        <v>13813</v>
      </c>
      <c r="O74" s="125">
        <v>6176</v>
      </c>
      <c r="P74" s="125">
        <v>11382</v>
      </c>
      <c r="Q74" s="125">
        <v>13829</v>
      </c>
      <c r="R74" s="125">
        <v>18506</v>
      </c>
      <c r="S74" s="125">
        <v>12415</v>
      </c>
      <c r="T74" s="125">
        <v>16119</v>
      </c>
      <c r="U74" s="125">
        <v>17280</v>
      </c>
      <c r="V74" s="124">
        <v>22723</v>
      </c>
      <c r="W74" s="124">
        <v>16901</v>
      </c>
      <c r="X74" s="124">
        <v>18363</v>
      </c>
      <c r="Y74" s="124">
        <v>20837</v>
      </c>
      <c r="Z74" s="124">
        <v>18431</v>
      </c>
      <c r="AA74" s="124">
        <v>18438</v>
      </c>
      <c r="AB74" s="126">
        <v>23379</v>
      </c>
      <c r="AC74" s="126">
        <v>29070</v>
      </c>
      <c r="AD74" s="126">
        <v>22414</v>
      </c>
      <c r="AE74" s="126">
        <v>33126</v>
      </c>
      <c r="AF74" s="114"/>
      <c r="AG74" s="125">
        <v>7281</v>
      </c>
      <c r="AH74" s="124">
        <f>+M74-AG74</f>
        <v>4686</v>
      </c>
      <c r="AI74" s="125">
        <v>8188</v>
      </c>
      <c r="AJ74" s="124">
        <f>+N74-AI74</f>
        <v>5625</v>
      </c>
      <c r="AK74" s="125">
        <v>304</v>
      </c>
      <c r="AL74" s="124">
        <f>+O74-AK74</f>
        <v>5872</v>
      </c>
      <c r="AM74" s="125">
        <v>5515</v>
      </c>
      <c r="AN74" s="124">
        <f>+P74-AM74</f>
        <v>5867</v>
      </c>
      <c r="AO74" s="125">
        <v>7901</v>
      </c>
      <c r="AP74" s="124">
        <f>+Q74-AO74</f>
        <v>5928</v>
      </c>
      <c r="AQ74" s="125">
        <v>9660</v>
      </c>
      <c r="AR74" s="124">
        <f>+R74-AQ74</f>
        <v>8846</v>
      </c>
      <c r="AS74" s="125">
        <v>7169</v>
      </c>
      <c r="AT74" s="124">
        <f>+S74-AS74</f>
        <v>5246</v>
      </c>
      <c r="AU74" s="125">
        <v>6264</v>
      </c>
      <c r="AV74" s="124">
        <f>+T74-AU74</f>
        <v>9855</v>
      </c>
      <c r="AW74" s="114"/>
      <c r="AX74" s="124"/>
      <c r="AY74" s="124"/>
      <c r="AZ74" s="124"/>
      <c r="BA74" s="124"/>
      <c r="BB74" s="125">
        <v>4656</v>
      </c>
      <c r="BC74" s="124">
        <f>+AO74-BB74</f>
        <v>3245</v>
      </c>
      <c r="BD74" s="125">
        <v>1710</v>
      </c>
      <c r="BE74" s="125"/>
      <c r="BF74" s="124">
        <f>+AP74-BD74</f>
        <v>4218</v>
      </c>
      <c r="BG74" s="125">
        <v>5191</v>
      </c>
      <c r="BH74" s="124">
        <f>+AQ74-BG74</f>
        <v>4469</v>
      </c>
      <c r="BI74" s="125">
        <v>6860</v>
      </c>
      <c r="BJ74" s="125"/>
      <c r="BK74" s="124">
        <f>+AR74-BI74</f>
        <v>1986</v>
      </c>
      <c r="BL74" s="125">
        <v>3688</v>
      </c>
      <c r="BM74" s="124">
        <f>+AS74-BL74</f>
        <v>3481</v>
      </c>
      <c r="BN74" s="125">
        <v>5250</v>
      </c>
      <c r="BO74" s="125"/>
      <c r="BP74" s="124">
        <f>+AT74-BN74</f>
        <v>-4</v>
      </c>
      <c r="BQ74" s="125">
        <v>3688</v>
      </c>
      <c r="BR74" s="124">
        <f>+AU74-BQ74</f>
        <v>2576</v>
      </c>
      <c r="BS74" s="124">
        <f>+BT74-AU74</f>
        <v>4767</v>
      </c>
      <c r="BT74" s="125">
        <v>11031</v>
      </c>
      <c r="BU74" s="124">
        <f>+AV74-BS74</f>
        <v>5088</v>
      </c>
      <c r="BV74" s="125">
        <v>3576</v>
      </c>
      <c r="BW74" s="124"/>
      <c r="BX74" s="124"/>
      <c r="BY74" s="125"/>
      <c r="BZ74" s="124"/>
      <c r="CA74" s="114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>
        <v>17000</v>
      </c>
      <c r="CO74" s="114"/>
    </row>
    <row r="75" spans="1:93" ht="12">
      <c r="A75" s="117"/>
      <c r="B75" s="117" t="s">
        <v>626</v>
      </c>
      <c r="C75" s="118"/>
      <c r="D75" s="117"/>
      <c r="E75" s="117">
        <f>Model!E76-E74</f>
        <v>0</v>
      </c>
      <c r="F75" s="117">
        <f>Model!F76-F74</f>
        <v>0</v>
      </c>
      <c r="G75" s="117">
        <f>Model!G76-G74</f>
        <v>0</v>
      </c>
      <c r="H75" s="117">
        <f>Model!H76-H74</f>
        <v>0</v>
      </c>
      <c r="I75" s="117">
        <f>Model!I76-I74</f>
        <v>0</v>
      </c>
      <c r="J75" s="117">
        <f>Model!J76-J74</f>
        <v>0</v>
      </c>
      <c r="K75" s="117">
        <f>Model!K76-K74</f>
        <v>0</v>
      </c>
      <c r="L75" s="117">
        <f>Model!L76-L74</f>
        <v>0</v>
      </c>
      <c r="M75" s="117">
        <f>Model!M76-M74</f>
        <v>0</v>
      </c>
      <c r="N75" s="117">
        <f>Model!N76-N74</f>
        <v>0</v>
      </c>
      <c r="O75" s="117">
        <f>Model!O76-O74</f>
        <v>0</v>
      </c>
      <c r="P75" s="117">
        <f>Model!P76-P74</f>
        <v>0</v>
      </c>
      <c r="Q75" s="117">
        <f>Model!Q76-Q74</f>
        <v>0</v>
      </c>
      <c r="R75" s="117">
        <f>Model!R76-R74</f>
        <v>0</v>
      </c>
      <c r="S75" s="117">
        <f>Model!S76-S74</f>
        <v>0</v>
      </c>
      <c r="T75" s="117">
        <f>Model!T76-T74</f>
        <v>0</v>
      </c>
      <c r="U75" s="117">
        <f>Model!U76-U74</f>
        <v>0</v>
      </c>
      <c r="V75" s="117">
        <f>Model!V76-V74</f>
        <v>0</v>
      </c>
      <c r="W75" s="117">
        <f>Model!W76-W74</f>
        <v>0</v>
      </c>
      <c r="X75" s="117">
        <f>Model!X76-X74</f>
        <v>0</v>
      </c>
      <c r="Y75" s="117">
        <f>Model!Y76-Y74</f>
        <v>0</v>
      </c>
      <c r="Z75" s="117">
        <f>Model!Z76-Z74</f>
        <v>0</v>
      </c>
      <c r="AA75" s="117">
        <f>Model!AA76-AA74</f>
        <v>0</v>
      </c>
      <c r="AB75" s="119">
        <f>Model!AB76-AB74</f>
        <v>0</v>
      </c>
      <c r="AC75" s="119">
        <f>Model!AC76-AC74</f>
        <v>0</v>
      </c>
      <c r="AD75" s="119">
        <f>Model!AD76-AD74</f>
        <v>0</v>
      </c>
      <c r="AE75" s="119">
        <f>Model!AE76-AE74</f>
        <v>0</v>
      </c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</row>
    <row r="76" spans="1:93">
      <c r="A76" s="114"/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  <c r="BH76" s="114"/>
      <c r="BI76" s="114"/>
      <c r="BJ76" s="114"/>
      <c r="BK76" s="114"/>
      <c r="BL76" s="114"/>
      <c r="BM76" s="114"/>
      <c r="BN76" s="114"/>
      <c r="BO76" s="114"/>
      <c r="BP76" s="114"/>
      <c r="BQ76" s="114"/>
      <c r="BR76" s="114"/>
      <c r="BS76" s="114"/>
      <c r="BT76" s="114"/>
      <c r="BU76" s="114"/>
      <c r="BV76" s="114"/>
      <c r="BW76" s="114"/>
      <c r="BX76" s="114"/>
      <c r="BY76" s="114"/>
      <c r="BZ76" s="114"/>
      <c r="CA76" s="114"/>
      <c r="CB76" s="115"/>
      <c r="CC76" s="115"/>
      <c r="CD76" s="115"/>
      <c r="CE76" s="115"/>
      <c r="CF76" s="115"/>
      <c r="CG76" s="115"/>
      <c r="CH76" s="115"/>
      <c r="CI76" s="115"/>
      <c r="CJ76" s="115"/>
      <c r="CK76" s="115"/>
      <c r="CL76" s="115"/>
      <c r="CM76" s="114"/>
      <c r="CN76" s="114"/>
      <c r="CO76" s="114"/>
    </row>
    <row r="77" spans="1:93">
      <c r="A77" s="23"/>
      <c r="B77" s="134" t="s">
        <v>850</v>
      </c>
      <c r="C77" s="135" t="s">
        <v>480</v>
      </c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  <c r="AE77" s="136"/>
      <c r="AF77" s="23"/>
      <c r="AG77" s="136"/>
      <c r="AH77" s="136"/>
      <c r="AI77" s="136"/>
      <c r="AJ77" s="136"/>
      <c r="AK77" s="136"/>
      <c r="AL77" s="136"/>
      <c r="AM77" s="136"/>
      <c r="AN77" s="136"/>
      <c r="AO77" s="136"/>
      <c r="AP77" s="136"/>
      <c r="AQ77" s="136"/>
      <c r="AR77" s="136"/>
      <c r="AS77" s="136"/>
      <c r="AT77" s="136"/>
      <c r="AU77" s="136"/>
      <c r="AV77" s="136"/>
      <c r="AW77" s="23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136"/>
      <c r="BP77" s="136"/>
      <c r="BQ77" s="136"/>
      <c r="BR77" s="136"/>
      <c r="BS77" s="136"/>
      <c r="BT77" s="136"/>
      <c r="BU77" s="136"/>
      <c r="BV77" s="136"/>
      <c r="BW77" s="136"/>
      <c r="BX77" s="136"/>
      <c r="BY77" s="136"/>
      <c r="BZ77" s="136"/>
      <c r="CA77" s="23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6"/>
      <c r="CN77" s="136"/>
      <c r="CO77" s="23"/>
    </row>
    <row r="78" spans="1:93">
      <c r="A78" s="138"/>
      <c r="B78" s="139" t="s">
        <v>849</v>
      </c>
      <c r="C78" s="139" t="s">
        <v>848</v>
      </c>
      <c r="D78" s="140"/>
      <c r="E78" s="140">
        <f t="shared" ref="E78:V78" si="62">E74/E86</f>
        <v>39.664128703550091</v>
      </c>
      <c r="F78" s="140">
        <f t="shared" si="62"/>
        <v>18.64159937022238</v>
      </c>
      <c r="G78" s="140">
        <f t="shared" si="62"/>
        <v>31.240687091654731</v>
      </c>
      <c r="H78" s="140">
        <f t="shared" si="62"/>
        <v>43.11828088487335</v>
      </c>
      <c r="I78" s="140">
        <f t="shared" si="62"/>
        <v>7.5937235944495622</v>
      </c>
      <c r="J78" s="140">
        <f t="shared" si="62"/>
        <v>58.394136355593993</v>
      </c>
      <c r="K78" s="140">
        <f t="shared" si="62"/>
        <v>66.754229996500641</v>
      </c>
      <c r="L78" s="140">
        <f t="shared" si="62"/>
        <v>83.062104751842071</v>
      </c>
      <c r="M78" s="140">
        <f t="shared" si="62"/>
        <v>109.51075413999288</v>
      </c>
      <c r="N78" s="140">
        <f t="shared" si="62"/>
        <v>126.45278346625599</v>
      </c>
      <c r="O78" s="140">
        <f t="shared" si="62"/>
        <v>60.525073040709501</v>
      </c>
      <c r="P78" s="140">
        <f t="shared" si="62"/>
        <v>111.59691578362576</v>
      </c>
      <c r="Q78" s="140">
        <f t="shared" si="62"/>
        <v>135.67186273190077</v>
      </c>
      <c r="R78" s="140">
        <f t="shared" si="62"/>
        <v>181.10306287986222</v>
      </c>
      <c r="S78" s="140">
        <f t="shared" si="62"/>
        <v>121.50312846333462</v>
      </c>
      <c r="T78" s="140">
        <f t="shared" si="62"/>
        <v>157.77033894724227</v>
      </c>
      <c r="U78" s="140">
        <f t="shared" si="62"/>
        <v>169.1454402353659</v>
      </c>
      <c r="V78" s="140">
        <f t="shared" si="62"/>
        <v>222.46038919143066</v>
      </c>
      <c r="W78" s="140">
        <f t="shared" ref="W78:X78" si="63">W74/W86</f>
        <v>165.48108281280048</v>
      </c>
      <c r="X78" s="140">
        <f t="shared" si="63"/>
        <v>179.80039717842135</v>
      </c>
      <c r="Y78" s="140">
        <f t="shared" ref="Y78:Z78" si="64">Y74/Y86</f>
        <v>204.02444459003243</v>
      </c>
      <c r="Z78" s="140">
        <f t="shared" si="64"/>
        <v>180.46734845222346</v>
      </c>
      <c r="AA78" s="140">
        <f t="shared" ref="AA78:AB78" si="65">AA74/AA86</f>
        <v>180.53632035724533</v>
      </c>
      <c r="AB78" s="140">
        <f t="shared" si="65"/>
        <v>228.91738809245359</v>
      </c>
      <c r="AC78" s="140">
        <f t="shared" ref="AC78:AD78" si="66">AC74/AC86</f>
        <v>284.64262281521366</v>
      </c>
      <c r="AD78" s="140">
        <f t="shared" si="66"/>
        <v>219.47006117089049</v>
      </c>
      <c r="AE78" s="140">
        <f t="shared" ref="AE78" si="67">AE74/AE86</f>
        <v>324.35913929854195</v>
      </c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38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>
        <v>166.4</v>
      </c>
      <c r="CO78" s="138"/>
    </row>
    <row r="79" spans="1:93">
      <c r="A79" s="139"/>
      <c r="B79" s="139" t="s">
        <v>847</v>
      </c>
      <c r="C79" s="139" t="s">
        <v>846</v>
      </c>
      <c r="D79" s="140"/>
      <c r="E79" s="140">
        <f t="shared" ref="E79:V79" si="68">E74/E88</f>
        <v>39.664128703550084</v>
      </c>
      <c r="F79" s="140">
        <f t="shared" si="68"/>
        <v>18.64159937022238</v>
      </c>
      <c r="G79" s="140">
        <f t="shared" si="68"/>
        <v>31.240687091654731</v>
      </c>
      <c r="H79" s="140">
        <f t="shared" si="68"/>
        <v>43.11828088487335</v>
      </c>
      <c r="I79" s="140">
        <f t="shared" si="68"/>
        <v>7.5937235944495622</v>
      </c>
      <c r="J79" s="140">
        <f t="shared" si="68"/>
        <v>58.386896140696514</v>
      </c>
      <c r="K79" s="140">
        <f t="shared" si="68"/>
        <v>66.70211366335981</v>
      </c>
      <c r="L79" s="140">
        <f t="shared" si="68"/>
        <v>81.898579526361601</v>
      </c>
      <c r="M79" s="140">
        <f t="shared" si="68"/>
        <v>109.51075413999288</v>
      </c>
      <c r="N79" s="140">
        <f t="shared" si="68"/>
        <v>126.45278346625599</v>
      </c>
      <c r="O79" s="140">
        <f t="shared" si="68"/>
        <v>55.699331258100344</v>
      </c>
      <c r="P79" s="140">
        <f t="shared" si="68"/>
        <v>102.65054863660917</v>
      </c>
      <c r="Q79" s="140">
        <f t="shared" si="68"/>
        <v>124.71924416584677</v>
      </c>
      <c r="R79" s="140">
        <f t="shared" si="68"/>
        <v>166.89958294404229</v>
      </c>
      <c r="S79" s="140">
        <f t="shared" si="68"/>
        <v>111.96683898466901</v>
      </c>
      <c r="T79" s="140">
        <f t="shared" si="68"/>
        <v>145.37200786096494</v>
      </c>
      <c r="U79" s="140">
        <f t="shared" si="68"/>
        <v>155.84268849416677</v>
      </c>
      <c r="V79" s="140">
        <f t="shared" si="68"/>
        <v>204.93133163500877</v>
      </c>
      <c r="W79" s="140">
        <f t="shared" ref="W79:X79" si="69">W74/W88</f>
        <v>152.42461100925419</v>
      </c>
      <c r="X79" s="140">
        <f t="shared" si="69"/>
        <v>165.60991254736021</v>
      </c>
      <c r="Y79" s="140">
        <f t="shared" ref="Y79:Z79" si="70">Y74/Y88</f>
        <v>187.92211227736996</v>
      </c>
      <c r="Z79" s="140">
        <f t="shared" si="70"/>
        <v>166.22318238634188</v>
      </c>
      <c r="AA79" s="140">
        <f t="shared" ref="AA79:AB79" si="71">AA74/AA88</f>
        <v>166.2861061491931</v>
      </c>
      <c r="AB79" s="140">
        <f t="shared" si="71"/>
        <v>210.8472167463934</v>
      </c>
      <c r="AC79" s="140">
        <f t="shared" ref="AC79:AD79" si="72">AC74/AC88</f>
        <v>262.17242110630303</v>
      </c>
      <c r="AD79" s="140">
        <f t="shared" si="72"/>
        <v>202.14456133728322</v>
      </c>
      <c r="AE79" s="140">
        <f>AE74/AE88</f>
        <v>298.75259832510233</v>
      </c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39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0"/>
      <c r="CN79" s="141"/>
      <c r="CO79" s="139"/>
    </row>
    <row r="80" spans="1:93">
      <c r="A80" s="23"/>
      <c r="B80" s="23"/>
      <c r="C80" s="23"/>
      <c r="D80" s="121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23"/>
    </row>
    <row r="81" spans="1:93">
      <c r="A81" s="23"/>
      <c r="B81" s="134" t="s">
        <v>845</v>
      </c>
      <c r="C81" s="135" t="s">
        <v>43</v>
      </c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  <c r="AE81" s="136"/>
      <c r="AF81" s="23"/>
      <c r="AG81" s="136"/>
      <c r="AH81" s="136"/>
      <c r="AI81" s="136"/>
      <c r="AJ81" s="136"/>
      <c r="AK81" s="136"/>
      <c r="AL81" s="136"/>
      <c r="AM81" s="136"/>
      <c r="AN81" s="136"/>
      <c r="AO81" s="136"/>
      <c r="AP81" s="136"/>
      <c r="AQ81" s="136"/>
      <c r="AR81" s="136"/>
      <c r="AS81" s="136"/>
      <c r="AT81" s="136"/>
      <c r="AU81" s="136"/>
      <c r="AV81" s="136"/>
      <c r="AW81" s="23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  <c r="BI81" s="136"/>
      <c r="BJ81" s="136"/>
      <c r="BK81" s="136"/>
      <c r="BL81" s="136"/>
      <c r="BM81" s="136"/>
      <c r="BN81" s="136"/>
      <c r="BO81" s="136"/>
      <c r="BP81" s="136"/>
      <c r="BQ81" s="136"/>
      <c r="BR81" s="136"/>
      <c r="BS81" s="136"/>
      <c r="BT81" s="136"/>
      <c r="BU81" s="136"/>
      <c r="BV81" s="136"/>
      <c r="BW81" s="136"/>
      <c r="BX81" s="136"/>
      <c r="BY81" s="136"/>
      <c r="BZ81" s="136"/>
      <c r="CA81" s="23"/>
      <c r="CB81" s="137"/>
      <c r="CC81" s="137"/>
      <c r="CD81" s="137"/>
      <c r="CE81" s="137"/>
      <c r="CF81" s="137"/>
      <c r="CG81" s="137"/>
      <c r="CH81" s="137"/>
      <c r="CI81" s="137"/>
      <c r="CJ81" s="137"/>
      <c r="CK81" s="137"/>
      <c r="CL81" s="137"/>
      <c r="CM81" s="137"/>
      <c r="CN81" s="137"/>
      <c r="CO81" s="23"/>
    </row>
    <row r="82" spans="1:93">
      <c r="A82" s="23"/>
      <c r="B82" s="23" t="s">
        <v>844</v>
      </c>
      <c r="C82" s="23" t="s">
        <v>843</v>
      </c>
      <c r="D82" s="121"/>
      <c r="E82" s="121"/>
      <c r="F82" s="121"/>
      <c r="G82" s="121"/>
      <c r="H82" s="121">
        <v>-1432</v>
      </c>
      <c r="I82" s="121">
        <v>-1431</v>
      </c>
      <c r="J82" s="121">
        <v>-1370</v>
      </c>
      <c r="K82" s="121">
        <v>-1376</v>
      </c>
      <c r="L82" s="121">
        <v>-1881</v>
      </c>
      <c r="M82" s="121">
        <v>-1385</v>
      </c>
      <c r="N82" s="121">
        <v>-1706</v>
      </c>
      <c r="O82" s="121">
        <v>-3042</v>
      </c>
      <c r="P82" s="121">
        <v>-2512</v>
      </c>
      <c r="Q82" s="121">
        <v>-3256</v>
      </c>
      <c r="R82" s="121">
        <v>-3261</v>
      </c>
      <c r="S82" s="121">
        <v>-4598</v>
      </c>
      <c r="T82" s="121">
        <v>-4086</v>
      </c>
      <c r="U82" s="121">
        <v>-4086</v>
      </c>
      <c r="V82" s="23">
        <v>-5109</v>
      </c>
      <c r="W82" s="23">
        <v>-5109</v>
      </c>
      <c r="X82" s="23">
        <v>-6130</v>
      </c>
      <c r="Y82" s="23">
        <v>-6130</v>
      </c>
      <c r="Z82" s="23">
        <v>-6130</v>
      </c>
      <c r="AA82" s="23">
        <v>-7152</v>
      </c>
      <c r="AB82" s="122">
        <v>-8174</v>
      </c>
      <c r="AC82" s="122">
        <v>-9195</v>
      </c>
      <c r="AD82" s="122">
        <v>-9195</v>
      </c>
      <c r="AE82" s="122">
        <v>-10217</v>
      </c>
      <c r="AF82" s="23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23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23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23"/>
      <c r="CN82" s="23"/>
      <c r="CO82" s="23"/>
    </row>
    <row r="83" spans="1:93">
      <c r="A83" s="142"/>
      <c r="B83" s="142" t="s">
        <v>842</v>
      </c>
      <c r="C83" s="143" t="s">
        <v>841</v>
      </c>
      <c r="D83" s="144"/>
      <c r="E83" s="144">
        <v>12</v>
      </c>
      <c r="F83" s="144">
        <v>12</v>
      </c>
      <c r="G83" s="144">
        <v>12</v>
      </c>
      <c r="H83" s="144">
        <v>12</v>
      </c>
      <c r="I83" s="144">
        <v>12</v>
      </c>
      <c r="J83" s="144">
        <v>12</v>
      </c>
      <c r="K83" s="144">
        <v>17</v>
      </c>
      <c r="L83" s="144">
        <v>12</v>
      </c>
      <c r="M83" s="144">
        <v>15</v>
      </c>
      <c r="N83" s="144">
        <v>20</v>
      </c>
      <c r="O83" s="144">
        <v>20</v>
      </c>
      <c r="P83" s="144">
        <v>25</v>
      </c>
      <c r="Q83" s="144">
        <v>30</v>
      </c>
      <c r="R83" s="144">
        <v>40</v>
      </c>
      <c r="S83" s="144">
        <v>40</v>
      </c>
      <c r="T83" s="144">
        <v>40</v>
      </c>
      <c r="U83" s="144">
        <v>50</v>
      </c>
      <c r="V83" s="145">
        <v>50</v>
      </c>
      <c r="W83" s="145">
        <v>50</v>
      </c>
      <c r="X83" s="145">
        <v>60</v>
      </c>
      <c r="Y83" s="145">
        <v>60</v>
      </c>
      <c r="Z83" s="145">
        <v>60</v>
      </c>
      <c r="AA83" s="145">
        <v>70</v>
      </c>
      <c r="AB83" s="146">
        <v>80</v>
      </c>
      <c r="AC83" s="146">
        <v>90</v>
      </c>
      <c r="AD83" s="146">
        <v>90</v>
      </c>
      <c r="AE83" s="146">
        <v>100</v>
      </c>
      <c r="AF83" s="138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  <c r="AS83" s="144"/>
      <c r="AT83" s="144"/>
      <c r="AU83" s="144"/>
      <c r="AV83" s="144"/>
      <c r="AW83" s="142"/>
      <c r="AX83" s="144"/>
      <c r="AY83" s="144"/>
      <c r="AZ83" s="144"/>
      <c r="BA83" s="144"/>
      <c r="BB83" s="144"/>
      <c r="BC83" s="144"/>
      <c r="BD83" s="144"/>
      <c r="BE83" s="144"/>
      <c r="BF83" s="144"/>
      <c r="BG83" s="144"/>
      <c r="BH83" s="144"/>
      <c r="BI83" s="144"/>
      <c r="BJ83" s="144"/>
      <c r="BK83" s="144"/>
      <c r="BL83" s="144"/>
      <c r="BM83" s="144"/>
      <c r="BN83" s="144"/>
      <c r="BO83" s="144"/>
      <c r="BP83" s="144"/>
      <c r="BQ83" s="144"/>
      <c r="BR83" s="144"/>
      <c r="BS83" s="144"/>
      <c r="BT83" s="144"/>
      <c r="BU83" s="144"/>
      <c r="BV83" s="144"/>
      <c r="BW83" s="144"/>
      <c r="BX83" s="144"/>
      <c r="BY83" s="144"/>
      <c r="BZ83" s="144"/>
      <c r="CA83" s="138"/>
      <c r="CB83" s="144"/>
      <c r="CC83" s="144"/>
      <c r="CD83" s="144"/>
      <c r="CE83" s="144"/>
      <c r="CF83" s="144"/>
      <c r="CG83" s="144"/>
      <c r="CH83" s="144"/>
      <c r="CI83" s="144"/>
      <c r="CJ83" s="144"/>
      <c r="CK83" s="144"/>
      <c r="CL83" s="144"/>
      <c r="CM83" s="144"/>
      <c r="CN83" s="144">
        <v>50</v>
      </c>
      <c r="CO83" s="142"/>
    </row>
    <row r="84" spans="1:9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23"/>
      <c r="CN84" s="23"/>
      <c r="CO84" s="23"/>
    </row>
    <row r="85" spans="1:93">
      <c r="A85" s="23"/>
      <c r="B85" s="134" t="s">
        <v>840</v>
      </c>
      <c r="C85" s="135" t="s">
        <v>12</v>
      </c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  <c r="AF85" s="23"/>
      <c r="AG85" s="136"/>
      <c r="AH85" s="136"/>
      <c r="AI85" s="136"/>
      <c r="AJ85" s="136"/>
      <c r="AK85" s="136"/>
      <c r="AL85" s="136"/>
      <c r="AM85" s="136"/>
      <c r="AN85" s="136"/>
      <c r="AO85" s="136"/>
      <c r="AP85" s="136"/>
      <c r="AQ85" s="136"/>
      <c r="AR85" s="136"/>
      <c r="AS85" s="136"/>
      <c r="AT85" s="136"/>
      <c r="AU85" s="136"/>
      <c r="AV85" s="136"/>
      <c r="AW85" s="23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  <c r="BN85" s="136"/>
      <c r="BO85" s="136"/>
      <c r="BP85" s="136"/>
      <c r="BQ85" s="136"/>
      <c r="BR85" s="136"/>
      <c r="BS85" s="136"/>
      <c r="BT85" s="136"/>
      <c r="BU85" s="136"/>
      <c r="BV85" s="136"/>
      <c r="BW85" s="136"/>
      <c r="BX85" s="136"/>
      <c r="BY85" s="136"/>
      <c r="BZ85" s="136"/>
      <c r="CA85" s="23"/>
      <c r="CB85" s="137"/>
      <c r="CC85" s="137"/>
      <c r="CD85" s="137"/>
      <c r="CE85" s="137"/>
      <c r="CF85" s="137"/>
      <c r="CG85" s="137"/>
      <c r="CH85" s="137"/>
      <c r="CI85" s="137"/>
      <c r="CJ85" s="137"/>
      <c r="CK85" s="137"/>
      <c r="CL85" s="137"/>
      <c r="CM85" s="136"/>
      <c r="CN85" s="136"/>
      <c r="CO85" s="23"/>
    </row>
    <row r="86" spans="1:93" s="1312" customFormat="1">
      <c r="A86" s="1308"/>
      <c r="B86" s="1309" t="s">
        <v>211</v>
      </c>
      <c r="C86" s="1308" t="s">
        <v>839</v>
      </c>
      <c r="D86" s="1310"/>
      <c r="E86" s="1310">
        <v>110.88104399999999</v>
      </c>
      <c r="F86" s="1310">
        <v>110.88104399999999</v>
      </c>
      <c r="G86" s="1310">
        <v>110.88104399999999</v>
      </c>
      <c r="H86" s="1310">
        <v>110.88104399999999</v>
      </c>
      <c r="I86" s="1310">
        <v>110.88104399999999</v>
      </c>
      <c r="J86" s="1310">
        <v>110.867296</v>
      </c>
      <c r="K86" s="1310">
        <v>110.794477</v>
      </c>
      <c r="L86" s="1310">
        <v>109.327834</v>
      </c>
      <c r="M86" s="1310">
        <v>109.276939</v>
      </c>
      <c r="N86" s="1310">
        <v>109.234448</v>
      </c>
      <c r="O86" s="1310">
        <v>102.040356</v>
      </c>
      <c r="P86" s="1310">
        <v>101.99206599999999</v>
      </c>
      <c r="Q86" s="1310">
        <v>101.929757</v>
      </c>
      <c r="R86" s="1310">
        <v>102.184909</v>
      </c>
      <c r="S86" s="1310">
        <v>102.178439</v>
      </c>
      <c r="T86" s="1310">
        <v>102.16749299999999</v>
      </c>
      <c r="U86" s="1310">
        <v>102.160602</v>
      </c>
      <c r="V86" s="1308">
        <v>102.14402699999999</v>
      </c>
      <c r="W86" s="1308">
        <v>102.13252</v>
      </c>
      <c r="X86" s="1308">
        <v>102.129919</v>
      </c>
      <c r="Y86" s="1308">
        <v>102.129919</v>
      </c>
      <c r="Z86" s="1308">
        <v>102.129278</v>
      </c>
      <c r="AA86" s="1308">
        <v>102.129034</v>
      </c>
      <c r="AB86" s="1311">
        <v>102.128546</v>
      </c>
      <c r="AC86" s="1311">
        <v>102.12806399999999</v>
      </c>
      <c r="AD86" s="1311">
        <v>102.127825</v>
      </c>
      <c r="AE86" s="1311">
        <v>102.127537</v>
      </c>
      <c r="AF86" s="1308"/>
      <c r="AG86" s="1308"/>
      <c r="AH86" s="1308"/>
      <c r="AI86" s="1308"/>
      <c r="AJ86" s="1308"/>
      <c r="AK86" s="1308"/>
      <c r="AL86" s="1308"/>
      <c r="AM86" s="1308"/>
      <c r="AN86" s="1308"/>
      <c r="AO86" s="1308"/>
      <c r="AP86" s="1308"/>
      <c r="AQ86" s="1308"/>
      <c r="AR86" s="1308"/>
      <c r="AS86" s="1308"/>
      <c r="AT86" s="1308"/>
      <c r="AU86" s="1308"/>
      <c r="AV86" s="1308"/>
      <c r="AW86" s="1308"/>
      <c r="AX86" s="1308"/>
      <c r="AY86" s="1308"/>
      <c r="AZ86" s="1308"/>
      <c r="BA86" s="1308"/>
      <c r="BB86" s="1308"/>
      <c r="BC86" s="1308"/>
      <c r="BD86" s="1308"/>
      <c r="BE86" s="1308"/>
      <c r="BF86" s="1308"/>
      <c r="BG86" s="1308"/>
      <c r="BH86" s="1308"/>
      <c r="BI86" s="1308"/>
      <c r="BJ86" s="1308"/>
      <c r="BK86" s="1308"/>
      <c r="BL86" s="1308"/>
      <c r="BM86" s="1308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  <c r="BX86" s="1308"/>
      <c r="BY86" s="1308"/>
      <c r="BZ86" s="1308"/>
      <c r="CA86" s="1308"/>
      <c r="CB86" s="1308"/>
      <c r="CC86" s="1308"/>
      <c r="CD86" s="1308"/>
      <c r="CE86" s="1308"/>
      <c r="CF86" s="1308"/>
      <c r="CG86" s="1308"/>
      <c r="CH86" s="1308"/>
      <c r="CI86" s="1308"/>
      <c r="CJ86" s="1308"/>
      <c r="CK86" s="1308"/>
      <c r="CL86" s="1308"/>
      <c r="CM86" s="1308"/>
      <c r="CN86" s="1308"/>
      <c r="CO86" s="1308"/>
    </row>
    <row r="87" spans="1:93" s="1312" customFormat="1">
      <c r="A87" s="1308"/>
      <c r="B87" s="1309" t="s">
        <v>128</v>
      </c>
      <c r="C87" s="1309" t="s">
        <v>209</v>
      </c>
      <c r="D87" s="1310"/>
      <c r="E87" s="1310">
        <v>0</v>
      </c>
      <c r="F87" s="1310">
        <v>0</v>
      </c>
      <c r="G87" s="1310">
        <v>0</v>
      </c>
      <c r="H87" s="1310">
        <v>0</v>
      </c>
      <c r="I87" s="1310">
        <v>0</v>
      </c>
      <c r="J87" s="1310">
        <v>1.3748E-2</v>
      </c>
      <c r="K87" s="1310">
        <v>8.6566999999999991E-2</v>
      </c>
      <c r="L87" s="1310">
        <v>1.55321</v>
      </c>
      <c r="M87" s="1310">
        <v>1.6041050000000001</v>
      </c>
      <c r="N87" s="1310">
        <v>1.6465959999999999</v>
      </c>
      <c r="O87" s="1310">
        <v>8.8406880000000001</v>
      </c>
      <c r="P87" s="1310">
        <v>8.8889779999999998</v>
      </c>
      <c r="Q87" s="1310">
        <v>8.9512870000000007</v>
      </c>
      <c r="R87" s="1310">
        <v>8.6961349999999999</v>
      </c>
      <c r="S87" s="1310">
        <v>8.7091829999999995</v>
      </c>
      <c r="T87" s="1310">
        <v>8.7179269999999995</v>
      </c>
      <c r="U87" s="1310">
        <v>8.7249750000000006</v>
      </c>
      <c r="V87" s="1308">
        <v>8.7446889999999993</v>
      </c>
      <c r="W87" s="1308">
        <v>8.7506540000000008</v>
      </c>
      <c r="X87" s="1308">
        <v>8.7513930000000002</v>
      </c>
      <c r="Y87" s="1308">
        <v>8.7515490000000007</v>
      </c>
      <c r="Z87" s="1308">
        <v>8.7518980000000006</v>
      </c>
      <c r="AA87" s="1308">
        <v>8.752148</v>
      </c>
      <c r="AB87" s="1311">
        <v>8.7526899999999994</v>
      </c>
      <c r="AC87" s="1311">
        <v>8.7531639999999999</v>
      </c>
      <c r="AD87" s="1311">
        <v>8.7533030000000007</v>
      </c>
      <c r="AE87" s="1311">
        <v>8.7536719999999999</v>
      </c>
      <c r="AF87" s="1308"/>
      <c r="AG87" s="1310"/>
      <c r="AH87" s="1310"/>
      <c r="AI87" s="1310"/>
      <c r="AJ87" s="1310"/>
      <c r="AK87" s="1310"/>
      <c r="AL87" s="1310"/>
      <c r="AM87" s="1310"/>
      <c r="AN87" s="1310"/>
      <c r="AO87" s="1310"/>
      <c r="AP87" s="1310"/>
      <c r="AQ87" s="1310"/>
      <c r="AR87" s="1310"/>
      <c r="AS87" s="1310"/>
      <c r="AT87" s="1310"/>
      <c r="AU87" s="1310"/>
      <c r="AV87" s="1310"/>
      <c r="AW87" s="1308"/>
      <c r="AX87" s="1310"/>
      <c r="AY87" s="1310"/>
      <c r="AZ87" s="1310"/>
      <c r="BA87" s="1310"/>
      <c r="BB87" s="1310"/>
      <c r="BC87" s="1310"/>
      <c r="BD87" s="1310"/>
      <c r="BE87" s="1310"/>
      <c r="BF87" s="1310"/>
      <c r="BG87" s="1310"/>
      <c r="BH87" s="1310"/>
      <c r="BI87" s="1310"/>
      <c r="BJ87" s="1310"/>
      <c r="BK87" s="1310"/>
      <c r="BL87" s="1310"/>
      <c r="BM87" s="1310"/>
      <c r="BN87" s="1310"/>
      <c r="BO87" s="1310"/>
      <c r="BP87" s="1310"/>
      <c r="BQ87" s="1310"/>
      <c r="BR87" s="1310"/>
      <c r="BS87" s="1310"/>
      <c r="BT87" s="1310"/>
      <c r="BU87" s="1310"/>
      <c r="BV87" s="1310"/>
      <c r="BW87" s="1310"/>
      <c r="BX87" s="1310"/>
      <c r="BY87" s="1310"/>
      <c r="BZ87" s="1310"/>
      <c r="CA87" s="1308"/>
      <c r="CB87" s="1308"/>
      <c r="CC87" s="1308"/>
      <c r="CD87" s="1308"/>
      <c r="CE87" s="1308"/>
      <c r="CF87" s="1308"/>
      <c r="CG87" s="1308"/>
      <c r="CH87" s="1308"/>
      <c r="CI87" s="1308"/>
      <c r="CJ87" s="1308"/>
      <c r="CK87" s="1308"/>
      <c r="CL87" s="1308"/>
      <c r="CM87" s="1308"/>
      <c r="CN87" s="1308"/>
      <c r="CO87" s="1308"/>
    </row>
    <row r="88" spans="1:93" s="1312" customFormat="1">
      <c r="A88" s="1309"/>
      <c r="B88" s="1309" t="s">
        <v>208</v>
      </c>
      <c r="C88" s="1309" t="s">
        <v>838</v>
      </c>
      <c r="D88" s="1309"/>
      <c r="E88" s="1309">
        <f t="shared" ref="E88:AA88" si="73">+E89+E87</f>
        <v>110.881044</v>
      </c>
      <c r="F88" s="1309">
        <f t="shared" si="73"/>
        <v>110.88104399999999</v>
      </c>
      <c r="G88" s="1309">
        <f t="shared" si="73"/>
        <v>110.88104399999999</v>
      </c>
      <c r="H88" s="1309">
        <f t="shared" si="73"/>
        <v>110.88104399999999</v>
      </c>
      <c r="I88" s="1309">
        <f t="shared" si="73"/>
        <v>110.88104399999999</v>
      </c>
      <c r="J88" s="1309">
        <f t="shared" si="73"/>
        <v>110.88104399999999</v>
      </c>
      <c r="K88" s="1309">
        <f t="shared" si="73"/>
        <v>110.881044</v>
      </c>
      <c r="L88" s="1309">
        <f t="shared" si="73"/>
        <v>110.881044</v>
      </c>
      <c r="M88" s="1309">
        <f t="shared" si="73"/>
        <v>109.276939</v>
      </c>
      <c r="N88" s="1309">
        <f t="shared" si="73"/>
        <v>109.234448</v>
      </c>
      <c r="O88" s="1309">
        <f t="shared" si="73"/>
        <v>110.881044</v>
      </c>
      <c r="P88" s="1309">
        <f t="shared" si="73"/>
        <v>110.88104399999999</v>
      </c>
      <c r="Q88" s="1309">
        <f t="shared" si="73"/>
        <v>110.881044</v>
      </c>
      <c r="R88" s="1309">
        <f t="shared" si="73"/>
        <v>110.88104399999999</v>
      </c>
      <c r="S88" s="1309">
        <f t="shared" si="73"/>
        <v>110.881044</v>
      </c>
      <c r="T88" s="1309">
        <f t="shared" si="73"/>
        <v>110.881044</v>
      </c>
      <c r="U88" s="1309">
        <f t="shared" si="73"/>
        <v>110.881044</v>
      </c>
      <c r="V88" s="1309">
        <f t="shared" si="73"/>
        <v>110.881044</v>
      </c>
      <c r="W88" s="1309">
        <f t="shared" si="73"/>
        <v>110.881044</v>
      </c>
      <c r="X88" s="1309">
        <f t="shared" si="73"/>
        <v>110.881044</v>
      </c>
      <c r="Y88" s="1309">
        <f t="shared" si="73"/>
        <v>110.881044</v>
      </c>
      <c r="Z88" s="1309">
        <f t="shared" si="73"/>
        <v>110.881044</v>
      </c>
      <c r="AA88" s="1309">
        <f t="shared" si="73"/>
        <v>110.88118200000001</v>
      </c>
      <c r="AB88" s="1309">
        <f t="shared" ref="AB88:AC88" si="74">+AB89+AB87</f>
        <v>110.881236</v>
      </c>
      <c r="AC88" s="1309">
        <f t="shared" si="74"/>
        <v>110.88122799999999</v>
      </c>
      <c r="AD88" s="1309">
        <v>110.881044</v>
      </c>
      <c r="AE88" s="1309">
        <v>110.881044</v>
      </c>
      <c r="AF88" s="1308"/>
      <c r="AG88" s="1309"/>
      <c r="AH88" s="1309"/>
      <c r="AI88" s="1309"/>
      <c r="AJ88" s="1309"/>
      <c r="AK88" s="1309"/>
      <c r="AL88" s="1309"/>
      <c r="AM88" s="1309"/>
      <c r="AN88" s="1309"/>
      <c r="AO88" s="1309"/>
      <c r="AP88" s="1309"/>
      <c r="AQ88" s="1309"/>
      <c r="AR88" s="1309"/>
      <c r="AS88" s="1309"/>
      <c r="AT88" s="1309"/>
      <c r="AU88" s="1309"/>
      <c r="AV88" s="1309"/>
      <c r="AW88" s="1309"/>
      <c r="AX88" s="1309"/>
      <c r="AY88" s="1309"/>
      <c r="AZ88" s="1309"/>
      <c r="BA88" s="1309"/>
      <c r="BB88" s="1309"/>
      <c r="BC88" s="1309"/>
      <c r="BD88" s="1309"/>
      <c r="BE88" s="1309"/>
      <c r="BF88" s="1309"/>
      <c r="BG88" s="1309"/>
      <c r="BH88" s="1309"/>
      <c r="BI88" s="1309"/>
      <c r="BJ88" s="1309"/>
      <c r="BK88" s="1309"/>
      <c r="BL88" s="1309"/>
      <c r="BM88" s="1309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  <c r="BX88" s="1309"/>
      <c r="BY88" s="1309"/>
      <c r="BZ88" s="1309"/>
      <c r="CA88" s="1308"/>
      <c r="CB88" s="1308"/>
      <c r="CC88" s="1308"/>
      <c r="CD88" s="1308"/>
      <c r="CE88" s="1308"/>
      <c r="CF88" s="1308"/>
      <c r="CG88" s="1308"/>
      <c r="CH88" s="1308"/>
      <c r="CI88" s="1308"/>
      <c r="CJ88" s="1308"/>
      <c r="CK88" s="1308"/>
      <c r="CL88" s="1308"/>
      <c r="CM88" s="1308"/>
      <c r="CN88" s="1308"/>
      <c r="CO88" s="1309"/>
    </row>
    <row r="89" spans="1:93" s="1312" customFormat="1">
      <c r="A89" s="1309"/>
      <c r="B89" s="1309" t="s">
        <v>206</v>
      </c>
      <c r="C89" s="1313" t="s">
        <v>837</v>
      </c>
      <c r="D89" s="1309"/>
      <c r="E89" s="1314">
        <v>110.881044</v>
      </c>
      <c r="F89" s="1314">
        <v>110.88104399999999</v>
      </c>
      <c r="G89" s="1314">
        <v>110.88104399999999</v>
      </c>
      <c r="H89" s="1314">
        <v>110.88104399999999</v>
      </c>
      <c r="I89" s="1314">
        <v>110.88104399999999</v>
      </c>
      <c r="J89" s="1314">
        <v>110.86729599999998</v>
      </c>
      <c r="K89" s="1314">
        <v>110.794477</v>
      </c>
      <c r="L89" s="1314">
        <v>109.327834</v>
      </c>
      <c r="M89" s="1314">
        <f t="shared" ref="M89:N89" si="75">M86-M87</f>
        <v>107.67283399999999</v>
      </c>
      <c r="N89" s="1314">
        <f t="shared" si="75"/>
        <v>107.587852</v>
      </c>
      <c r="O89" s="1314">
        <v>102.040356</v>
      </c>
      <c r="P89" s="1314">
        <v>101.99206599999999</v>
      </c>
      <c r="Q89" s="1314">
        <v>101.929757</v>
      </c>
      <c r="R89" s="1314">
        <v>102.18490899999999</v>
      </c>
      <c r="S89" s="1314">
        <v>102.17186100000001</v>
      </c>
      <c r="T89" s="1314">
        <v>102.163117</v>
      </c>
      <c r="U89" s="1314">
        <v>102.156069</v>
      </c>
      <c r="V89" s="1314">
        <v>102.13635500000001</v>
      </c>
      <c r="W89" s="1314">
        <v>102.13039000000001</v>
      </c>
      <c r="X89" s="1314">
        <v>102.129651</v>
      </c>
      <c r="Y89" s="1314">
        <v>102.12949500000001</v>
      </c>
      <c r="Z89" s="1314">
        <v>102.12914600000001</v>
      </c>
      <c r="AA89" s="1314">
        <v>102.129034</v>
      </c>
      <c r="AB89" s="1315">
        <v>102.128546</v>
      </c>
      <c r="AC89" s="1315">
        <v>102.12806399999999</v>
      </c>
      <c r="AD89" s="1315">
        <f>+AD88-AD87</f>
        <v>102.127741</v>
      </c>
      <c r="AE89" s="1315">
        <f>+AE88-AE87</f>
        <v>102.12737200000001</v>
      </c>
      <c r="AF89" s="1308"/>
      <c r="AG89" s="1314"/>
      <c r="AH89" s="1314"/>
      <c r="AI89" s="1314"/>
      <c r="AJ89" s="1314"/>
      <c r="AK89" s="1314"/>
      <c r="AL89" s="1314"/>
      <c r="AM89" s="1314"/>
      <c r="AN89" s="1314"/>
      <c r="AO89" s="1314"/>
      <c r="AP89" s="1314"/>
      <c r="AQ89" s="1314"/>
      <c r="AR89" s="1314"/>
      <c r="AS89" s="1314"/>
      <c r="AT89" s="1314"/>
      <c r="AU89" s="1314"/>
      <c r="AV89" s="1314"/>
      <c r="AW89" s="1309"/>
      <c r="AX89" s="1314"/>
      <c r="AY89" s="1314"/>
      <c r="AZ89" s="1314"/>
      <c r="BA89" s="1314"/>
      <c r="BB89" s="1314"/>
      <c r="BC89" s="1314"/>
      <c r="BD89" s="1314"/>
      <c r="BE89" s="1314"/>
      <c r="BF89" s="1314"/>
      <c r="BG89" s="1314"/>
      <c r="BH89" s="1314"/>
      <c r="BI89" s="1314"/>
      <c r="BJ89" s="1314"/>
      <c r="BK89" s="1314"/>
      <c r="BL89" s="1314"/>
      <c r="BM89" s="1314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  <c r="BX89" s="1314"/>
      <c r="BY89" s="1314"/>
      <c r="BZ89" s="1314"/>
      <c r="CA89" s="1308"/>
      <c r="CB89" s="1308"/>
      <c r="CC89" s="1308"/>
      <c r="CD89" s="1308"/>
      <c r="CE89" s="1308"/>
      <c r="CF89" s="1308"/>
      <c r="CG89" s="1308"/>
      <c r="CH89" s="1308"/>
      <c r="CI89" s="1308"/>
      <c r="CJ89" s="1308"/>
      <c r="CK89" s="1308"/>
      <c r="CL89" s="1308"/>
      <c r="CM89" s="1308"/>
      <c r="CN89" s="1308"/>
      <c r="CO89" s="1309"/>
    </row>
    <row r="90" spans="1:9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</row>
    <row r="91" spans="1:93">
      <c r="A91" s="25"/>
      <c r="B91" s="25" t="s">
        <v>166</v>
      </c>
      <c r="C91" s="25" t="s">
        <v>165</v>
      </c>
      <c r="D91" s="108"/>
      <c r="E91" s="108">
        <f t="shared" ref="E91:V91" si="76">E5</f>
        <v>1996</v>
      </c>
      <c r="F91" s="108">
        <f t="shared" si="76"/>
        <v>1997</v>
      </c>
      <c r="G91" s="108">
        <f t="shared" si="76"/>
        <v>1998</v>
      </c>
      <c r="H91" s="108">
        <f t="shared" si="76"/>
        <v>1999</v>
      </c>
      <c r="I91" s="108">
        <f t="shared" si="76"/>
        <v>2000</v>
      </c>
      <c r="J91" s="108">
        <f t="shared" si="76"/>
        <v>2001</v>
      </c>
      <c r="K91" s="108">
        <f t="shared" si="76"/>
        <v>2002</v>
      </c>
      <c r="L91" s="108">
        <f t="shared" si="76"/>
        <v>2003</v>
      </c>
      <c r="M91" s="108">
        <f t="shared" si="76"/>
        <v>2004</v>
      </c>
      <c r="N91" s="108">
        <f t="shared" si="76"/>
        <v>2005</v>
      </c>
      <c r="O91" s="108">
        <f t="shared" si="76"/>
        <v>2006</v>
      </c>
      <c r="P91" s="108">
        <f t="shared" si="76"/>
        <v>2007</v>
      </c>
      <c r="Q91" s="108">
        <f t="shared" si="76"/>
        <v>2008</v>
      </c>
      <c r="R91" s="108">
        <f t="shared" si="76"/>
        <v>2009</v>
      </c>
      <c r="S91" s="108">
        <f t="shared" si="76"/>
        <v>2010</v>
      </c>
      <c r="T91" s="108">
        <f t="shared" si="76"/>
        <v>2011</v>
      </c>
      <c r="U91" s="108">
        <f t="shared" si="76"/>
        <v>2012</v>
      </c>
      <c r="V91" s="108">
        <f t="shared" si="76"/>
        <v>2013</v>
      </c>
      <c r="W91" s="108">
        <f t="shared" ref="W91:X91" si="77">W5</f>
        <v>2014</v>
      </c>
      <c r="X91" s="108">
        <f t="shared" si="77"/>
        <v>2015</v>
      </c>
      <c r="Y91" s="108">
        <f t="shared" ref="Y91:AA91" si="78">Y5</f>
        <v>2016</v>
      </c>
      <c r="Z91" s="108">
        <f t="shared" si="78"/>
        <v>2017</v>
      </c>
      <c r="AA91" s="108">
        <f t="shared" si="78"/>
        <v>2018</v>
      </c>
      <c r="AB91" s="108">
        <f t="shared" ref="AB91:AC91" si="79">AB5</f>
        <v>2019</v>
      </c>
      <c r="AC91" s="108">
        <f t="shared" si="79"/>
        <v>2020</v>
      </c>
      <c r="AD91" s="108">
        <f t="shared" ref="AD91:AE91" si="80">AD5</f>
        <v>2021</v>
      </c>
      <c r="AE91" s="108">
        <f t="shared" si="80"/>
        <v>2022</v>
      </c>
      <c r="AF91" s="109"/>
      <c r="AG91" s="108" t="s">
        <v>762</v>
      </c>
      <c r="AH91" s="108" t="str">
        <f>AH5</f>
        <v>2H04</v>
      </c>
      <c r="AI91" s="108" t="s">
        <v>761</v>
      </c>
      <c r="AJ91" s="108" t="str">
        <f>AJ5</f>
        <v>2H05</v>
      </c>
      <c r="AK91" s="108" t="s">
        <v>760</v>
      </c>
      <c r="AL91" s="108" t="str">
        <f>AL5</f>
        <v>2H06</v>
      </c>
      <c r="AM91" s="108" t="s">
        <v>759</v>
      </c>
      <c r="AN91" s="108" t="str">
        <f>AN5</f>
        <v>2H07</v>
      </c>
      <c r="AO91" s="108" t="s">
        <v>758</v>
      </c>
      <c r="AP91" s="108" t="str">
        <f>AP5</f>
        <v>2H08</v>
      </c>
      <c r="AQ91" s="108" t="s">
        <v>757</v>
      </c>
      <c r="AR91" s="108" t="str">
        <f>AR5</f>
        <v>2H09</v>
      </c>
      <c r="AS91" s="108" t="s">
        <v>756</v>
      </c>
      <c r="AT91" s="108" t="str">
        <f>AT5</f>
        <v>2H10</v>
      </c>
      <c r="AU91" s="108" t="str">
        <f>AU5</f>
        <v>1H11</v>
      </c>
      <c r="AV91" s="108" t="str">
        <f>AV5</f>
        <v>2H11</v>
      </c>
      <c r="AX91" s="108" t="str">
        <f>AX5</f>
        <v>1Q07</v>
      </c>
      <c r="AY91" s="108" t="str">
        <f>AY5</f>
        <v>2Q07</v>
      </c>
      <c r="AZ91" s="108" t="str">
        <f>AZ5</f>
        <v>3Q07</v>
      </c>
      <c r="BA91" s="108" t="str">
        <f>BA5</f>
        <v>4Q07</v>
      </c>
      <c r="BB91" s="108" t="s">
        <v>755</v>
      </c>
      <c r="BC91" s="108" t="str">
        <f>BC5</f>
        <v>2Q08</v>
      </c>
      <c r="BD91" s="108" t="s">
        <v>754</v>
      </c>
      <c r="BE91" s="108" t="str">
        <f>BE5</f>
        <v>1-3Q08</v>
      </c>
      <c r="BF91" s="108" t="str">
        <f>BF5</f>
        <v>4Q08</v>
      </c>
      <c r="BG91" s="108" t="s">
        <v>753</v>
      </c>
      <c r="BH91" s="108" t="str">
        <f>BH5</f>
        <v>2Q09</v>
      </c>
      <c r="BI91" s="108" t="s">
        <v>752</v>
      </c>
      <c r="BJ91" s="108" t="str">
        <f>BJ5</f>
        <v>1-3Q09</v>
      </c>
      <c r="BK91" s="108" t="str">
        <f>BK5</f>
        <v>4Q09</v>
      </c>
      <c r="BL91" s="108" t="s">
        <v>751</v>
      </c>
      <c r="BM91" s="108" t="str">
        <f>BM5</f>
        <v>2Q10</v>
      </c>
      <c r="BN91" s="108" t="s">
        <v>750</v>
      </c>
      <c r="BO91" s="108" t="str">
        <f t="shared" ref="BO91:BZ91" si="81">BO5</f>
        <v>1-3Q10</v>
      </c>
      <c r="BP91" s="108" t="str">
        <f t="shared" si="81"/>
        <v>4Q10</v>
      </c>
      <c r="BQ91" s="108" t="str">
        <f t="shared" si="81"/>
        <v>1Q11</v>
      </c>
      <c r="BR91" s="108" t="str">
        <f t="shared" si="81"/>
        <v>2Q11</v>
      </c>
      <c r="BS91" s="108" t="str">
        <f t="shared" si="81"/>
        <v>3Q11</v>
      </c>
      <c r="BT91" s="108" t="str">
        <f t="shared" si="81"/>
        <v>1-3Q11</v>
      </c>
      <c r="BU91" s="108" t="str">
        <f t="shared" si="81"/>
        <v>4Q11</v>
      </c>
      <c r="BV91" s="108" t="str">
        <f t="shared" si="81"/>
        <v>1Q12</v>
      </c>
      <c r="BW91" s="108" t="str">
        <f t="shared" si="81"/>
        <v>2Q13</v>
      </c>
      <c r="BX91" s="108" t="str">
        <f t="shared" si="81"/>
        <v>3Q13</v>
      </c>
      <c r="BY91" s="108" t="str">
        <f t="shared" si="81"/>
        <v>1-3Q13</v>
      </c>
      <c r="BZ91" s="108" t="str">
        <f t="shared" si="81"/>
        <v>4Q13</v>
      </c>
      <c r="CA91" s="109"/>
      <c r="CB91" s="108" t="str">
        <f t="shared" ref="CB91:CN91" si="82">CB5</f>
        <v>2005CoE</v>
      </c>
      <c r="CC91" s="108" t="str">
        <f t="shared" si="82"/>
        <v>2006CoE</v>
      </c>
      <c r="CD91" s="108" t="str">
        <f t="shared" si="82"/>
        <v>2006CoE(New)</v>
      </c>
      <c r="CE91" s="108" t="str">
        <f t="shared" si="82"/>
        <v>2007CoE</v>
      </c>
      <c r="CF91" s="108" t="str">
        <f t="shared" si="82"/>
        <v>2007CoE(New)</v>
      </c>
      <c r="CG91" s="108" t="str">
        <f t="shared" si="82"/>
        <v>2008CoE</v>
      </c>
      <c r="CH91" s="108" t="str">
        <f t="shared" si="82"/>
        <v>2008CoE</v>
      </c>
      <c r="CI91" s="108" t="str">
        <f t="shared" si="82"/>
        <v>2009CoE</v>
      </c>
      <c r="CJ91" s="108" t="str">
        <f t="shared" si="82"/>
        <v>2009CoE</v>
      </c>
      <c r="CK91" s="108" t="str">
        <f t="shared" si="82"/>
        <v>2010CoE</v>
      </c>
      <c r="CL91" s="108" t="str">
        <f t="shared" si="82"/>
        <v>2010CoE</v>
      </c>
      <c r="CM91" s="108" t="str">
        <f t="shared" si="82"/>
        <v>2011CoE</v>
      </c>
      <c r="CN91" s="108" t="str">
        <f t="shared" si="82"/>
        <v>2012 CoE</v>
      </c>
    </row>
    <row r="92" spans="1:9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</row>
    <row r="93" spans="1:93">
      <c r="A93" s="23"/>
      <c r="B93" s="134" t="s">
        <v>159</v>
      </c>
      <c r="C93" s="135" t="s">
        <v>158</v>
      </c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23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23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O93" s="136"/>
      <c r="BP93" s="136"/>
      <c r="BQ93" s="136"/>
      <c r="BR93" s="136"/>
      <c r="BS93" s="136"/>
      <c r="BT93" s="136"/>
      <c r="BU93" s="136"/>
      <c r="BV93" s="136"/>
      <c r="BW93" s="136"/>
      <c r="BX93" s="136"/>
      <c r="BY93" s="136"/>
      <c r="BZ93" s="136"/>
      <c r="CA93" s="23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23"/>
    </row>
    <row r="94" spans="1:9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23"/>
      <c r="CN94" s="23"/>
      <c r="CO94" s="23"/>
    </row>
    <row r="95" spans="1:93">
      <c r="A95" s="23"/>
      <c r="B95" s="23" t="s">
        <v>836</v>
      </c>
      <c r="C95" s="23" t="s">
        <v>832</v>
      </c>
      <c r="D95" s="149"/>
      <c r="E95" s="150">
        <v>17547</v>
      </c>
      <c r="F95" s="150">
        <v>21757</v>
      </c>
      <c r="G95" s="150">
        <v>26158</v>
      </c>
      <c r="H95" s="150">
        <v>35405</v>
      </c>
      <c r="I95" s="150">
        <v>48011</v>
      </c>
      <c r="J95" s="150">
        <v>20679</v>
      </c>
      <c r="K95" s="150">
        <v>24275</v>
      </c>
      <c r="L95" s="150">
        <v>28881</v>
      </c>
      <c r="M95" s="150">
        <v>31686</v>
      </c>
      <c r="N95" s="150">
        <v>33093</v>
      </c>
      <c r="O95" s="150">
        <v>37141</v>
      </c>
      <c r="P95" s="150">
        <v>29833</v>
      </c>
      <c r="Q95" s="150">
        <v>33000</v>
      </c>
      <c r="R95" s="150">
        <v>31134</v>
      </c>
      <c r="S95" s="150">
        <v>34648</v>
      </c>
      <c r="T95" s="150">
        <v>43207</v>
      </c>
      <c r="U95" s="150">
        <v>50496</v>
      </c>
      <c r="V95" s="151">
        <v>54082</v>
      </c>
      <c r="W95" s="151">
        <v>68331</v>
      </c>
      <c r="X95" s="151">
        <v>73564</v>
      </c>
      <c r="Y95" s="151">
        <v>78209</v>
      </c>
      <c r="Z95" s="151">
        <v>75770</v>
      </c>
      <c r="AA95" s="151">
        <v>86280</v>
      </c>
      <c r="AB95" s="152">
        <v>112754</v>
      </c>
      <c r="AC95" s="152">
        <v>117544</v>
      </c>
      <c r="AD95" s="152">
        <v>112922</v>
      </c>
      <c r="AE95" s="152">
        <v>124013</v>
      </c>
      <c r="AF95" s="23"/>
      <c r="AG95" s="150"/>
      <c r="AH95" s="150"/>
      <c r="AI95" s="150"/>
      <c r="AJ95" s="150"/>
      <c r="AK95" s="150"/>
      <c r="AL95" s="150"/>
      <c r="AM95" s="150"/>
      <c r="AN95" s="150"/>
      <c r="AO95" s="150"/>
      <c r="AP95" s="150"/>
      <c r="AQ95" s="150"/>
      <c r="AR95" s="150"/>
      <c r="AS95" s="150"/>
      <c r="AT95" s="150"/>
      <c r="AU95" s="150"/>
      <c r="AV95" s="150"/>
      <c r="AW95" s="23"/>
      <c r="AX95" s="150"/>
      <c r="AY95" s="150"/>
      <c r="AZ95" s="150"/>
      <c r="BA95" s="150"/>
      <c r="BB95" s="150"/>
      <c r="BC95" s="150"/>
      <c r="BD95" s="150"/>
      <c r="BE95" s="150"/>
      <c r="BF95" s="150"/>
      <c r="BG95" s="150"/>
      <c r="BH95" s="150"/>
      <c r="BI95" s="150"/>
      <c r="BJ95" s="150"/>
      <c r="BK95" s="150"/>
      <c r="BL95" s="150"/>
      <c r="BM95" s="150"/>
      <c r="BN95" s="150"/>
      <c r="BO95" s="150"/>
      <c r="BP95" s="150"/>
      <c r="BQ95" s="150"/>
      <c r="BR95" s="150"/>
      <c r="BS95" s="150"/>
      <c r="BT95" s="150"/>
      <c r="BU95" s="150"/>
      <c r="BV95" s="150"/>
      <c r="BW95" s="150"/>
      <c r="BX95" s="150"/>
      <c r="BY95" s="150"/>
      <c r="BZ95" s="150"/>
      <c r="CA95" s="23"/>
      <c r="CB95" s="149"/>
      <c r="CC95" s="149"/>
      <c r="CD95" s="149"/>
      <c r="CE95" s="149"/>
      <c r="CF95" s="149"/>
      <c r="CG95" s="149"/>
      <c r="CH95" s="149"/>
      <c r="CI95" s="149"/>
      <c r="CJ95" s="149"/>
      <c r="CK95" s="149"/>
      <c r="CL95" s="149"/>
      <c r="CM95" s="149"/>
      <c r="CN95" s="149"/>
      <c r="CO95" s="23"/>
    </row>
    <row r="96" spans="1:93">
      <c r="A96" s="23"/>
      <c r="B96" s="23" t="s">
        <v>835</v>
      </c>
      <c r="C96" s="23" t="s">
        <v>834</v>
      </c>
      <c r="D96" s="150"/>
      <c r="E96" s="150">
        <v>15018</v>
      </c>
      <c r="F96" s="150">
        <v>13592</v>
      </c>
      <c r="G96" s="150">
        <v>13676</v>
      </c>
      <c r="H96" s="150">
        <v>12819</v>
      </c>
      <c r="I96" s="150">
        <v>128</v>
      </c>
      <c r="J96" s="150">
        <v>0</v>
      </c>
      <c r="K96" s="150">
        <v>46</v>
      </c>
      <c r="L96" s="150">
        <v>0</v>
      </c>
      <c r="M96" s="150">
        <v>0</v>
      </c>
      <c r="N96" s="150">
        <v>0</v>
      </c>
      <c r="O96" s="150">
        <v>86</v>
      </c>
      <c r="P96" s="150">
        <v>8000</v>
      </c>
      <c r="Q96" s="150">
        <v>17000</v>
      </c>
      <c r="R96" s="150">
        <v>16000</v>
      </c>
      <c r="S96" s="150">
        <v>23000</v>
      </c>
      <c r="T96" s="150">
        <v>17001</v>
      </c>
      <c r="U96" s="150">
        <v>27501</v>
      </c>
      <c r="V96" s="151">
        <v>34200</v>
      </c>
      <c r="W96" s="151">
        <v>38000</v>
      </c>
      <c r="X96" s="151">
        <v>39000</v>
      </c>
      <c r="Y96" s="151">
        <v>43000</v>
      </c>
      <c r="Z96" s="151">
        <v>43000</v>
      </c>
      <c r="AA96" s="151">
        <v>32000</v>
      </c>
      <c r="AB96" s="152">
        <v>23000</v>
      </c>
      <c r="AC96" s="152">
        <v>42000</v>
      </c>
      <c r="AD96" s="152">
        <v>65000</v>
      </c>
      <c r="AE96" s="152">
        <v>62000</v>
      </c>
      <c r="AF96" s="23"/>
      <c r="AG96" s="150"/>
      <c r="AH96" s="150"/>
      <c r="AI96" s="150"/>
      <c r="AJ96" s="150"/>
      <c r="AK96" s="150"/>
      <c r="AL96" s="150"/>
      <c r="AM96" s="150"/>
      <c r="AN96" s="150"/>
      <c r="AO96" s="150"/>
      <c r="AP96" s="150"/>
      <c r="AQ96" s="150"/>
      <c r="AR96" s="150"/>
      <c r="AS96" s="150"/>
      <c r="AT96" s="150"/>
      <c r="AU96" s="150"/>
      <c r="AV96" s="150"/>
      <c r="AW96" s="23"/>
      <c r="AX96" s="150"/>
      <c r="AY96" s="150"/>
      <c r="AZ96" s="150"/>
      <c r="BA96" s="150"/>
      <c r="BB96" s="150"/>
      <c r="BC96" s="150"/>
      <c r="BD96" s="150"/>
      <c r="BE96" s="150"/>
      <c r="BF96" s="150"/>
      <c r="BG96" s="150"/>
      <c r="BH96" s="150"/>
      <c r="BI96" s="150"/>
      <c r="BJ96" s="150"/>
      <c r="BK96" s="150"/>
      <c r="BL96" s="150"/>
      <c r="BM96" s="150"/>
      <c r="BN96" s="150"/>
      <c r="BO96" s="150"/>
      <c r="BP96" s="150"/>
      <c r="BQ96" s="150"/>
      <c r="BR96" s="150"/>
      <c r="BS96" s="150"/>
      <c r="BT96" s="150"/>
      <c r="BU96" s="150"/>
      <c r="BV96" s="150"/>
      <c r="BW96" s="150"/>
      <c r="BX96" s="150"/>
      <c r="BY96" s="150"/>
      <c r="BZ96" s="150"/>
      <c r="CA96" s="23"/>
      <c r="CB96" s="153"/>
      <c r="CC96" s="153"/>
      <c r="CD96" s="153"/>
      <c r="CE96" s="153"/>
      <c r="CF96" s="153"/>
      <c r="CG96" s="153"/>
      <c r="CH96" s="153"/>
      <c r="CI96" s="153"/>
      <c r="CJ96" s="153"/>
      <c r="CK96" s="153"/>
      <c r="CL96" s="153"/>
      <c r="CM96" s="154"/>
      <c r="CN96" s="154"/>
      <c r="CO96" s="23"/>
    </row>
    <row r="97" spans="1:93">
      <c r="A97" s="114"/>
      <c r="B97" s="124" t="s">
        <v>833</v>
      </c>
      <c r="C97" s="124" t="s">
        <v>832</v>
      </c>
      <c r="D97" s="124"/>
      <c r="E97" s="124">
        <f t="shared" ref="E97:V97" si="83">E95+E96</f>
        <v>32565</v>
      </c>
      <c r="F97" s="124">
        <f t="shared" si="83"/>
        <v>35349</v>
      </c>
      <c r="G97" s="124">
        <f t="shared" si="83"/>
        <v>39834</v>
      </c>
      <c r="H97" s="124">
        <f t="shared" si="83"/>
        <v>48224</v>
      </c>
      <c r="I97" s="124">
        <f t="shared" si="83"/>
        <v>48139</v>
      </c>
      <c r="J97" s="124">
        <f t="shared" si="83"/>
        <v>20679</v>
      </c>
      <c r="K97" s="124">
        <f t="shared" si="83"/>
        <v>24321</v>
      </c>
      <c r="L97" s="124">
        <f t="shared" si="83"/>
        <v>28881</v>
      </c>
      <c r="M97" s="124">
        <f t="shared" si="83"/>
        <v>31686</v>
      </c>
      <c r="N97" s="124">
        <f t="shared" si="83"/>
        <v>33093</v>
      </c>
      <c r="O97" s="124">
        <f t="shared" si="83"/>
        <v>37227</v>
      </c>
      <c r="P97" s="124">
        <f t="shared" si="83"/>
        <v>37833</v>
      </c>
      <c r="Q97" s="124">
        <f t="shared" si="83"/>
        <v>50000</v>
      </c>
      <c r="R97" s="124">
        <f t="shared" si="83"/>
        <v>47134</v>
      </c>
      <c r="S97" s="124">
        <f t="shared" si="83"/>
        <v>57648</v>
      </c>
      <c r="T97" s="124">
        <f t="shared" si="83"/>
        <v>60208</v>
      </c>
      <c r="U97" s="124">
        <f t="shared" si="83"/>
        <v>77997</v>
      </c>
      <c r="V97" s="124">
        <f t="shared" si="83"/>
        <v>88282</v>
      </c>
      <c r="W97" s="124">
        <f t="shared" ref="W97:X97" si="84">W95+W96</f>
        <v>106331</v>
      </c>
      <c r="X97" s="124">
        <f t="shared" si="84"/>
        <v>112564</v>
      </c>
      <c r="Y97" s="124">
        <f t="shared" ref="Y97:Z97" si="85">Y95+Y96</f>
        <v>121209</v>
      </c>
      <c r="Z97" s="124">
        <f t="shared" si="85"/>
        <v>118770</v>
      </c>
      <c r="AA97" s="124">
        <f t="shared" ref="AA97:AB97" si="86">AA95+AA96</f>
        <v>118280</v>
      </c>
      <c r="AB97" s="124">
        <f t="shared" si="86"/>
        <v>135754</v>
      </c>
      <c r="AC97" s="124">
        <f t="shared" ref="AC97:AD97" si="87">AC95+AC96</f>
        <v>159544</v>
      </c>
      <c r="AD97" s="124">
        <f t="shared" si="87"/>
        <v>177922</v>
      </c>
      <c r="AE97" s="124">
        <f t="shared" ref="AE97" si="88">AE95+AE96</f>
        <v>186013</v>
      </c>
      <c r="AF97" s="11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1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/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14"/>
      <c r="CB97" s="124"/>
      <c r="CC97" s="124"/>
      <c r="CD97" s="124"/>
      <c r="CE97" s="124"/>
      <c r="CF97" s="124"/>
      <c r="CG97" s="124"/>
      <c r="CH97" s="124"/>
      <c r="CI97" s="124"/>
      <c r="CJ97" s="124"/>
      <c r="CK97" s="124"/>
      <c r="CL97" s="124"/>
      <c r="CM97" s="124"/>
      <c r="CN97" s="124"/>
      <c r="CO97" s="114"/>
    </row>
    <row r="98" spans="1:9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23"/>
      <c r="CN98" s="23"/>
      <c r="CO98" s="23"/>
    </row>
    <row r="99" spans="1:93">
      <c r="A99" s="114"/>
      <c r="B99" s="114" t="s">
        <v>831</v>
      </c>
      <c r="C99" s="114" t="s">
        <v>61</v>
      </c>
      <c r="D99" s="115"/>
      <c r="E99" s="115">
        <v>32035</v>
      </c>
      <c r="F99" s="115">
        <v>28274</v>
      </c>
      <c r="G99" s="115">
        <v>19792</v>
      </c>
      <c r="H99" s="115">
        <v>20004</v>
      </c>
      <c r="I99" s="115">
        <v>20961</v>
      </c>
      <c r="J99" s="115">
        <v>21291</v>
      </c>
      <c r="K99" s="115">
        <v>23643</v>
      </c>
      <c r="L99" s="115">
        <v>20842</v>
      </c>
      <c r="M99" s="115">
        <v>21660</v>
      </c>
      <c r="N99" s="115">
        <v>21737</v>
      </c>
      <c r="O99" s="115">
        <v>20126</v>
      </c>
      <c r="P99" s="115">
        <v>18931</v>
      </c>
      <c r="Q99" s="115">
        <v>19942</v>
      </c>
      <c r="R99" s="115">
        <v>17258</v>
      </c>
      <c r="S99" s="115">
        <f>11965+192+4010</f>
        <v>16167</v>
      </c>
      <c r="T99" s="115">
        <f>16502+211+4124</f>
        <v>20837</v>
      </c>
      <c r="U99" s="115">
        <f>15355+223+4596</f>
        <v>20174</v>
      </c>
      <c r="V99" s="114">
        <f>17121+286+5679</f>
        <v>23086</v>
      </c>
      <c r="W99" s="114">
        <f>17241+326+5998</f>
        <v>23565</v>
      </c>
      <c r="X99" s="114">
        <f>15424+472+4827</f>
        <v>20723</v>
      </c>
      <c r="Y99" s="114">
        <f>15678+409+5307</f>
        <v>21394</v>
      </c>
      <c r="Z99" s="114">
        <f>18281+329+5214</f>
        <v>23824</v>
      </c>
      <c r="AA99" s="114">
        <f>19168+332+6722</f>
        <v>26222</v>
      </c>
      <c r="AB99" s="114">
        <f>13598+347+6062</f>
        <v>20007</v>
      </c>
      <c r="AC99" s="114">
        <f>14368+433+6960</f>
        <v>21761</v>
      </c>
      <c r="AD99" s="114">
        <f>14368+433+6960</f>
        <v>21761</v>
      </c>
      <c r="AE99" s="114">
        <f>15533+423+18449</f>
        <v>34405</v>
      </c>
      <c r="AF99" s="114"/>
      <c r="AG99" s="115"/>
      <c r="AH99" s="115"/>
      <c r="AI99" s="115"/>
      <c r="AJ99" s="115"/>
      <c r="AK99" s="115"/>
      <c r="AL99" s="115"/>
      <c r="AM99" s="115"/>
      <c r="AN99" s="115"/>
      <c r="AO99" s="115"/>
      <c r="AP99" s="150"/>
      <c r="AQ99" s="115"/>
      <c r="AR99" s="150"/>
      <c r="AS99" s="115"/>
      <c r="AT99" s="150"/>
      <c r="AU99" s="115"/>
      <c r="AV99" s="115"/>
      <c r="AW99" s="114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4"/>
      <c r="CB99" s="115"/>
      <c r="CC99" s="115"/>
      <c r="CD99" s="115"/>
      <c r="CE99" s="115"/>
      <c r="CF99" s="115"/>
      <c r="CG99" s="115"/>
      <c r="CH99" s="115"/>
      <c r="CI99" s="115"/>
      <c r="CJ99" s="115"/>
      <c r="CK99" s="115"/>
      <c r="CL99" s="115"/>
      <c r="CM99" s="115"/>
      <c r="CN99" s="115"/>
      <c r="CO99" s="114"/>
    </row>
    <row r="100" spans="1:9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23"/>
      <c r="CN100" s="23"/>
      <c r="CO100" s="23"/>
    </row>
    <row r="101" spans="1:93">
      <c r="A101" s="155"/>
      <c r="B101" s="23" t="s">
        <v>111</v>
      </c>
      <c r="C101" s="23" t="s">
        <v>110</v>
      </c>
      <c r="D101" s="121"/>
      <c r="E101" s="121">
        <v>43911</v>
      </c>
      <c r="F101" s="121">
        <v>42608</v>
      </c>
      <c r="G101" s="121">
        <v>40101</v>
      </c>
      <c r="H101" s="121">
        <v>41055</v>
      </c>
      <c r="I101" s="121">
        <v>45815</v>
      </c>
      <c r="J101" s="121">
        <v>44763</v>
      </c>
      <c r="K101" s="121">
        <v>41669</v>
      </c>
      <c r="L101" s="121">
        <v>40568</v>
      </c>
      <c r="M101" s="121">
        <v>41468</v>
      </c>
      <c r="N101" s="121">
        <v>43086</v>
      </c>
      <c r="O101" s="121">
        <v>43271</v>
      </c>
      <c r="P101" s="121">
        <v>39276</v>
      </c>
      <c r="Q101" s="121">
        <v>39191</v>
      </c>
      <c r="R101" s="121">
        <v>39004</v>
      </c>
      <c r="S101" s="121">
        <v>39785</v>
      </c>
      <c r="T101" s="121">
        <v>48746</v>
      </c>
      <c r="U101" s="121">
        <v>45948</v>
      </c>
      <c r="V101" s="23">
        <v>48989</v>
      </c>
      <c r="W101" s="23">
        <v>46788</v>
      </c>
      <c r="X101" s="23">
        <v>48899</v>
      </c>
      <c r="Y101" s="23">
        <v>50315</v>
      </c>
      <c r="Z101" s="23">
        <v>54161</v>
      </c>
      <c r="AA101" s="23">
        <v>54432</v>
      </c>
      <c r="AB101" s="122">
        <v>57106</v>
      </c>
      <c r="AC101" s="122">
        <v>51567</v>
      </c>
      <c r="AD101" s="122">
        <f>55799+889</f>
        <v>56688</v>
      </c>
      <c r="AE101" s="122">
        <f>58541+902</f>
        <v>59443</v>
      </c>
      <c r="AF101" s="23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50"/>
      <c r="AQ101" s="121"/>
      <c r="AR101" s="150"/>
      <c r="AS101" s="121"/>
      <c r="AT101" s="150"/>
      <c r="AU101" s="121"/>
      <c r="AV101" s="121"/>
      <c r="AW101" s="23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23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149"/>
      <c r="CM101" s="149"/>
      <c r="CN101" s="149"/>
      <c r="CO101" s="23"/>
    </row>
    <row r="102" spans="1:93">
      <c r="A102" s="155"/>
      <c r="B102" s="23" t="s">
        <v>109</v>
      </c>
      <c r="C102" s="23" t="s">
        <v>108</v>
      </c>
      <c r="D102" s="121"/>
      <c r="E102" s="121">
        <v>-298</v>
      </c>
      <c r="F102" s="121">
        <v>-311</v>
      </c>
      <c r="G102" s="121">
        <v>-266</v>
      </c>
      <c r="H102" s="121">
        <v>-201</v>
      </c>
      <c r="I102" s="121">
        <v>-1157</v>
      </c>
      <c r="J102" s="121">
        <v>-446</v>
      </c>
      <c r="K102" s="121">
        <v>-353</v>
      </c>
      <c r="L102" s="121">
        <v>-1096</v>
      </c>
      <c r="M102" s="121">
        <v>-1523</v>
      </c>
      <c r="N102" s="121">
        <v>-62</v>
      </c>
      <c r="O102" s="121">
        <v>-205</v>
      </c>
      <c r="P102" s="121">
        <v>-244</v>
      </c>
      <c r="Q102" s="121">
        <v>-556</v>
      </c>
      <c r="R102" s="121">
        <v>-543</v>
      </c>
      <c r="S102" s="121">
        <v>-524</v>
      </c>
      <c r="T102" s="121">
        <v>-511</v>
      </c>
      <c r="U102" s="121">
        <v>-507</v>
      </c>
      <c r="V102" s="23">
        <v>-501</v>
      </c>
      <c r="W102" s="23">
        <v>-485</v>
      </c>
      <c r="X102" s="23">
        <v>-490</v>
      </c>
      <c r="Y102" s="23">
        <v>-493</v>
      </c>
      <c r="Z102" s="23">
        <v>-402</v>
      </c>
      <c r="AA102" s="23">
        <v>-628</v>
      </c>
      <c r="AB102" s="122">
        <v>-649</v>
      </c>
      <c r="AC102" s="122">
        <v>-599</v>
      </c>
      <c r="AD102" s="122">
        <v>-611</v>
      </c>
      <c r="AE102" s="122">
        <v>-638</v>
      </c>
      <c r="AF102" s="23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50"/>
      <c r="AQ102" s="121"/>
      <c r="AR102" s="150"/>
      <c r="AS102" s="121"/>
      <c r="AT102" s="150"/>
      <c r="AU102" s="121"/>
      <c r="AV102" s="121"/>
      <c r="AW102" s="23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23"/>
      <c r="CB102" s="149"/>
      <c r="CC102" s="149"/>
      <c r="CD102" s="149"/>
      <c r="CE102" s="149"/>
      <c r="CF102" s="149"/>
      <c r="CG102" s="149"/>
      <c r="CH102" s="149"/>
      <c r="CI102" s="149"/>
      <c r="CJ102" s="149"/>
      <c r="CK102" s="149"/>
      <c r="CL102" s="149"/>
      <c r="CM102" s="149"/>
      <c r="CN102" s="149"/>
      <c r="CO102" s="23"/>
    </row>
    <row r="103" spans="1:93">
      <c r="A103" s="114"/>
      <c r="B103" s="124" t="s">
        <v>112</v>
      </c>
      <c r="C103" s="124" t="s">
        <v>830</v>
      </c>
      <c r="D103" s="124"/>
      <c r="E103" s="124">
        <f t="shared" ref="E103:V103" si="89">SUM(E101:E102)</f>
        <v>43613</v>
      </c>
      <c r="F103" s="124">
        <f t="shared" si="89"/>
        <v>42297</v>
      </c>
      <c r="G103" s="124">
        <f t="shared" si="89"/>
        <v>39835</v>
      </c>
      <c r="H103" s="124">
        <f t="shared" si="89"/>
        <v>40854</v>
      </c>
      <c r="I103" s="124">
        <f t="shared" si="89"/>
        <v>44658</v>
      </c>
      <c r="J103" s="124">
        <f t="shared" si="89"/>
        <v>44317</v>
      </c>
      <c r="K103" s="124">
        <f t="shared" si="89"/>
        <v>41316</v>
      </c>
      <c r="L103" s="124">
        <f t="shared" si="89"/>
        <v>39472</v>
      </c>
      <c r="M103" s="124">
        <f t="shared" si="89"/>
        <v>39945</v>
      </c>
      <c r="N103" s="124">
        <f t="shared" si="89"/>
        <v>43024</v>
      </c>
      <c r="O103" s="124">
        <f t="shared" si="89"/>
        <v>43066</v>
      </c>
      <c r="P103" s="124">
        <f t="shared" si="89"/>
        <v>39032</v>
      </c>
      <c r="Q103" s="124">
        <f t="shared" si="89"/>
        <v>38635</v>
      </c>
      <c r="R103" s="124">
        <f t="shared" si="89"/>
        <v>38461</v>
      </c>
      <c r="S103" s="124">
        <f t="shared" si="89"/>
        <v>39261</v>
      </c>
      <c r="T103" s="124">
        <f t="shared" si="89"/>
        <v>48235</v>
      </c>
      <c r="U103" s="124">
        <f t="shared" si="89"/>
        <v>45441</v>
      </c>
      <c r="V103" s="124">
        <f t="shared" si="89"/>
        <v>48488</v>
      </c>
      <c r="W103" s="124">
        <f t="shared" ref="W103:X103" si="90">SUM(W101:W102)</f>
        <v>46303</v>
      </c>
      <c r="X103" s="124">
        <f t="shared" si="90"/>
        <v>48409</v>
      </c>
      <c r="Y103" s="124">
        <f t="shared" ref="Y103:Z103" si="91">SUM(Y101:Y102)</f>
        <v>49822</v>
      </c>
      <c r="Z103" s="124">
        <f t="shared" si="91"/>
        <v>53759</v>
      </c>
      <c r="AA103" s="124">
        <f t="shared" ref="AA103:AB103" si="92">SUM(AA101:AA102)</f>
        <v>53804</v>
      </c>
      <c r="AB103" s="124">
        <f t="shared" si="92"/>
        <v>56457</v>
      </c>
      <c r="AC103" s="124">
        <f t="shared" ref="AC103:AD103" si="93">SUM(AC101:AC102)</f>
        <v>50968</v>
      </c>
      <c r="AD103" s="124">
        <f t="shared" si="93"/>
        <v>56077</v>
      </c>
      <c r="AE103" s="124">
        <f t="shared" ref="AE103" si="94">SUM(AE101:AE102)</f>
        <v>58805</v>
      </c>
      <c r="AF103" s="11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1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24"/>
      <c r="BP103" s="124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14"/>
      <c r="CB103" s="124"/>
      <c r="CC103" s="124"/>
      <c r="CD103" s="124"/>
      <c r="CE103" s="124"/>
      <c r="CF103" s="124"/>
      <c r="CG103" s="124"/>
      <c r="CH103" s="124"/>
      <c r="CI103" s="124"/>
      <c r="CJ103" s="124"/>
      <c r="CK103" s="124"/>
      <c r="CL103" s="124"/>
      <c r="CM103" s="124"/>
      <c r="CN103" s="124"/>
      <c r="CO103" s="114"/>
    </row>
    <row r="104" spans="1:9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23"/>
      <c r="CO104" s="23"/>
    </row>
    <row r="105" spans="1:93">
      <c r="A105" s="23"/>
      <c r="B105" s="23" t="s">
        <v>829</v>
      </c>
      <c r="C105" s="23" t="s">
        <v>828</v>
      </c>
      <c r="D105" s="150"/>
      <c r="E105" s="150">
        <v>0</v>
      </c>
      <c r="F105" s="150">
        <v>0</v>
      </c>
      <c r="G105" s="150">
        <v>0</v>
      </c>
      <c r="H105" s="150">
        <v>1372</v>
      </c>
      <c r="I105" s="150">
        <v>1463</v>
      </c>
      <c r="J105" s="150">
        <v>1596</v>
      </c>
      <c r="K105" s="150">
        <v>2013</v>
      </c>
      <c r="L105" s="150">
        <v>1976</v>
      </c>
      <c r="M105" s="150">
        <v>2163</v>
      </c>
      <c r="N105" s="150">
        <v>2106</v>
      </c>
      <c r="O105" s="150">
        <v>1670</v>
      </c>
      <c r="P105" s="150">
        <v>1670</v>
      </c>
      <c r="Q105" s="150">
        <v>1856</v>
      </c>
      <c r="R105" s="150">
        <v>1651</v>
      </c>
      <c r="S105" s="150">
        <v>1925</v>
      </c>
      <c r="T105" s="150">
        <v>1542</v>
      </c>
      <c r="U105" s="150">
        <v>1737</v>
      </c>
      <c r="V105" s="151">
        <v>1822</v>
      </c>
      <c r="W105" s="151">
        <v>1574</v>
      </c>
      <c r="X105" s="151">
        <v>1679</v>
      </c>
      <c r="Y105" s="151">
        <v>1825</v>
      </c>
      <c r="Z105" s="151">
        <v>1650</v>
      </c>
      <c r="AA105" s="151"/>
      <c r="AB105" s="151"/>
      <c r="AC105" s="151"/>
      <c r="AD105" s="151"/>
      <c r="AE105" s="151"/>
      <c r="AF105" s="23"/>
      <c r="AG105" s="150"/>
      <c r="AH105" s="150"/>
      <c r="AI105" s="150"/>
      <c r="AJ105" s="150"/>
      <c r="AK105" s="150"/>
      <c r="AL105" s="150"/>
      <c r="AM105" s="150"/>
      <c r="AN105" s="150"/>
      <c r="AO105" s="150"/>
      <c r="AP105" s="150"/>
      <c r="AQ105" s="150"/>
      <c r="AR105" s="150"/>
      <c r="AS105" s="150"/>
      <c r="AT105" s="150"/>
      <c r="AU105" s="150"/>
      <c r="AV105" s="150"/>
      <c r="AW105" s="23"/>
      <c r="AX105" s="150"/>
      <c r="AY105" s="150"/>
      <c r="AZ105" s="150"/>
      <c r="BA105" s="150"/>
      <c r="BB105" s="150"/>
      <c r="BC105" s="150"/>
      <c r="BD105" s="150"/>
      <c r="BE105" s="150"/>
      <c r="BF105" s="150"/>
      <c r="BG105" s="150"/>
      <c r="BH105" s="150"/>
      <c r="BI105" s="150"/>
      <c r="BJ105" s="150"/>
      <c r="BK105" s="150"/>
      <c r="BL105" s="150"/>
      <c r="BM105" s="150"/>
      <c r="BN105" s="150"/>
      <c r="BO105" s="150"/>
      <c r="BP105" s="150"/>
      <c r="BQ105" s="150"/>
      <c r="BR105" s="150"/>
      <c r="BS105" s="150"/>
      <c r="BT105" s="150"/>
      <c r="BU105" s="150"/>
      <c r="BV105" s="150"/>
      <c r="BW105" s="150"/>
      <c r="BX105" s="150"/>
      <c r="BY105" s="150"/>
      <c r="BZ105" s="150"/>
      <c r="CA105" s="23"/>
      <c r="CB105" s="149"/>
      <c r="CC105" s="149"/>
      <c r="CD105" s="149"/>
      <c r="CE105" s="149"/>
      <c r="CF105" s="149"/>
      <c r="CG105" s="149"/>
      <c r="CH105" s="149"/>
      <c r="CI105" s="149"/>
      <c r="CJ105" s="149"/>
      <c r="CK105" s="149"/>
      <c r="CL105" s="149"/>
      <c r="CM105" s="156"/>
      <c r="CN105" s="156"/>
      <c r="CO105" s="23"/>
    </row>
    <row r="106" spans="1:93">
      <c r="A106" s="23"/>
      <c r="B106" s="23" t="s">
        <v>196</v>
      </c>
      <c r="C106" s="23" t="s">
        <v>827</v>
      </c>
      <c r="D106" s="23"/>
      <c r="E106" s="23">
        <f t="shared" ref="E106:V106" si="95">E109-E97-E99-E103-E105</f>
        <v>4276</v>
      </c>
      <c r="F106" s="23">
        <f t="shared" si="95"/>
        <v>6357</v>
      </c>
      <c r="G106" s="23">
        <f t="shared" si="95"/>
        <v>4956</v>
      </c>
      <c r="H106" s="23">
        <f t="shared" si="95"/>
        <v>4218</v>
      </c>
      <c r="I106" s="23">
        <f t="shared" si="95"/>
        <v>5096</v>
      </c>
      <c r="J106" s="23">
        <f t="shared" si="95"/>
        <v>3872</v>
      </c>
      <c r="K106" s="23">
        <f t="shared" si="95"/>
        <v>5870</v>
      </c>
      <c r="L106" s="23">
        <f t="shared" si="95"/>
        <v>6271</v>
      </c>
      <c r="M106" s="23">
        <f t="shared" si="95"/>
        <v>5495</v>
      </c>
      <c r="N106" s="23">
        <f t="shared" si="95"/>
        <v>3107</v>
      </c>
      <c r="O106" s="23">
        <f t="shared" si="95"/>
        <v>2994</v>
      </c>
      <c r="P106" s="23">
        <f t="shared" si="95"/>
        <v>3066</v>
      </c>
      <c r="Q106" s="23">
        <f t="shared" si="95"/>
        <v>2991</v>
      </c>
      <c r="R106" s="23">
        <f t="shared" si="95"/>
        <v>4105</v>
      </c>
      <c r="S106" s="23">
        <f t="shared" si="95"/>
        <v>3723</v>
      </c>
      <c r="T106" s="23">
        <f t="shared" si="95"/>
        <v>3374</v>
      </c>
      <c r="U106" s="23">
        <f t="shared" si="95"/>
        <v>4012</v>
      </c>
      <c r="V106" s="23">
        <f t="shared" si="95"/>
        <v>3226</v>
      </c>
      <c r="W106" s="23">
        <f t="shared" ref="W106:X106" si="96">W109-W97-W99-W103-W105</f>
        <v>3470</v>
      </c>
      <c r="X106" s="23">
        <f t="shared" si="96"/>
        <v>3713</v>
      </c>
      <c r="Y106" s="23">
        <f t="shared" ref="Y106:Z106" si="97">Y109-Y97-Y99-Y103-Y105</f>
        <v>3064</v>
      </c>
      <c r="Z106" s="23">
        <f t="shared" si="97"/>
        <v>4411</v>
      </c>
      <c r="AA106" s="23">
        <f t="shared" ref="AA106:AB106" si="98">AA109-AA97-AA99-AA103-AA105</f>
        <v>4992</v>
      </c>
      <c r="AB106" s="23">
        <f t="shared" si="98"/>
        <v>3414</v>
      </c>
      <c r="AC106" s="23">
        <f t="shared" ref="AC106:AD106" si="99">AC109-AC97-AC99-AC103-AC105</f>
        <v>3125</v>
      </c>
      <c r="AD106" s="23">
        <f t="shared" si="99"/>
        <v>7646</v>
      </c>
      <c r="AE106" s="23">
        <f t="shared" ref="AE106" si="100">AE109-AE97-AE99-AE103-AE105</f>
        <v>5853</v>
      </c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</row>
    <row r="107" spans="1:93">
      <c r="A107" s="114"/>
      <c r="B107" s="124" t="s">
        <v>161</v>
      </c>
      <c r="C107" s="124" t="s">
        <v>826</v>
      </c>
      <c r="D107" s="124"/>
      <c r="E107" s="124">
        <f t="shared" ref="E107:V107" si="101">E109-E103-E99-E97</f>
        <v>4276</v>
      </c>
      <c r="F107" s="124">
        <f t="shared" si="101"/>
        <v>6357</v>
      </c>
      <c r="G107" s="124">
        <f t="shared" si="101"/>
        <v>4956</v>
      </c>
      <c r="H107" s="124">
        <f t="shared" si="101"/>
        <v>5590</v>
      </c>
      <c r="I107" s="124">
        <f t="shared" si="101"/>
        <v>6559</v>
      </c>
      <c r="J107" s="124">
        <f t="shared" si="101"/>
        <v>5468</v>
      </c>
      <c r="K107" s="124">
        <f t="shared" si="101"/>
        <v>7883</v>
      </c>
      <c r="L107" s="124">
        <f t="shared" si="101"/>
        <v>8247</v>
      </c>
      <c r="M107" s="124">
        <f t="shared" si="101"/>
        <v>7658</v>
      </c>
      <c r="N107" s="124">
        <f t="shared" si="101"/>
        <v>5213</v>
      </c>
      <c r="O107" s="124">
        <f t="shared" si="101"/>
        <v>4664</v>
      </c>
      <c r="P107" s="124">
        <f t="shared" si="101"/>
        <v>4736</v>
      </c>
      <c r="Q107" s="124">
        <f t="shared" si="101"/>
        <v>4847</v>
      </c>
      <c r="R107" s="124">
        <f t="shared" si="101"/>
        <v>5756</v>
      </c>
      <c r="S107" s="124">
        <f t="shared" si="101"/>
        <v>5648</v>
      </c>
      <c r="T107" s="124">
        <f t="shared" si="101"/>
        <v>4916</v>
      </c>
      <c r="U107" s="124">
        <f t="shared" si="101"/>
        <v>5749</v>
      </c>
      <c r="V107" s="124">
        <f t="shared" si="101"/>
        <v>5048</v>
      </c>
      <c r="W107" s="124">
        <f t="shared" ref="W107:X107" si="102">W109-W103-W99-W97</f>
        <v>5044</v>
      </c>
      <c r="X107" s="124">
        <f t="shared" si="102"/>
        <v>5392</v>
      </c>
      <c r="Y107" s="124">
        <f t="shared" ref="Y107:Z107" si="103">Y109-Y103-Y99-Y97</f>
        <v>4889</v>
      </c>
      <c r="Z107" s="124">
        <f t="shared" si="103"/>
        <v>6061</v>
      </c>
      <c r="AA107" s="124">
        <f t="shared" ref="AA107:AB107" si="104">AA109-AA103-AA99-AA97</f>
        <v>4992</v>
      </c>
      <c r="AB107" s="124">
        <f t="shared" si="104"/>
        <v>3414</v>
      </c>
      <c r="AC107" s="124">
        <f t="shared" ref="AC107:AD107" si="105">AC109-AC103-AC99-AC97</f>
        <v>3125</v>
      </c>
      <c r="AD107" s="124">
        <f t="shared" si="105"/>
        <v>7646</v>
      </c>
      <c r="AE107" s="124">
        <f t="shared" ref="AE107" si="106">AE109-AE103-AE99-AE97</f>
        <v>5853</v>
      </c>
      <c r="AF107" s="11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1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24"/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14"/>
      <c r="CB107" s="124"/>
      <c r="CC107" s="124"/>
      <c r="CD107" s="124"/>
      <c r="CE107" s="124"/>
      <c r="CF107" s="124"/>
      <c r="CG107" s="124"/>
      <c r="CH107" s="124"/>
      <c r="CI107" s="124"/>
      <c r="CJ107" s="124"/>
      <c r="CK107" s="124"/>
      <c r="CL107" s="124"/>
      <c r="CM107" s="124"/>
      <c r="CN107" s="124"/>
      <c r="CO107" s="114"/>
    </row>
    <row r="108" spans="1:9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133"/>
      <c r="CC108" s="133"/>
      <c r="CD108" s="133"/>
      <c r="CE108" s="133"/>
      <c r="CF108" s="133"/>
      <c r="CG108" s="133"/>
      <c r="CH108" s="133"/>
      <c r="CI108" s="133"/>
      <c r="CJ108" s="133"/>
      <c r="CK108" s="133"/>
      <c r="CL108" s="133"/>
      <c r="CM108" s="123"/>
      <c r="CN108" s="123"/>
      <c r="CO108" s="23"/>
    </row>
    <row r="109" spans="1:93">
      <c r="A109" s="114"/>
      <c r="B109" s="124" t="s">
        <v>825</v>
      </c>
      <c r="C109" s="124" t="s">
        <v>824</v>
      </c>
      <c r="D109" s="124"/>
      <c r="E109" s="125">
        <v>112489</v>
      </c>
      <c r="F109" s="125">
        <v>112277</v>
      </c>
      <c r="G109" s="125">
        <v>104417</v>
      </c>
      <c r="H109" s="125">
        <v>114672</v>
      </c>
      <c r="I109" s="125">
        <v>120317</v>
      </c>
      <c r="J109" s="125">
        <v>91755</v>
      </c>
      <c r="K109" s="125">
        <v>97163</v>
      </c>
      <c r="L109" s="125">
        <v>97442</v>
      </c>
      <c r="M109" s="125">
        <v>100949</v>
      </c>
      <c r="N109" s="125">
        <v>103067</v>
      </c>
      <c r="O109" s="125">
        <v>105083</v>
      </c>
      <c r="P109" s="125">
        <v>100532</v>
      </c>
      <c r="Q109" s="125">
        <v>113424</v>
      </c>
      <c r="R109" s="125">
        <v>108609</v>
      </c>
      <c r="S109" s="125">
        <v>118724</v>
      </c>
      <c r="T109" s="125">
        <v>134196</v>
      </c>
      <c r="U109" s="125">
        <v>149361</v>
      </c>
      <c r="V109" s="124">
        <v>164904</v>
      </c>
      <c r="W109" s="124">
        <v>181243</v>
      </c>
      <c r="X109" s="124">
        <v>187088</v>
      </c>
      <c r="Y109" s="124">
        <v>197314</v>
      </c>
      <c r="Z109" s="124">
        <v>202414</v>
      </c>
      <c r="AA109" s="124">
        <v>203298</v>
      </c>
      <c r="AB109" s="126">
        <v>215632</v>
      </c>
      <c r="AC109" s="126">
        <v>235398</v>
      </c>
      <c r="AD109" s="126">
        <v>263406</v>
      </c>
      <c r="AE109" s="126">
        <v>285076</v>
      </c>
      <c r="AF109" s="114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14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14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57"/>
      <c r="CN109" s="125"/>
      <c r="CO109" s="114"/>
    </row>
    <row r="110" spans="1:9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</row>
    <row r="111" spans="1:93">
      <c r="A111" s="23"/>
      <c r="B111" s="134" t="s">
        <v>823</v>
      </c>
      <c r="C111" s="135" t="s">
        <v>822</v>
      </c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23"/>
      <c r="AG111" s="136"/>
      <c r="AH111" s="136"/>
      <c r="AI111" s="136"/>
      <c r="AJ111" s="136"/>
      <c r="AK111" s="136"/>
      <c r="AL111" s="136"/>
      <c r="AM111" s="136"/>
      <c r="AN111" s="136"/>
      <c r="AO111" s="136"/>
      <c r="AP111" s="136"/>
      <c r="AQ111" s="136"/>
      <c r="AR111" s="136"/>
      <c r="AS111" s="136"/>
      <c r="AT111" s="136"/>
      <c r="AU111" s="136"/>
      <c r="AV111" s="136"/>
      <c r="AW111" s="23"/>
      <c r="AX111" s="136"/>
      <c r="AY111" s="136"/>
      <c r="AZ111" s="136"/>
      <c r="BA111" s="136"/>
      <c r="BB111" s="136"/>
      <c r="BC111" s="136"/>
      <c r="BD111" s="136"/>
      <c r="BE111" s="136"/>
      <c r="BF111" s="136"/>
      <c r="BG111" s="136"/>
      <c r="BH111" s="136"/>
      <c r="BI111" s="136"/>
      <c r="BJ111" s="136"/>
      <c r="BK111" s="136"/>
      <c r="BL111" s="136"/>
      <c r="BM111" s="136"/>
      <c r="BN111" s="136"/>
      <c r="BO111" s="136"/>
      <c r="BP111" s="136"/>
      <c r="BQ111" s="136"/>
      <c r="BR111" s="136"/>
      <c r="BS111" s="136"/>
      <c r="BT111" s="136"/>
      <c r="BU111" s="136"/>
      <c r="BV111" s="136"/>
      <c r="BW111" s="136"/>
      <c r="BX111" s="136"/>
      <c r="BY111" s="136"/>
      <c r="BZ111" s="136"/>
      <c r="CA111" s="23"/>
      <c r="CB111" s="136"/>
      <c r="CC111" s="136"/>
      <c r="CD111" s="136"/>
      <c r="CE111" s="136"/>
      <c r="CF111" s="136"/>
      <c r="CG111" s="136"/>
      <c r="CH111" s="136"/>
      <c r="CI111" s="136"/>
      <c r="CJ111" s="136"/>
      <c r="CK111" s="136"/>
      <c r="CL111" s="136"/>
      <c r="CM111" s="136"/>
      <c r="CN111" s="136"/>
      <c r="CO111" s="23"/>
    </row>
    <row r="112" spans="1:93">
      <c r="A112" s="23"/>
      <c r="B112" s="158"/>
      <c r="C112" s="114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</row>
    <row r="113" spans="1:93">
      <c r="A113" s="23"/>
      <c r="B113" s="23" t="s">
        <v>821</v>
      </c>
      <c r="C113" s="23"/>
      <c r="D113" s="23"/>
      <c r="E113" s="23">
        <f t="shared" ref="E113:V113" si="107">E115-E114</f>
        <v>94373</v>
      </c>
      <c r="F113" s="23">
        <f t="shared" si="107"/>
        <v>100959</v>
      </c>
      <c r="G113" s="23">
        <f t="shared" si="107"/>
        <v>173436</v>
      </c>
      <c r="H113" s="23">
        <f t="shared" si="107"/>
        <v>182002</v>
      </c>
      <c r="I113" s="23">
        <f t="shared" si="107"/>
        <v>193436</v>
      </c>
      <c r="J113" s="23">
        <f t="shared" si="107"/>
        <v>201897</v>
      </c>
      <c r="K113" s="23">
        <f t="shared" si="107"/>
        <v>203552</v>
      </c>
      <c r="L113" s="23">
        <f t="shared" si="107"/>
        <v>200908</v>
      </c>
      <c r="M113" s="23">
        <f t="shared" si="107"/>
        <v>203484</v>
      </c>
      <c r="N113" s="23">
        <f t="shared" si="107"/>
        <v>207809</v>
      </c>
      <c r="O113" s="23">
        <f t="shared" si="107"/>
        <v>199330</v>
      </c>
      <c r="P113" s="23">
        <f t="shared" si="107"/>
        <v>203908</v>
      </c>
      <c r="Q113" s="23">
        <f t="shared" si="107"/>
        <v>210654</v>
      </c>
      <c r="R113" s="23">
        <f t="shared" si="107"/>
        <v>227353</v>
      </c>
      <c r="S113" s="23">
        <f t="shared" si="107"/>
        <v>220294</v>
      </c>
      <c r="T113" s="23">
        <f t="shared" si="107"/>
        <v>227371</v>
      </c>
      <c r="U113" s="23">
        <f t="shared" si="107"/>
        <v>240871</v>
      </c>
      <c r="V113" s="23">
        <f t="shared" si="107"/>
        <v>272567</v>
      </c>
      <c r="W113" s="23">
        <f t="shared" ref="W113:X113" si="108">W115-W114</f>
        <v>286187</v>
      </c>
      <c r="X113" s="23">
        <f t="shared" si="108"/>
        <v>297456</v>
      </c>
      <c r="Y113" s="23">
        <f t="shared" ref="Y113:Z113" si="109">Y115-Y114</f>
        <v>298052</v>
      </c>
      <c r="Z113" s="23">
        <f t="shared" si="109"/>
        <v>309256</v>
      </c>
      <c r="AA113" s="23">
        <f t="shared" ref="AA113:AB113" si="110">AA115-AA114</f>
        <v>325934</v>
      </c>
      <c r="AB113" s="23">
        <f t="shared" si="110"/>
        <v>329339</v>
      </c>
      <c r="AC113" s="23">
        <f t="shared" ref="AC113:AD113" si="111">AC115-AC114</f>
        <v>364643</v>
      </c>
      <c r="AD113" s="23">
        <f t="shared" si="111"/>
        <v>365900</v>
      </c>
      <c r="AE113" s="23">
        <f t="shared" ref="AE113" si="112">AE115-AE114</f>
        <v>366627</v>
      </c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</row>
    <row r="114" spans="1:93">
      <c r="A114" s="23"/>
      <c r="B114" s="23" t="s">
        <v>820</v>
      </c>
      <c r="C114" s="159" t="s">
        <v>819</v>
      </c>
      <c r="D114" s="160"/>
      <c r="E114" s="160"/>
      <c r="F114" s="160"/>
      <c r="G114" s="160">
        <f>-35486-36577-3301</f>
        <v>-75364</v>
      </c>
      <c r="H114" s="160">
        <f>-39490-43362-3488</f>
        <v>-86340</v>
      </c>
      <c r="I114" s="160">
        <f>-44189-47465-3438</f>
        <v>-95092</v>
      </c>
      <c r="J114" s="160">
        <f>-46523-48434-3352</f>
        <v>-98309</v>
      </c>
      <c r="K114" s="160">
        <f>-49188-47595-3188</f>
        <v>-99971</v>
      </c>
      <c r="L114" s="160">
        <f>-50637-48406-3095</f>
        <v>-102138</v>
      </c>
      <c r="M114" s="160">
        <f>-53502-49372-3206</f>
        <v>-106080</v>
      </c>
      <c r="N114" s="160">
        <f>-55144-53058-3171</f>
        <v>-111373</v>
      </c>
      <c r="O114" s="160">
        <f>-53071-51797-2932</f>
        <v>-107800</v>
      </c>
      <c r="P114" s="160">
        <f>-58923-55199-3283</f>
        <v>-117405</v>
      </c>
      <c r="Q114" s="160">
        <f>-61470-58237-3373</f>
        <v>-123080</v>
      </c>
      <c r="R114" s="160">
        <f>-63334-58788-3522</f>
        <v>-125644</v>
      </c>
      <c r="S114" s="160">
        <f>-62805-58495-3495</f>
        <v>-124795</v>
      </c>
      <c r="T114" s="160">
        <f>-65800-60358-3632</f>
        <v>-129790</v>
      </c>
      <c r="U114" s="160">
        <f>-68839-65902-3868</f>
        <v>-138609</v>
      </c>
      <c r="V114" s="161">
        <f>-74324-74165-657-4242</f>
        <v>-153388</v>
      </c>
      <c r="W114" s="161">
        <f>-78866-81075-1130-4447</f>
        <v>-165518</v>
      </c>
      <c r="X114" s="161">
        <f>+-82080-84491-1374-4571</f>
        <v>-172516</v>
      </c>
      <c r="Y114" s="161">
        <f>+-81860-84866-1744-4642</f>
        <v>-173112</v>
      </c>
      <c r="Z114" s="161">
        <f>-78795-87352-2185-4826</f>
        <v>-173158</v>
      </c>
      <c r="AA114" s="161">
        <f>-78795-87352-2185-4826</f>
        <v>-173158</v>
      </c>
      <c r="AB114" s="161">
        <f>-78795-87352-2185-4826</f>
        <v>-173158</v>
      </c>
      <c r="AC114" s="161">
        <f>-92568-105250-3456-5431</f>
        <v>-206705</v>
      </c>
      <c r="AD114" s="161">
        <f>-92568-105250-3456-5431</f>
        <v>-206705</v>
      </c>
      <c r="AE114" s="161">
        <f>-92568-105250-3456-5431</f>
        <v>-206705</v>
      </c>
      <c r="AF114" s="161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23"/>
      <c r="AX114" s="160"/>
      <c r="AY114" s="160"/>
      <c r="AZ114" s="160"/>
      <c r="BA114" s="160"/>
      <c r="BB114" s="160"/>
      <c r="BC114" s="160"/>
      <c r="BD114" s="160"/>
      <c r="BE114" s="160"/>
      <c r="BF114" s="160"/>
      <c r="BG114" s="160"/>
      <c r="BH114" s="160"/>
      <c r="BI114" s="160"/>
      <c r="BJ114" s="160"/>
      <c r="BK114" s="160"/>
      <c r="BL114" s="160"/>
      <c r="BM114" s="160"/>
      <c r="BN114" s="160"/>
      <c r="BO114" s="160"/>
      <c r="BP114" s="160"/>
      <c r="BQ114" s="160"/>
      <c r="BR114" s="160"/>
      <c r="BS114" s="160"/>
      <c r="BT114" s="160"/>
      <c r="BU114" s="160"/>
      <c r="BV114" s="160"/>
      <c r="BW114" s="160"/>
      <c r="BX114" s="160"/>
      <c r="BY114" s="160"/>
      <c r="BZ114" s="160"/>
      <c r="CA114" s="161"/>
      <c r="CB114" s="153"/>
      <c r="CC114" s="153"/>
      <c r="CD114" s="153"/>
      <c r="CE114" s="153"/>
      <c r="CF114" s="153"/>
      <c r="CG114" s="153"/>
      <c r="CH114" s="153"/>
      <c r="CI114" s="153"/>
      <c r="CJ114" s="153"/>
      <c r="CK114" s="153"/>
      <c r="CL114" s="153"/>
      <c r="CM114" s="154"/>
      <c r="CN114" s="154"/>
      <c r="CO114" s="23"/>
    </row>
    <row r="115" spans="1:93">
      <c r="A115" s="114"/>
      <c r="B115" s="124" t="s">
        <v>818</v>
      </c>
      <c r="C115" s="124" t="s">
        <v>817</v>
      </c>
      <c r="D115" s="125"/>
      <c r="E115" s="125">
        <v>94373</v>
      </c>
      <c r="F115" s="125">
        <v>100959</v>
      </c>
      <c r="G115" s="125">
        <v>98072</v>
      </c>
      <c r="H115" s="125">
        <v>95662</v>
      </c>
      <c r="I115" s="125">
        <v>98344</v>
      </c>
      <c r="J115" s="125">
        <v>103588</v>
      </c>
      <c r="K115" s="125">
        <v>103581</v>
      </c>
      <c r="L115" s="125">
        <v>98770</v>
      </c>
      <c r="M115" s="125">
        <v>97404</v>
      </c>
      <c r="N115" s="125">
        <v>96436</v>
      </c>
      <c r="O115" s="125">
        <v>91530</v>
      </c>
      <c r="P115" s="125">
        <v>86503</v>
      </c>
      <c r="Q115" s="125">
        <v>87574</v>
      </c>
      <c r="R115" s="125">
        <v>101709</v>
      </c>
      <c r="S115" s="125">
        <v>95499</v>
      </c>
      <c r="T115" s="125">
        <v>97581</v>
      </c>
      <c r="U115" s="125">
        <v>102262</v>
      </c>
      <c r="V115" s="124">
        <v>119179</v>
      </c>
      <c r="W115" s="124">
        <v>120669</v>
      </c>
      <c r="X115" s="124">
        <v>124940</v>
      </c>
      <c r="Y115" s="124">
        <v>124940</v>
      </c>
      <c r="Z115" s="124">
        <v>136098</v>
      </c>
      <c r="AA115" s="124">
        <v>152776</v>
      </c>
      <c r="AB115" s="126">
        <v>156181</v>
      </c>
      <c r="AC115" s="126">
        <v>157938</v>
      </c>
      <c r="AD115" s="126">
        <v>159195</v>
      </c>
      <c r="AE115" s="126">
        <v>159922</v>
      </c>
      <c r="AF115" s="114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14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14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14"/>
    </row>
    <row r="116" spans="1:9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121"/>
      <c r="CC116" s="121"/>
      <c r="CD116" s="121"/>
      <c r="CE116" s="121"/>
      <c r="CF116" s="121"/>
      <c r="CG116" s="121"/>
      <c r="CH116" s="121"/>
      <c r="CI116" s="121"/>
      <c r="CJ116" s="121"/>
      <c r="CK116" s="121"/>
      <c r="CL116" s="121"/>
      <c r="CM116" s="23"/>
      <c r="CN116" s="23"/>
      <c r="CO116" s="23"/>
    </row>
    <row r="117" spans="1:93">
      <c r="A117" s="23"/>
      <c r="B117" s="23" t="s">
        <v>152</v>
      </c>
      <c r="C117" s="162" t="s">
        <v>151</v>
      </c>
      <c r="D117" s="23"/>
      <c r="E117" s="23">
        <f t="shared" ref="E117:V117" si="113">E119-E118</f>
        <v>475</v>
      </c>
      <c r="F117" s="23">
        <f t="shared" si="113"/>
        <v>472</v>
      </c>
      <c r="G117" s="23">
        <f t="shared" si="113"/>
        <v>532</v>
      </c>
      <c r="H117" s="23">
        <f t="shared" si="113"/>
        <v>1708</v>
      </c>
      <c r="I117" s="23">
        <f t="shared" si="113"/>
        <v>1710</v>
      </c>
      <c r="J117" s="23">
        <f t="shared" si="113"/>
        <v>1776</v>
      </c>
      <c r="K117" s="23">
        <f t="shared" si="113"/>
        <v>1549</v>
      </c>
      <c r="L117" s="23">
        <f t="shared" si="113"/>
        <v>2508</v>
      </c>
      <c r="M117" s="23">
        <f t="shared" si="113"/>
        <v>2636</v>
      </c>
      <c r="N117" s="23">
        <f t="shared" si="113"/>
        <v>2402</v>
      </c>
      <c r="O117" s="23">
        <f t="shared" si="113"/>
        <v>2562</v>
      </c>
      <c r="P117" s="23">
        <f t="shared" si="113"/>
        <v>1851</v>
      </c>
      <c r="Q117" s="23">
        <f t="shared" si="113"/>
        <v>1934</v>
      </c>
      <c r="R117" s="23">
        <f t="shared" si="113"/>
        <v>2169</v>
      </c>
      <c r="S117" s="23">
        <f t="shared" si="113"/>
        <v>1727</v>
      </c>
      <c r="T117" s="23">
        <f t="shared" si="113"/>
        <v>2051</v>
      </c>
      <c r="U117" s="23">
        <f t="shared" si="113"/>
        <v>2349</v>
      </c>
      <c r="V117" s="23">
        <f t="shared" si="113"/>
        <v>2408</v>
      </c>
      <c r="W117" s="23">
        <v>3232</v>
      </c>
      <c r="X117" s="23">
        <v>3054</v>
      </c>
      <c r="Y117" s="23">
        <v>2428</v>
      </c>
      <c r="Z117" s="23">
        <v>1738</v>
      </c>
      <c r="AA117" s="23">
        <v>1604</v>
      </c>
      <c r="AB117" s="122">
        <v>1443</v>
      </c>
      <c r="AC117" s="122">
        <v>1267</v>
      </c>
      <c r="AD117" s="122">
        <v>1311</v>
      </c>
      <c r="AE117" s="122">
        <v>2553</v>
      </c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149"/>
      <c r="CC117" s="149"/>
      <c r="CD117" s="149"/>
      <c r="CE117" s="149"/>
      <c r="CF117" s="149"/>
      <c r="CG117" s="149"/>
      <c r="CH117" s="149"/>
      <c r="CI117" s="149"/>
      <c r="CJ117" s="149"/>
      <c r="CK117" s="149"/>
      <c r="CL117" s="149"/>
      <c r="CM117" s="149"/>
      <c r="CN117" s="149"/>
      <c r="CO117" s="23"/>
    </row>
    <row r="118" spans="1:93">
      <c r="A118" s="23"/>
      <c r="B118" s="23" t="s">
        <v>816</v>
      </c>
      <c r="C118" s="159" t="s">
        <v>149</v>
      </c>
      <c r="D118" s="23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163"/>
      <c r="AW118" s="23"/>
      <c r="AX118" s="163"/>
      <c r="AY118" s="163"/>
      <c r="AZ118" s="163"/>
      <c r="BA118" s="163"/>
      <c r="BB118" s="163"/>
      <c r="BC118" s="163"/>
      <c r="BD118" s="163"/>
      <c r="BE118" s="163"/>
      <c r="BF118" s="163"/>
      <c r="BG118" s="163"/>
      <c r="BH118" s="163"/>
      <c r="BI118" s="163"/>
      <c r="BJ118" s="163"/>
      <c r="BK118" s="163"/>
      <c r="BL118" s="163"/>
      <c r="BM118" s="163"/>
      <c r="BN118" s="163"/>
      <c r="BO118" s="163"/>
      <c r="BP118" s="163"/>
      <c r="BQ118" s="163"/>
      <c r="BR118" s="163"/>
      <c r="BS118" s="163"/>
      <c r="BT118" s="163"/>
      <c r="BU118" s="163"/>
      <c r="BV118" s="163"/>
      <c r="BW118" s="163"/>
      <c r="BX118" s="163"/>
      <c r="BY118" s="163"/>
      <c r="BZ118" s="163"/>
      <c r="CA118" s="23"/>
      <c r="CB118" s="153"/>
      <c r="CC118" s="153"/>
      <c r="CD118" s="153"/>
      <c r="CE118" s="153"/>
      <c r="CF118" s="153"/>
      <c r="CG118" s="153"/>
      <c r="CH118" s="153"/>
      <c r="CI118" s="153"/>
      <c r="CJ118" s="153"/>
      <c r="CK118" s="153"/>
      <c r="CL118" s="153"/>
      <c r="CM118" s="154"/>
      <c r="CN118" s="154"/>
      <c r="CO118" s="23"/>
    </row>
    <row r="119" spans="1:93">
      <c r="A119" s="114"/>
      <c r="B119" s="124" t="s">
        <v>815</v>
      </c>
      <c r="C119" s="124" t="s">
        <v>814</v>
      </c>
      <c r="D119" s="125"/>
      <c r="E119" s="125">
        <v>475</v>
      </c>
      <c r="F119" s="125">
        <v>472</v>
      </c>
      <c r="G119" s="125">
        <v>532</v>
      </c>
      <c r="H119" s="125">
        <v>1708</v>
      </c>
      <c r="I119" s="125">
        <v>1710</v>
      </c>
      <c r="J119" s="125">
        <v>1776</v>
      </c>
      <c r="K119" s="125">
        <v>1549</v>
      </c>
      <c r="L119" s="125">
        <v>2508</v>
      </c>
      <c r="M119" s="125">
        <v>2636</v>
      </c>
      <c r="N119" s="125">
        <v>2402</v>
      </c>
      <c r="O119" s="125">
        <v>2562</v>
      </c>
      <c r="P119" s="125">
        <v>1851</v>
      </c>
      <c r="Q119" s="125">
        <v>1934</v>
      </c>
      <c r="R119" s="125">
        <v>2169</v>
      </c>
      <c r="S119" s="125">
        <v>1727</v>
      </c>
      <c r="T119" s="125">
        <v>2051</v>
      </c>
      <c r="U119" s="125">
        <v>2349</v>
      </c>
      <c r="V119" s="124">
        <v>2408</v>
      </c>
      <c r="W119" s="124">
        <v>3232</v>
      </c>
      <c r="X119" s="124">
        <f t="shared" ref="X119:AC119" si="114">+X117+X118</f>
        <v>3054</v>
      </c>
      <c r="Y119" s="124">
        <f t="shared" si="114"/>
        <v>2428</v>
      </c>
      <c r="Z119" s="124">
        <f t="shared" si="114"/>
        <v>1738</v>
      </c>
      <c r="AA119" s="124">
        <f t="shared" si="114"/>
        <v>1604</v>
      </c>
      <c r="AB119" s="124">
        <f t="shared" si="114"/>
        <v>1443</v>
      </c>
      <c r="AC119" s="124">
        <f t="shared" si="114"/>
        <v>1267</v>
      </c>
      <c r="AD119" s="124">
        <f t="shared" ref="AD119:AE119" si="115">+AD117+AD118</f>
        <v>1311</v>
      </c>
      <c r="AE119" s="124">
        <f t="shared" si="115"/>
        <v>2553</v>
      </c>
      <c r="AF119" s="114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14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14"/>
      <c r="CB119" s="124"/>
      <c r="CC119" s="124"/>
      <c r="CD119" s="124"/>
      <c r="CE119" s="124"/>
      <c r="CF119" s="124"/>
      <c r="CG119" s="124"/>
      <c r="CH119" s="124"/>
      <c r="CI119" s="124"/>
      <c r="CJ119" s="124"/>
      <c r="CK119" s="124"/>
      <c r="CL119" s="124"/>
      <c r="CM119" s="124"/>
      <c r="CN119" s="124"/>
      <c r="CO119" s="114"/>
    </row>
    <row r="120" spans="1:9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121"/>
      <c r="CC120" s="121"/>
      <c r="CD120" s="121"/>
      <c r="CE120" s="121"/>
      <c r="CF120" s="121"/>
      <c r="CG120" s="121"/>
      <c r="CH120" s="121"/>
      <c r="CI120" s="121"/>
      <c r="CJ120" s="121"/>
      <c r="CK120" s="121"/>
      <c r="CL120" s="121"/>
      <c r="CM120" s="23"/>
      <c r="CN120" s="23"/>
      <c r="CO120" s="23"/>
    </row>
    <row r="121" spans="1:93">
      <c r="A121" s="23"/>
      <c r="B121" s="23" t="s">
        <v>105</v>
      </c>
      <c r="C121" s="23" t="s">
        <v>104</v>
      </c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163"/>
      <c r="AH121" s="163"/>
      <c r="AI121" s="163"/>
      <c r="AJ121" s="163"/>
      <c r="AK121" s="163"/>
      <c r="AL121" s="163"/>
      <c r="AM121" s="163"/>
      <c r="AN121" s="163"/>
      <c r="AO121" s="121"/>
      <c r="AP121" s="121"/>
      <c r="AQ121" s="121"/>
      <c r="AR121" s="121"/>
      <c r="AS121" s="121"/>
      <c r="AT121" s="121"/>
      <c r="AU121" s="121"/>
      <c r="AV121" s="163"/>
      <c r="AW121" s="23"/>
      <c r="AX121" s="163"/>
      <c r="AY121" s="163"/>
      <c r="AZ121" s="163"/>
      <c r="BA121" s="163"/>
      <c r="BB121" s="163"/>
      <c r="BC121" s="163"/>
      <c r="BD121" s="163"/>
      <c r="BE121" s="163"/>
      <c r="BF121" s="163"/>
      <c r="BG121" s="163"/>
      <c r="BH121" s="163"/>
      <c r="BI121" s="163"/>
      <c r="BJ121" s="163"/>
      <c r="BK121" s="163"/>
      <c r="BL121" s="163"/>
      <c r="BM121" s="163"/>
      <c r="BN121" s="163"/>
      <c r="BO121" s="163"/>
      <c r="BP121" s="163"/>
      <c r="BQ121" s="163"/>
      <c r="BR121" s="163"/>
      <c r="BS121" s="163"/>
      <c r="BT121" s="163"/>
      <c r="BU121" s="163"/>
      <c r="BV121" s="163"/>
      <c r="BW121" s="163"/>
      <c r="BX121" s="163"/>
      <c r="BY121" s="163"/>
      <c r="BZ121" s="163"/>
      <c r="CA121" s="23"/>
      <c r="CB121" s="153"/>
      <c r="CC121" s="153"/>
      <c r="CD121" s="153"/>
      <c r="CE121" s="153"/>
      <c r="CF121" s="153"/>
      <c r="CG121" s="153"/>
      <c r="CH121" s="153"/>
      <c r="CI121" s="153"/>
      <c r="CJ121" s="153"/>
      <c r="CK121" s="153"/>
      <c r="CL121" s="153"/>
      <c r="CM121" s="154"/>
      <c r="CN121" s="154"/>
      <c r="CO121" s="23"/>
    </row>
    <row r="122" spans="1:93">
      <c r="A122" s="23"/>
      <c r="B122" s="23" t="s">
        <v>103</v>
      </c>
      <c r="C122" s="23" t="s">
        <v>102</v>
      </c>
      <c r="D122" s="121"/>
      <c r="E122" s="121">
        <v>12356</v>
      </c>
      <c r="F122" s="121">
        <v>11889</v>
      </c>
      <c r="G122" s="121">
        <v>13175</v>
      </c>
      <c r="H122" s="121">
        <v>12923</v>
      </c>
      <c r="I122" s="121">
        <v>22364</v>
      </c>
      <c r="J122" s="121">
        <v>16521</v>
      </c>
      <c r="K122" s="121">
        <v>13553</v>
      </c>
      <c r="L122" s="121">
        <v>16243</v>
      </c>
      <c r="M122" s="121">
        <v>15686</v>
      </c>
      <c r="N122" s="121">
        <v>18721</v>
      </c>
      <c r="O122" s="121">
        <v>18318</v>
      </c>
      <c r="P122" s="121">
        <v>14903</v>
      </c>
      <c r="Q122" s="121">
        <v>13594</v>
      </c>
      <c r="R122" s="121">
        <v>14690</v>
      </c>
      <c r="S122" s="121">
        <v>14160</v>
      </c>
      <c r="T122" s="121">
        <v>14947</v>
      </c>
      <c r="U122" s="121">
        <v>18385</v>
      </c>
      <c r="V122" s="161">
        <v>20114</v>
      </c>
      <c r="W122" s="161">
        <v>26745</v>
      </c>
      <c r="X122" s="161">
        <v>28105</v>
      </c>
      <c r="Y122" s="161">
        <v>29689</v>
      </c>
      <c r="Z122" s="161">
        <v>31316</v>
      </c>
      <c r="AA122" s="161">
        <v>30409</v>
      </c>
      <c r="AB122" s="164">
        <v>27018</v>
      </c>
      <c r="AC122" s="164">
        <v>29169</v>
      </c>
      <c r="AD122" s="164">
        <v>28256</v>
      </c>
      <c r="AE122" s="164">
        <v>28256</v>
      </c>
      <c r="AF122" s="23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161"/>
      <c r="AV122" s="161"/>
      <c r="AW122" s="23"/>
      <c r="AX122" s="161"/>
      <c r="AY122" s="161"/>
      <c r="AZ122" s="161"/>
      <c r="BA122" s="161"/>
      <c r="BB122" s="161"/>
      <c r="BC122" s="161"/>
      <c r="BD122" s="161"/>
      <c r="BE122" s="161"/>
      <c r="BF122" s="161"/>
      <c r="BG122" s="161"/>
      <c r="BH122" s="161"/>
      <c r="BI122" s="161"/>
      <c r="BJ122" s="161"/>
      <c r="BK122" s="161"/>
      <c r="BL122" s="161"/>
      <c r="BM122" s="161"/>
      <c r="BN122" s="161"/>
      <c r="BO122" s="161"/>
      <c r="BP122" s="161"/>
      <c r="BQ122" s="161"/>
      <c r="BR122" s="161"/>
      <c r="BS122" s="161"/>
      <c r="BT122" s="161"/>
      <c r="BU122" s="161"/>
      <c r="BV122" s="161"/>
      <c r="BW122" s="161"/>
      <c r="BX122" s="161"/>
      <c r="BY122" s="161"/>
      <c r="BZ122" s="161"/>
      <c r="CA122" s="23"/>
      <c r="CB122" s="160"/>
      <c r="CC122" s="160"/>
      <c r="CD122" s="160"/>
      <c r="CE122" s="160"/>
      <c r="CF122" s="160"/>
      <c r="CG122" s="160"/>
      <c r="CH122" s="160"/>
      <c r="CI122" s="160"/>
      <c r="CJ122" s="160"/>
      <c r="CK122" s="160"/>
      <c r="CL122" s="160"/>
      <c r="CM122" s="160"/>
      <c r="CN122" s="160"/>
      <c r="CO122" s="23"/>
    </row>
    <row r="123" spans="1:93">
      <c r="A123" s="23"/>
      <c r="B123" s="130" t="s">
        <v>107</v>
      </c>
      <c r="C123" s="130" t="s">
        <v>813</v>
      </c>
      <c r="D123" s="130"/>
      <c r="E123" s="130">
        <f t="shared" ref="E123:V123" si="116">+E121+E122</f>
        <v>12356</v>
      </c>
      <c r="F123" s="130">
        <f t="shared" si="116"/>
        <v>11889</v>
      </c>
      <c r="G123" s="130">
        <f t="shared" si="116"/>
        <v>13175</v>
      </c>
      <c r="H123" s="130">
        <f t="shared" si="116"/>
        <v>12923</v>
      </c>
      <c r="I123" s="130">
        <f t="shared" si="116"/>
        <v>22364</v>
      </c>
      <c r="J123" s="130">
        <f t="shared" si="116"/>
        <v>16521</v>
      </c>
      <c r="K123" s="130">
        <f t="shared" si="116"/>
        <v>13553</v>
      </c>
      <c r="L123" s="130">
        <f t="shared" si="116"/>
        <v>16243</v>
      </c>
      <c r="M123" s="130">
        <f t="shared" si="116"/>
        <v>15686</v>
      </c>
      <c r="N123" s="130">
        <f t="shared" si="116"/>
        <v>18721</v>
      </c>
      <c r="O123" s="130">
        <f t="shared" si="116"/>
        <v>18318</v>
      </c>
      <c r="P123" s="130">
        <f t="shared" si="116"/>
        <v>14903</v>
      </c>
      <c r="Q123" s="130">
        <f t="shared" si="116"/>
        <v>13594</v>
      </c>
      <c r="R123" s="130">
        <f t="shared" si="116"/>
        <v>14690</v>
      </c>
      <c r="S123" s="130">
        <f t="shared" si="116"/>
        <v>14160</v>
      </c>
      <c r="T123" s="130">
        <f t="shared" si="116"/>
        <v>14947</v>
      </c>
      <c r="U123" s="130">
        <f t="shared" si="116"/>
        <v>18385</v>
      </c>
      <c r="V123" s="130">
        <f t="shared" si="116"/>
        <v>20114</v>
      </c>
      <c r="W123" s="130">
        <f t="shared" ref="W123:X123" si="117">+W121+W122</f>
        <v>26745</v>
      </c>
      <c r="X123" s="130">
        <f t="shared" si="117"/>
        <v>28105</v>
      </c>
      <c r="Y123" s="130">
        <f t="shared" ref="Y123:Z123" si="118">+Y121+Y122</f>
        <v>29689</v>
      </c>
      <c r="Z123" s="130">
        <f t="shared" si="118"/>
        <v>31316</v>
      </c>
      <c r="AA123" s="130">
        <f t="shared" ref="AA123:AB123" si="119">+AA121+AA122</f>
        <v>30409</v>
      </c>
      <c r="AB123" s="130">
        <f t="shared" si="119"/>
        <v>27018</v>
      </c>
      <c r="AC123" s="130">
        <f t="shared" ref="AC123:AD123" si="120">+AC121+AC122</f>
        <v>29169</v>
      </c>
      <c r="AD123" s="130">
        <f t="shared" si="120"/>
        <v>28256</v>
      </c>
      <c r="AE123" s="130">
        <f t="shared" ref="AE123" si="121">+AE121+AE122</f>
        <v>28256</v>
      </c>
      <c r="AF123" s="23"/>
      <c r="AG123" s="130"/>
      <c r="AH123" s="130"/>
      <c r="AI123" s="130"/>
      <c r="AJ123" s="130"/>
      <c r="AK123" s="130"/>
      <c r="AL123" s="130"/>
      <c r="AM123" s="130"/>
      <c r="AN123" s="130"/>
      <c r="AO123" s="131"/>
      <c r="AP123" s="131"/>
      <c r="AQ123" s="131"/>
      <c r="AR123" s="131"/>
      <c r="AS123" s="131"/>
      <c r="AT123" s="131"/>
      <c r="AU123" s="131"/>
      <c r="AV123" s="130"/>
      <c r="AW123" s="23"/>
      <c r="AX123" s="130"/>
      <c r="AY123" s="130"/>
      <c r="AZ123" s="130"/>
      <c r="BA123" s="130"/>
      <c r="BB123" s="130"/>
      <c r="BC123" s="130"/>
      <c r="BD123" s="130"/>
      <c r="BE123" s="130"/>
      <c r="BF123" s="130"/>
      <c r="BG123" s="130"/>
      <c r="BH123" s="130"/>
      <c r="BI123" s="130"/>
      <c r="BJ123" s="130"/>
      <c r="BK123" s="130"/>
      <c r="BL123" s="130"/>
      <c r="BM123" s="130"/>
      <c r="BN123" s="130"/>
      <c r="BO123" s="130"/>
      <c r="BP123" s="130"/>
      <c r="BQ123" s="130"/>
      <c r="BR123" s="130"/>
      <c r="BS123" s="130"/>
      <c r="BT123" s="130"/>
      <c r="BU123" s="130"/>
      <c r="BV123" s="130"/>
      <c r="BW123" s="130"/>
      <c r="BX123" s="130"/>
      <c r="BY123" s="130"/>
      <c r="BZ123" s="130"/>
      <c r="CA123" s="23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49"/>
      <c r="CN123" s="121"/>
      <c r="CO123" s="23"/>
    </row>
    <row r="124" spans="1:9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23"/>
      <c r="CN124" s="23"/>
      <c r="CO124" s="23"/>
    </row>
    <row r="125" spans="1:93">
      <c r="A125" s="23"/>
      <c r="B125" s="23" t="s">
        <v>812</v>
      </c>
      <c r="C125" s="23" t="s">
        <v>811</v>
      </c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23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23"/>
      <c r="CB125" s="149"/>
      <c r="CC125" s="149"/>
      <c r="CD125" s="149"/>
      <c r="CE125" s="149"/>
      <c r="CF125" s="149"/>
      <c r="CG125" s="149"/>
      <c r="CH125" s="149"/>
      <c r="CI125" s="149"/>
      <c r="CJ125" s="149"/>
      <c r="CK125" s="149"/>
      <c r="CL125" s="149"/>
      <c r="CM125" s="149"/>
      <c r="CN125" s="149"/>
      <c r="CO125" s="23"/>
    </row>
    <row r="126" spans="1:93">
      <c r="A126" s="23"/>
      <c r="B126" s="23" t="s">
        <v>196</v>
      </c>
      <c r="C126" s="23" t="s">
        <v>167</v>
      </c>
      <c r="D126" s="23"/>
      <c r="E126" s="23">
        <f t="shared" ref="E126:V126" si="122">E127-E125</f>
        <v>4207</v>
      </c>
      <c r="F126" s="23">
        <f t="shared" si="122"/>
        <v>3763</v>
      </c>
      <c r="G126" s="23">
        <f t="shared" si="122"/>
        <v>6006</v>
      </c>
      <c r="H126" s="23">
        <f t="shared" si="122"/>
        <v>5798</v>
      </c>
      <c r="I126" s="23">
        <f t="shared" si="122"/>
        <v>6696</v>
      </c>
      <c r="J126" s="23">
        <f t="shared" si="122"/>
        <v>9072</v>
      </c>
      <c r="K126" s="23">
        <f t="shared" si="122"/>
        <v>8945</v>
      </c>
      <c r="L126" s="23">
        <f t="shared" si="122"/>
        <v>7416</v>
      </c>
      <c r="M126" s="23">
        <f t="shared" si="122"/>
        <v>3516</v>
      </c>
      <c r="N126" s="23">
        <f t="shared" si="122"/>
        <v>2680</v>
      </c>
      <c r="O126" s="23">
        <f t="shared" si="122"/>
        <v>2359</v>
      </c>
      <c r="P126" s="23">
        <f t="shared" si="122"/>
        <v>2254</v>
      </c>
      <c r="Q126" s="23">
        <f t="shared" si="122"/>
        <v>2155</v>
      </c>
      <c r="R126" s="23">
        <f t="shared" si="122"/>
        <v>2065</v>
      </c>
      <c r="S126" s="23">
        <f t="shared" si="122"/>
        <v>2422</v>
      </c>
      <c r="T126" s="23">
        <f t="shared" si="122"/>
        <v>2639</v>
      </c>
      <c r="U126" s="23">
        <f t="shared" si="122"/>
        <v>2532</v>
      </c>
      <c r="V126" s="23">
        <f t="shared" si="122"/>
        <v>2182</v>
      </c>
      <c r="W126" s="23">
        <f t="shared" ref="W126:X126" si="123">W127-W125</f>
        <v>2044</v>
      </c>
      <c r="X126" s="23">
        <f t="shared" si="123"/>
        <v>2209</v>
      </c>
      <c r="Y126" s="23">
        <f t="shared" ref="Y126:Z126" si="124">Y127-Y125</f>
        <v>6703</v>
      </c>
      <c r="Z126" s="23">
        <f t="shared" si="124"/>
        <v>1917</v>
      </c>
      <c r="AA126" s="23">
        <f t="shared" ref="AA126:AB126" si="125">AA127-AA125</f>
        <v>2103</v>
      </c>
      <c r="AB126" s="23">
        <f t="shared" si="125"/>
        <v>2334</v>
      </c>
      <c r="AC126" s="23">
        <f t="shared" ref="AC126:AD126" si="126">AC127-AC125</f>
        <v>2299</v>
      </c>
      <c r="AD126" s="23">
        <f t="shared" si="126"/>
        <v>2502</v>
      </c>
      <c r="AE126" s="23">
        <f t="shared" ref="AE126" si="127">AE127-AE125</f>
        <v>21276</v>
      </c>
      <c r="AF126" s="23"/>
      <c r="AG126" s="121"/>
      <c r="AH126" s="121"/>
      <c r="AI126" s="121"/>
      <c r="AJ126" s="121"/>
      <c r="AK126" s="121"/>
      <c r="AL126" s="121"/>
      <c r="AM126" s="121"/>
      <c r="AN126" s="121"/>
      <c r="AO126" s="23"/>
      <c r="AP126" s="23"/>
      <c r="AQ126" s="23"/>
      <c r="AR126" s="23"/>
      <c r="AS126" s="23"/>
      <c r="AT126" s="23"/>
      <c r="AU126" s="23"/>
      <c r="AV126" s="121"/>
      <c r="AW126" s="23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</row>
    <row r="127" spans="1:93">
      <c r="A127" s="23"/>
      <c r="B127" s="130" t="s">
        <v>146</v>
      </c>
      <c r="C127" s="130" t="s">
        <v>810</v>
      </c>
      <c r="D127" s="130"/>
      <c r="E127" s="130">
        <f t="shared" ref="E127:V127" si="128">E129-E123+E124</f>
        <v>4207</v>
      </c>
      <c r="F127" s="130">
        <f t="shared" si="128"/>
        <v>3763</v>
      </c>
      <c r="G127" s="130">
        <f t="shared" si="128"/>
        <v>6006</v>
      </c>
      <c r="H127" s="130">
        <f t="shared" si="128"/>
        <v>5798</v>
      </c>
      <c r="I127" s="130">
        <f t="shared" si="128"/>
        <v>6696</v>
      </c>
      <c r="J127" s="130">
        <f t="shared" si="128"/>
        <v>9072</v>
      </c>
      <c r="K127" s="130">
        <f t="shared" si="128"/>
        <v>8945</v>
      </c>
      <c r="L127" s="130">
        <f t="shared" si="128"/>
        <v>7416</v>
      </c>
      <c r="M127" s="130">
        <f t="shared" si="128"/>
        <v>3516</v>
      </c>
      <c r="N127" s="130">
        <f t="shared" si="128"/>
        <v>2680</v>
      </c>
      <c r="O127" s="130">
        <f t="shared" si="128"/>
        <v>2359</v>
      </c>
      <c r="P127" s="130">
        <f t="shared" si="128"/>
        <v>2254</v>
      </c>
      <c r="Q127" s="130">
        <f t="shared" si="128"/>
        <v>2155</v>
      </c>
      <c r="R127" s="130">
        <f t="shared" si="128"/>
        <v>2065</v>
      </c>
      <c r="S127" s="130">
        <f t="shared" si="128"/>
        <v>2422</v>
      </c>
      <c r="T127" s="130">
        <f t="shared" si="128"/>
        <v>2639</v>
      </c>
      <c r="U127" s="130">
        <f t="shared" si="128"/>
        <v>2532</v>
      </c>
      <c r="V127" s="130">
        <f t="shared" si="128"/>
        <v>2182</v>
      </c>
      <c r="W127" s="130">
        <f t="shared" ref="W127:X127" si="129">W129-W123+W124</f>
        <v>2044</v>
      </c>
      <c r="X127" s="130">
        <f t="shared" si="129"/>
        <v>2209</v>
      </c>
      <c r="Y127" s="130">
        <f t="shared" ref="Y127:Z127" si="130">Y129-Y123+Y124</f>
        <v>6703</v>
      </c>
      <c r="Z127" s="130">
        <f t="shared" si="130"/>
        <v>1917</v>
      </c>
      <c r="AA127" s="130">
        <f>AA129-AA123+AA124</f>
        <v>2103</v>
      </c>
      <c r="AB127" s="130">
        <f>AB129-AB123+AB124</f>
        <v>2334</v>
      </c>
      <c r="AC127" s="130">
        <f>AC129-AC123+AC124</f>
        <v>2299</v>
      </c>
      <c r="AD127" s="130">
        <f>AD129-AD123+AD124</f>
        <v>2502</v>
      </c>
      <c r="AE127" s="130">
        <f>AE129-AE123+AE124</f>
        <v>21276</v>
      </c>
      <c r="AF127" s="23"/>
      <c r="AG127" s="130"/>
      <c r="AH127" s="130"/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23"/>
      <c r="AX127" s="130"/>
      <c r="AY127" s="130"/>
      <c r="AZ127" s="130"/>
      <c r="BA127" s="130"/>
      <c r="BB127" s="130"/>
      <c r="BC127" s="130"/>
      <c r="BD127" s="130"/>
      <c r="BE127" s="130"/>
      <c r="BF127" s="130"/>
      <c r="BG127" s="130"/>
      <c r="BH127" s="130"/>
      <c r="BI127" s="130"/>
      <c r="BJ127" s="130"/>
      <c r="BK127" s="130"/>
      <c r="BL127" s="130"/>
      <c r="BM127" s="130"/>
      <c r="BN127" s="130"/>
      <c r="BO127" s="130"/>
      <c r="BP127" s="130"/>
      <c r="BQ127" s="130"/>
      <c r="BR127" s="130"/>
      <c r="BS127" s="130"/>
      <c r="BT127" s="130"/>
      <c r="BU127" s="130"/>
      <c r="BV127" s="130"/>
      <c r="BW127" s="130"/>
      <c r="BX127" s="130"/>
      <c r="BY127" s="130"/>
      <c r="BZ127" s="130"/>
      <c r="CA127" s="23"/>
      <c r="CB127" s="130"/>
      <c r="CC127" s="130"/>
      <c r="CD127" s="130"/>
      <c r="CE127" s="130"/>
      <c r="CF127" s="130"/>
      <c r="CG127" s="130"/>
      <c r="CH127" s="130"/>
      <c r="CI127" s="130"/>
      <c r="CJ127" s="130"/>
      <c r="CK127" s="130"/>
      <c r="CL127" s="130"/>
      <c r="CM127" s="130"/>
      <c r="CN127" s="130"/>
      <c r="CO127" s="23"/>
    </row>
    <row r="128" spans="1:93">
      <c r="A128" s="114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14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14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14"/>
      <c r="CB128" s="129"/>
      <c r="CC128" s="129"/>
      <c r="CD128" s="129"/>
      <c r="CE128" s="129"/>
      <c r="CF128" s="129"/>
      <c r="CG128" s="129"/>
      <c r="CH128" s="129"/>
      <c r="CI128" s="129"/>
      <c r="CJ128" s="129"/>
      <c r="CK128" s="129"/>
      <c r="CL128" s="129"/>
      <c r="CM128" s="129"/>
      <c r="CN128" s="129"/>
      <c r="CO128" s="114"/>
    </row>
    <row r="129" spans="1:93">
      <c r="A129" s="114"/>
      <c r="B129" s="114" t="s">
        <v>809</v>
      </c>
      <c r="C129" s="114" t="s">
        <v>808</v>
      </c>
      <c r="D129" s="115"/>
      <c r="E129" s="115">
        <f t="shared" ref="E129:V129" si="131">+E131-E115-E119</f>
        <v>16563</v>
      </c>
      <c r="F129" s="115">
        <f t="shared" si="131"/>
        <v>15652</v>
      </c>
      <c r="G129" s="115">
        <f t="shared" si="131"/>
        <v>19181</v>
      </c>
      <c r="H129" s="115">
        <f t="shared" si="131"/>
        <v>18721</v>
      </c>
      <c r="I129" s="115">
        <f t="shared" si="131"/>
        <v>29060</v>
      </c>
      <c r="J129" s="115">
        <f t="shared" si="131"/>
        <v>25593</v>
      </c>
      <c r="K129" s="115">
        <f t="shared" si="131"/>
        <v>22498</v>
      </c>
      <c r="L129" s="115">
        <f t="shared" si="131"/>
        <v>23659</v>
      </c>
      <c r="M129" s="115">
        <f t="shared" si="131"/>
        <v>19202</v>
      </c>
      <c r="N129" s="115">
        <f t="shared" si="131"/>
        <v>21401</v>
      </c>
      <c r="O129" s="115">
        <f t="shared" si="131"/>
        <v>20677</v>
      </c>
      <c r="P129" s="115">
        <f t="shared" si="131"/>
        <v>17157</v>
      </c>
      <c r="Q129" s="115">
        <f t="shared" si="131"/>
        <v>15749</v>
      </c>
      <c r="R129" s="115">
        <f t="shared" si="131"/>
        <v>16755</v>
      </c>
      <c r="S129" s="115">
        <f t="shared" si="131"/>
        <v>16582</v>
      </c>
      <c r="T129" s="115">
        <f t="shared" si="131"/>
        <v>17586</v>
      </c>
      <c r="U129" s="115">
        <f t="shared" si="131"/>
        <v>20917</v>
      </c>
      <c r="V129" s="115">
        <f t="shared" si="131"/>
        <v>22296</v>
      </c>
      <c r="W129" s="115">
        <f t="shared" ref="W129:X129" si="132">+W131-W115-W119</f>
        <v>28789</v>
      </c>
      <c r="X129" s="115">
        <f t="shared" si="132"/>
        <v>30314</v>
      </c>
      <c r="Y129" s="115">
        <f t="shared" ref="Y129:Z129" si="133">+Y131-Y115-Y119</f>
        <v>36392</v>
      </c>
      <c r="Z129" s="115">
        <f t="shared" si="133"/>
        <v>33233</v>
      </c>
      <c r="AA129" s="115">
        <f t="shared" ref="AA129:AB129" si="134">+AA131-AA115-AA119</f>
        <v>32512</v>
      </c>
      <c r="AB129" s="114">
        <f t="shared" si="134"/>
        <v>29352</v>
      </c>
      <c r="AC129" s="114">
        <f t="shared" ref="AC129:AD129" si="135">+AC131-AC115-AC119</f>
        <v>31468</v>
      </c>
      <c r="AD129" s="114">
        <f t="shared" si="135"/>
        <v>30758</v>
      </c>
      <c r="AE129" s="114">
        <f t="shared" ref="AE129" si="136">+AE131-AE115-AE119</f>
        <v>49532</v>
      </c>
      <c r="AF129" s="114"/>
      <c r="AG129" s="115"/>
      <c r="AH129" s="115"/>
      <c r="AI129" s="115"/>
      <c r="AJ129" s="115"/>
      <c r="AK129" s="115"/>
      <c r="AL129" s="115"/>
      <c r="AM129" s="115"/>
      <c r="AN129" s="115"/>
      <c r="AO129" s="125"/>
      <c r="AP129" s="115"/>
      <c r="AQ129" s="125"/>
      <c r="AR129" s="115"/>
      <c r="AS129" s="125"/>
      <c r="AT129" s="115"/>
      <c r="AU129" s="115"/>
      <c r="AV129" s="115"/>
      <c r="AW129" s="114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4"/>
      <c r="CB129" s="114"/>
      <c r="CC129" s="114"/>
      <c r="CD129" s="114"/>
      <c r="CE129" s="114"/>
      <c r="CF129" s="114"/>
      <c r="CG129" s="114"/>
      <c r="CH129" s="114"/>
      <c r="CI129" s="114"/>
      <c r="CJ129" s="114"/>
      <c r="CK129" s="114"/>
      <c r="CL129" s="114"/>
      <c r="CM129" s="114"/>
      <c r="CN129" s="114"/>
      <c r="CO129" s="114"/>
    </row>
    <row r="130" spans="1:93">
      <c r="A130" s="11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4"/>
      <c r="AG130" s="114"/>
      <c r="AH130" s="114"/>
      <c r="AI130" s="114"/>
      <c r="AJ130" s="114"/>
      <c r="AK130" s="114"/>
      <c r="AL130" s="114"/>
      <c r="AM130" s="114"/>
      <c r="AN130" s="114"/>
      <c r="AO130" s="114"/>
      <c r="AP130" s="114"/>
      <c r="AQ130" s="114"/>
      <c r="AR130" s="114"/>
      <c r="AS130" s="114"/>
      <c r="AT130" s="114"/>
      <c r="AU130" s="114"/>
      <c r="AV130" s="114"/>
      <c r="AW130" s="114"/>
      <c r="AX130" s="114"/>
      <c r="AY130" s="114"/>
      <c r="AZ130" s="114"/>
      <c r="BA130" s="114"/>
      <c r="BB130" s="114"/>
      <c r="BC130" s="114"/>
      <c r="BD130" s="114"/>
      <c r="BE130" s="114"/>
      <c r="BF130" s="114"/>
      <c r="BG130" s="114"/>
      <c r="BH130" s="114"/>
      <c r="BI130" s="114"/>
      <c r="BJ130" s="114"/>
      <c r="BK130" s="114"/>
      <c r="BL130" s="114"/>
      <c r="BM130" s="114"/>
      <c r="BN130" s="114"/>
      <c r="BO130" s="114"/>
      <c r="BP130" s="114"/>
      <c r="BQ130" s="114"/>
      <c r="BR130" s="114"/>
      <c r="BS130" s="114"/>
      <c r="BT130" s="114"/>
      <c r="BU130" s="114"/>
      <c r="BV130" s="114"/>
      <c r="BW130" s="114"/>
      <c r="BX130" s="114"/>
      <c r="BY130" s="114"/>
      <c r="BZ130" s="114"/>
      <c r="CA130" s="114"/>
      <c r="CB130" s="114"/>
      <c r="CC130" s="114"/>
      <c r="CD130" s="114"/>
      <c r="CE130" s="114"/>
      <c r="CF130" s="114"/>
      <c r="CG130" s="114"/>
      <c r="CH130" s="114"/>
      <c r="CI130" s="114"/>
      <c r="CJ130" s="114"/>
      <c r="CK130" s="114"/>
      <c r="CL130" s="114"/>
      <c r="CM130" s="114"/>
      <c r="CN130" s="114"/>
      <c r="CO130" s="114"/>
    </row>
    <row r="131" spans="1:93">
      <c r="A131" s="114"/>
      <c r="B131" s="114" t="s">
        <v>807</v>
      </c>
      <c r="C131" s="114" t="s">
        <v>806</v>
      </c>
      <c r="D131" s="114"/>
      <c r="E131" s="114">
        <f t="shared" ref="E131:V131" si="137">E133-E109</f>
        <v>111411</v>
      </c>
      <c r="F131" s="114">
        <f t="shared" si="137"/>
        <v>117083</v>
      </c>
      <c r="G131" s="114">
        <f t="shared" si="137"/>
        <v>117785</v>
      </c>
      <c r="H131" s="114">
        <f t="shared" si="137"/>
        <v>116091</v>
      </c>
      <c r="I131" s="114">
        <f t="shared" si="137"/>
        <v>129114</v>
      </c>
      <c r="J131" s="114">
        <f t="shared" si="137"/>
        <v>130957</v>
      </c>
      <c r="K131" s="114">
        <f t="shared" si="137"/>
        <v>127628</v>
      </c>
      <c r="L131" s="114">
        <f t="shared" si="137"/>
        <v>124937</v>
      </c>
      <c r="M131" s="114">
        <f t="shared" si="137"/>
        <v>119242</v>
      </c>
      <c r="N131" s="114">
        <f t="shared" si="137"/>
        <v>120239</v>
      </c>
      <c r="O131" s="114">
        <f t="shared" si="137"/>
        <v>114769</v>
      </c>
      <c r="P131" s="114">
        <f t="shared" si="137"/>
        <v>105511</v>
      </c>
      <c r="Q131" s="114">
        <f t="shared" si="137"/>
        <v>105257</v>
      </c>
      <c r="R131" s="114">
        <f t="shared" si="137"/>
        <v>120633</v>
      </c>
      <c r="S131" s="114">
        <f t="shared" si="137"/>
        <v>113808</v>
      </c>
      <c r="T131" s="114">
        <f t="shared" si="137"/>
        <v>117218</v>
      </c>
      <c r="U131" s="114">
        <f t="shared" si="137"/>
        <v>125528</v>
      </c>
      <c r="V131" s="114">
        <f t="shared" si="137"/>
        <v>143883</v>
      </c>
      <c r="W131" s="114">
        <f t="shared" ref="W131:X131" si="138">W133-W109</f>
        <v>152690</v>
      </c>
      <c r="X131" s="114">
        <f t="shared" si="138"/>
        <v>158308</v>
      </c>
      <c r="Y131" s="114">
        <f t="shared" ref="Y131:Z131" si="139">Y133-Y109</f>
        <v>163760</v>
      </c>
      <c r="Z131" s="114">
        <f t="shared" si="139"/>
        <v>171069</v>
      </c>
      <c r="AA131" s="114">
        <f t="shared" ref="AA131:AB131" si="140">AA133-AA109</f>
        <v>186892</v>
      </c>
      <c r="AB131" s="114">
        <f t="shared" si="140"/>
        <v>186976</v>
      </c>
      <c r="AC131" s="114">
        <f t="shared" ref="AC131:AD131" si="141">AC133-AC109</f>
        <v>190673</v>
      </c>
      <c r="AD131" s="114">
        <f t="shared" si="141"/>
        <v>191264</v>
      </c>
      <c r="AE131" s="114">
        <f t="shared" ref="AE131" si="142">AE133-AE109</f>
        <v>212007</v>
      </c>
      <c r="AF131" s="114"/>
      <c r="AG131" s="114"/>
      <c r="AH131" s="114"/>
      <c r="AI131" s="114"/>
      <c r="AJ131" s="114"/>
      <c r="AK131" s="114"/>
      <c r="AL131" s="114"/>
      <c r="AM131" s="114"/>
      <c r="AN131" s="114"/>
      <c r="AO131" s="114"/>
      <c r="AP131" s="114"/>
      <c r="AQ131" s="114"/>
      <c r="AR131" s="114"/>
      <c r="AS131" s="114"/>
      <c r="AT131" s="114"/>
      <c r="AU131" s="114"/>
      <c r="AV131" s="114"/>
      <c r="AW131" s="114"/>
      <c r="AX131" s="114"/>
      <c r="AY131" s="114"/>
      <c r="AZ131" s="114"/>
      <c r="BA131" s="114"/>
      <c r="BB131" s="114"/>
      <c r="BC131" s="114"/>
      <c r="BD131" s="114"/>
      <c r="BE131" s="114"/>
      <c r="BF131" s="114"/>
      <c r="BG131" s="114"/>
      <c r="BH131" s="114"/>
      <c r="BI131" s="114"/>
      <c r="BJ131" s="114"/>
      <c r="BK131" s="114"/>
      <c r="BL131" s="114"/>
      <c r="BM131" s="114"/>
      <c r="BN131" s="114"/>
      <c r="BO131" s="114"/>
      <c r="BP131" s="114"/>
      <c r="BQ131" s="114"/>
      <c r="BR131" s="114"/>
      <c r="BS131" s="114"/>
      <c r="BT131" s="114"/>
      <c r="BU131" s="114"/>
      <c r="BV131" s="114"/>
      <c r="BW131" s="114"/>
      <c r="BX131" s="114"/>
      <c r="BY131" s="114"/>
      <c r="BZ131" s="114"/>
      <c r="CA131" s="114"/>
      <c r="CB131" s="114"/>
      <c r="CC131" s="114"/>
      <c r="CD131" s="114"/>
      <c r="CE131" s="114"/>
      <c r="CF131" s="114"/>
      <c r="CG131" s="114"/>
      <c r="CH131" s="114"/>
      <c r="CI131" s="114"/>
      <c r="CJ131" s="114"/>
      <c r="CK131" s="114"/>
      <c r="CL131" s="114"/>
      <c r="CM131" s="114"/>
      <c r="CN131" s="114"/>
      <c r="CO131" s="114"/>
    </row>
    <row r="132" spans="1:9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</row>
    <row r="133" spans="1:93">
      <c r="A133" s="114"/>
      <c r="B133" s="124" t="s">
        <v>144</v>
      </c>
      <c r="C133" s="124" t="s">
        <v>805</v>
      </c>
      <c r="D133" s="124"/>
      <c r="E133" s="125">
        <v>223900</v>
      </c>
      <c r="F133" s="125">
        <v>229360</v>
      </c>
      <c r="G133" s="125">
        <v>222202</v>
      </c>
      <c r="H133" s="125">
        <v>230763</v>
      </c>
      <c r="I133" s="125">
        <v>249431</v>
      </c>
      <c r="J133" s="125">
        <v>222712</v>
      </c>
      <c r="K133" s="125">
        <v>224791</v>
      </c>
      <c r="L133" s="125">
        <v>222379</v>
      </c>
      <c r="M133" s="125">
        <v>220191</v>
      </c>
      <c r="N133" s="125">
        <v>223306</v>
      </c>
      <c r="O133" s="125">
        <v>219852</v>
      </c>
      <c r="P133" s="125">
        <v>206043</v>
      </c>
      <c r="Q133" s="125">
        <v>218681</v>
      </c>
      <c r="R133" s="125">
        <v>229242</v>
      </c>
      <c r="S133" s="125">
        <v>232532</v>
      </c>
      <c r="T133" s="125">
        <v>251414</v>
      </c>
      <c r="U133" s="125">
        <v>274889</v>
      </c>
      <c r="V133" s="124">
        <v>308787</v>
      </c>
      <c r="W133" s="124">
        <v>333933</v>
      </c>
      <c r="X133" s="124">
        <v>345396</v>
      </c>
      <c r="Y133" s="124">
        <v>361074</v>
      </c>
      <c r="Z133" s="124">
        <v>373483</v>
      </c>
      <c r="AA133" s="124">
        <v>390190</v>
      </c>
      <c r="AB133" s="126">
        <v>402608</v>
      </c>
      <c r="AC133" s="126">
        <v>426071</v>
      </c>
      <c r="AD133" s="126">
        <v>454670</v>
      </c>
      <c r="AE133" s="126">
        <v>497083</v>
      </c>
      <c r="AF133" s="114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14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14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14"/>
    </row>
    <row r="134" spans="1:93" ht="12">
      <c r="A134" s="117"/>
      <c r="B134" s="117" t="s">
        <v>626</v>
      </c>
      <c r="C134" s="118"/>
      <c r="D134" s="117"/>
      <c r="E134" s="117">
        <f>Model!E138-E133</f>
        <v>0</v>
      </c>
      <c r="F134" s="117">
        <f>Model!F138-F133</f>
        <v>0</v>
      </c>
      <c r="G134" s="117">
        <f>Model!G138-G133</f>
        <v>0</v>
      </c>
      <c r="H134" s="117">
        <f>Model!H138-H133</f>
        <v>0</v>
      </c>
      <c r="I134" s="117">
        <f>Model!I138-I133</f>
        <v>0</v>
      </c>
      <c r="J134" s="117">
        <f>Model!J138-J133</f>
        <v>0</v>
      </c>
      <c r="K134" s="117">
        <f>Model!K138-K133</f>
        <v>0</v>
      </c>
      <c r="L134" s="117">
        <f>Model!L138-L133</f>
        <v>0</v>
      </c>
      <c r="M134" s="117">
        <f>Model!M138-M133</f>
        <v>0</v>
      </c>
      <c r="N134" s="117">
        <f>Model!N138-N133</f>
        <v>0</v>
      </c>
      <c r="O134" s="117">
        <f>Model!O138-O133</f>
        <v>0</v>
      </c>
      <c r="P134" s="117">
        <f>Model!P138-P133</f>
        <v>0</v>
      </c>
      <c r="Q134" s="117">
        <f>Model!Q138-Q133</f>
        <v>0</v>
      </c>
      <c r="R134" s="117">
        <f>Model!R138-R133</f>
        <v>0</v>
      </c>
      <c r="S134" s="117">
        <f>Model!S138-S133</f>
        <v>0</v>
      </c>
      <c r="T134" s="117">
        <f>Model!T138-T133</f>
        <v>0</v>
      </c>
      <c r="U134" s="117">
        <f>Model!U138-U133</f>
        <v>0</v>
      </c>
      <c r="V134" s="117">
        <f>Model!V138-V133</f>
        <v>0</v>
      </c>
      <c r="W134" s="117">
        <f>Model!W138-W133</f>
        <v>0</v>
      </c>
      <c r="X134" s="117">
        <f>Model!X138-X133</f>
        <v>0</v>
      </c>
      <c r="Y134" s="117">
        <f>Model!Y138-Y133</f>
        <v>0</v>
      </c>
      <c r="Z134" s="117">
        <f>Model!Z138-Z133</f>
        <v>0</v>
      </c>
      <c r="AA134" s="117">
        <f>Model!AA138-AA133</f>
        <v>0</v>
      </c>
      <c r="AB134" s="119">
        <f>Model!AB138-AB133</f>
        <v>0</v>
      </c>
      <c r="AC134" s="119">
        <f>Model!AC138-AC133</f>
        <v>0</v>
      </c>
      <c r="AD134" s="119">
        <f>Model!AD138-AD133</f>
        <v>0</v>
      </c>
      <c r="AE134" s="119">
        <f>Model!AE138-AE133</f>
        <v>0</v>
      </c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9"/>
      <c r="CO134" s="117"/>
    </row>
    <row r="135" spans="1:9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23"/>
      <c r="CN135" s="23"/>
      <c r="CO135" s="23"/>
    </row>
    <row r="136" spans="1:93">
      <c r="A136" s="23"/>
      <c r="B136" s="134" t="s">
        <v>804</v>
      </c>
      <c r="C136" s="135" t="s">
        <v>803</v>
      </c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  <c r="AE136" s="136"/>
      <c r="AF136" s="23"/>
      <c r="AG136" s="136"/>
      <c r="AH136" s="136"/>
      <c r="AI136" s="136"/>
      <c r="AJ136" s="136"/>
      <c r="AK136" s="136"/>
      <c r="AL136" s="136"/>
      <c r="AM136" s="136"/>
      <c r="AN136" s="136"/>
      <c r="AO136" s="136"/>
      <c r="AP136" s="136"/>
      <c r="AQ136" s="136"/>
      <c r="AR136" s="136"/>
      <c r="AS136" s="136"/>
      <c r="AT136" s="136"/>
      <c r="AU136" s="136"/>
      <c r="AV136" s="136"/>
      <c r="AW136" s="23"/>
      <c r="AX136" s="136"/>
      <c r="AY136" s="136"/>
      <c r="AZ136" s="136"/>
      <c r="BA136" s="136"/>
      <c r="BB136" s="136"/>
      <c r="BC136" s="136"/>
      <c r="BD136" s="136"/>
      <c r="BE136" s="136"/>
      <c r="BF136" s="136"/>
      <c r="BG136" s="136"/>
      <c r="BH136" s="136"/>
      <c r="BI136" s="136"/>
      <c r="BJ136" s="136"/>
      <c r="BK136" s="136"/>
      <c r="BL136" s="136"/>
      <c r="BM136" s="136"/>
      <c r="BN136" s="136"/>
      <c r="BO136" s="136"/>
      <c r="BP136" s="136"/>
      <c r="BQ136" s="136"/>
      <c r="BR136" s="136"/>
      <c r="BS136" s="136"/>
      <c r="BT136" s="136"/>
      <c r="BU136" s="136"/>
      <c r="BV136" s="136"/>
      <c r="BW136" s="136"/>
      <c r="BX136" s="136"/>
      <c r="BY136" s="136"/>
      <c r="BZ136" s="136"/>
      <c r="CA136" s="23"/>
      <c r="CB136" s="136"/>
      <c r="CC136" s="136"/>
      <c r="CD136" s="136"/>
      <c r="CE136" s="136"/>
      <c r="CF136" s="136"/>
      <c r="CG136" s="136"/>
      <c r="CH136" s="136"/>
      <c r="CI136" s="136"/>
      <c r="CJ136" s="136"/>
      <c r="CK136" s="136"/>
      <c r="CL136" s="136"/>
      <c r="CM136" s="136"/>
      <c r="CN136" s="136"/>
      <c r="CO136" s="23"/>
    </row>
    <row r="137" spans="1:93">
      <c r="A137" s="23"/>
      <c r="B137" s="158"/>
      <c r="C137" s="114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</row>
    <row r="138" spans="1:93">
      <c r="A138" s="23"/>
      <c r="B138" s="134" t="s">
        <v>140</v>
      </c>
      <c r="C138" s="135" t="s">
        <v>139</v>
      </c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  <c r="AE138" s="136"/>
      <c r="AF138" s="23"/>
      <c r="AG138" s="136"/>
      <c r="AH138" s="136"/>
      <c r="AI138" s="136"/>
      <c r="AJ138" s="136"/>
      <c r="AK138" s="136"/>
      <c r="AL138" s="136"/>
      <c r="AM138" s="136"/>
      <c r="AN138" s="136"/>
      <c r="AO138" s="136"/>
      <c r="AP138" s="136"/>
      <c r="AQ138" s="136"/>
      <c r="AR138" s="136"/>
      <c r="AS138" s="136"/>
      <c r="AT138" s="136"/>
      <c r="AU138" s="136"/>
      <c r="AV138" s="136"/>
      <c r="AW138" s="23"/>
      <c r="AX138" s="136"/>
      <c r="AY138" s="136"/>
      <c r="AZ138" s="136"/>
      <c r="BA138" s="136"/>
      <c r="BB138" s="136"/>
      <c r="BC138" s="136"/>
      <c r="BD138" s="136"/>
      <c r="BE138" s="136"/>
      <c r="BF138" s="136"/>
      <c r="BG138" s="136"/>
      <c r="BH138" s="136"/>
      <c r="BI138" s="136"/>
      <c r="BJ138" s="136"/>
      <c r="BK138" s="136"/>
      <c r="BL138" s="136"/>
      <c r="BM138" s="136"/>
      <c r="BN138" s="136"/>
      <c r="BO138" s="136"/>
      <c r="BP138" s="136"/>
      <c r="BQ138" s="136"/>
      <c r="BR138" s="136"/>
      <c r="BS138" s="136"/>
      <c r="BT138" s="136"/>
      <c r="BU138" s="136"/>
      <c r="BV138" s="136"/>
      <c r="BW138" s="136"/>
      <c r="BX138" s="136"/>
      <c r="BY138" s="136"/>
      <c r="BZ138" s="136"/>
      <c r="CA138" s="23"/>
      <c r="CB138" s="136"/>
      <c r="CC138" s="136"/>
      <c r="CD138" s="136"/>
      <c r="CE138" s="136"/>
      <c r="CF138" s="136"/>
      <c r="CG138" s="136"/>
      <c r="CH138" s="136"/>
      <c r="CI138" s="136"/>
      <c r="CJ138" s="136"/>
      <c r="CK138" s="136"/>
      <c r="CL138" s="136"/>
      <c r="CM138" s="136"/>
      <c r="CN138" s="136"/>
      <c r="CO138" s="23"/>
    </row>
    <row r="139" spans="1:93">
      <c r="A139" s="23"/>
      <c r="B139" s="158"/>
      <c r="C139" s="114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23"/>
      <c r="CN139" s="23"/>
      <c r="CO139" s="23"/>
    </row>
    <row r="140" spans="1:93">
      <c r="A140" s="23"/>
      <c r="B140" s="159" t="s">
        <v>802</v>
      </c>
      <c r="C140" s="165" t="s">
        <v>801</v>
      </c>
      <c r="D140" s="121"/>
      <c r="E140" s="121">
        <v>22246</v>
      </c>
      <c r="F140" s="121">
        <v>21732</v>
      </c>
      <c r="G140" s="121">
        <v>20509</v>
      </c>
      <c r="H140" s="121">
        <v>21055</v>
      </c>
      <c r="I140" s="121">
        <v>21363</v>
      </c>
      <c r="J140" s="121">
        <v>18920</v>
      </c>
      <c r="K140" s="121">
        <v>19613</v>
      </c>
      <c r="L140" s="121">
        <v>18918</v>
      </c>
      <c r="M140" s="121">
        <v>18866</v>
      </c>
      <c r="N140" s="121">
        <v>19999</v>
      </c>
      <c r="O140" s="121">
        <v>19204</v>
      </c>
      <c r="P140" s="121">
        <v>19653</v>
      </c>
      <c r="Q140" s="121">
        <v>20439</v>
      </c>
      <c r="R140" s="121">
        <v>18697</v>
      </c>
      <c r="S140" s="121">
        <v>18904</v>
      </c>
      <c r="T140" s="121">
        <v>21997</v>
      </c>
      <c r="U140" s="121">
        <v>21711</v>
      </c>
      <c r="V140" s="23">
        <v>24331</v>
      </c>
      <c r="W140" s="23">
        <v>24770</v>
      </c>
      <c r="X140" s="23">
        <v>23975</v>
      </c>
      <c r="Y140" s="23">
        <v>24339</v>
      </c>
      <c r="Z140" s="23">
        <v>26036</v>
      </c>
      <c r="AA140" s="23">
        <v>26320</v>
      </c>
      <c r="AB140" s="122">
        <v>25531</v>
      </c>
      <c r="AC140" s="122">
        <v>24825</v>
      </c>
      <c r="AD140" s="122">
        <v>28452</v>
      </c>
      <c r="AE140" s="122">
        <v>32320</v>
      </c>
      <c r="AF140" s="23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23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23"/>
      <c r="CB140" s="149"/>
      <c r="CC140" s="149"/>
      <c r="CD140" s="149"/>
      <c r="CE140" s="149"/>
      <c r="CF140" s="149"/>
      <c r="CG140" s="149"/>
      <c r="CH140" s="149"/>
      <c r="CI140" s="149"/>
      <c r="CJ140" s="149"/>
      <c r="CK140" s="149"/>
      <c r="CL140" s="149"/>
      <c r="CM140" s="149"/>
      <c r="CN140" s="149"/>
      <c r="CO140" s="23"/>
    </row>
    <row r="141" spans="1:93">
      <c r="A141" s="114"/>
      <c r="B141" s="124" t="s">
        <v>802</v>
      </c>
      <c r="C141" s="124" t="s">
        <v>801</v>
      </c>
      <c r="D141" s="124"/>
      <c r="E141" s="124">
        <f t="shared" ref="E141:V141" si="143">E140</f>
        <v>22246</v>
      </c>
      <c r="F141" s="124">
        <f t="shared" si="143"/>
        <v>21732</v>
      </c>
      <c r="G141" s="124">
        <f t="shared" si="143"/>
        <v>20509</v>
      </c>
      <c r="H141" s="124">
        <f t="shared" si="143"/>
        <v>21055</v>
      </c>
      <c r="I141" s="124">
        <f t="shared" si="143"/>
        <v>21363</v>
      </c>
      <c r="J141" s="124">
        <f t="shared" si="143"/>
        <v>18920</v>
      </c>
      <c r="K141" s="124">
        <f t="shared" si="143"/>
        <v>19613</v>
      </c>
      <c r="L141" s="124">
        <f t="shared" si="143"/>
        <v>18918</v>
      </c>
      <c r="M141" s="124">
        <f t="shared" si="143"/>
        <v>18866</v>
      </c>
      <c r="N141" s="124">
        <f t="shared" si="143"/>
        <v>19999</v>
      </c>
      <c r="O141" s="124">
        <f t="shared" si="143"/>
        <v>19204</v>
      </c>
      <c r="P141" s="124">
        <f t="shared" si="143"/>
        <v>19653</v>
      </c>
      <c r="Q141" s="124">
        <f t="shared" si="143"/>
        <v>20439</v>
      </c>
      <c r="R141" s="124">
        <f t="shared" si="143"/>
        <v>18697</v>
      </c>
      <c r="S141" s="124">
        <f t="shared" si="143"/>
        <v>18904</v>
      </c>
      <c r="T141" s="124">
        <f t="shared" si="143"/>
        <v>21997</v>
      </c>
      <c r="U141" s="124">
        <f t="shared" si="143"/>
        <v>21711</v>
      </c>
      <c r="V141" s="124">
        <f t="shared" si="143"/>
        <v>24331</v>
      </c>
      <c r="W141" s="124">
        <f t="shared" ref="W141:X141" si="144">W140</f>
        <v>24770</v>
      </c>
      <c r="X141" s="124">
        <f t="shared" si="144"/>
        <v>23975</v>
      </c>
      <c r="Y141" s="124">
        <f t="shared" ref="Y141:Z141" si="145">Y140</f>
        <v>24339</v>
      </c>
      <c r="Z141" s="124">
        <f t="shared" si="145"/>
        <v>26036</v>
      </c>
      <c r="AA141" s="124">
        <f t="shared" ref="AA141:AB141" si="146">AA140</f>
        <v>26320</v>
      </c>
      <c r="AB141" s="124">
        <f t="shared" si="146"/>
        <v>25531</v>
      </c>
      <c r="AC141" s="124">
        <f t="shared" ref="AC141:AD141" si="147">AC140</f>
        <v>24825</v>
      </c>
      <c r="AD141" s="124">
        <f t="shared" si="147"/>
        <v>28452</v>
      </c>
      <c r="AE141" s="124">
        <f t="shared" ref="AE141" si="148">AE140</f>
        <v>32320</v>
      </c>
      <c r="AF141" s="11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1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14"/>
      <c r="CB141" s="124"/>
      <c r="CC141" s="124"/>
      <c r="CD141" s="124"/>
      <c r="CE141" s="124"/>
      <c r="CF141" s="124"/>
      <c r="CG141" s="124"/>
      <c r="CH141" s="124"/>
      <c r="CI141" s="124"/>
      <c r="CJ141" s="124"/>
      <c r="CK141" s="124"/>
      <c r="CL141" s="124"/>
      <c r="CM141" s="124"/>
      <c r="CN141" s="124"/>
      <c r="CO141" s="114"/>
    </row>
    <row r="142" spans="1:93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23"/>
      <c r="CN142" s="23"/>
      <c r="CO142" s="23"/>
    </row>
    <row r="143" spans="1:93">
      <c r="A143" s="23"/>
      <c r="B143" s="23" t="s">
        <v>100</v>
      </c>
      <c r="C143" s="23" t="s">
        <v>99</v>
      </c>
      <c r="D143" s="121"/>
      <c r="E143" s="121">
        <v>26116</v>
      </c>
      <c r="F143" s="121">
        <v>25033</v>
      </c>
      <c r="G143" s="121">
        <v>21267</v>
      </c>
      <c r="H143" s="121">
        <v>19499</v>
      </c>
      <c r="I143" s="121">
        <v>17559</v>
      </c>
      <c r="J143" s="121">
        <v>15667</v>
      </c>
      <c r="K143" s="121">
        <v>12818</v>
      </c>
      <c r="L143" s="121">
        <v>8410</v>
      </c>
      <c r="M143" s="121">
        <v>3728</v>
      </c>
      <c r="N143" s="121">
        <v>1632</v>
      </c>
      <c r="O143" s="121">
        <v>3030</v>
      </c>
      <c r="P143" s="121">
        <v>1441</v>
      </c>
      <c r="Q143" s="121">
        <v>1535</v>
      </c>
      <c r="R143" s="121">
        <v>1714</v>
      </c>
      <c r="S143" s="121">
        <v>1945</v>
      </c>
      <c r="T143" s="121">
        <v>325</v>
      </c>
      <c r="U143" s="121">
        <v>212</v>
      </c>
      <c r="V143" s="23">
        <v>201</v>
      </c>
      <c r="W143" s="23">
        <v>227</v>
      </c>
      <c r="X143" s="23">
        <v>274</v>
      </c>
      <c r="Y143" s="23">
        <v>267</v>
      </c>
      <c r="Z143" s="23">
        <v>285</v>
      </c>
      <c r="AA143" s="23">
        <v>644</v>
      </c>
      <c r="AB143" s="122">
        <v>324</v>
      </c>
      <c r="AC143" s="122">
        <v>350</v>
      </c>
      <c r="AD143" s="122">
        <v>378</v>
      </c>
      <c r="AE143" s="122">
        <v>377</v>
      </c>
      <c r="AF143" s="23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23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23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23"/>
    </row>
    <row r="144" spans="1:93">
      <c r="A144" s="23"/>
      <c r="B144" s="159" t="s">
        <v>98</v>
      </c>
      <c r="C144" s="165" t="s">
        <v>97</v>
      </c>
      <c r="D144" s="121"/>
      <c r="E144" s="121">
        <v>0</v>
      </c>
      <c r="F144" s="121">
        <v>14157</v>
      </c>
      <c r="G144" s="121">
        <v>0</v>
      </c>
      <c r="H144" s="121">
        <v>10000</v>
      </c>
      <c r="I144" s="121">
        <v>30000</v>
      </c>
      <c r="J144" s="121">
        <v>0</v>
      </c>
      <c r="K144" s="121">
        <v>0</v>
      </c>
      <c r="L144" s="121">
        <v>189</v>
      </c>
      <c r="M144" s="121">
        <v>20189</v>
      </c>
      <c r="N144" s="121">
        <v>166</v>
      </c>
      <c r="O144" s="121">
        <v>10142</v>
      </c>
      <c r="P144" s="121">
        <v>142</v>
      </c>
      <c r="Q144" s="121">
        <v>82</v>
      </c>
      <c r="R144" s="121">
        <v>52</v>
      </c>
      <c r="S144" s="121">
        <v>52</v>
      </c>
      <c r="T144" s="121">
        <v>12</v>
      </c>
      <c r="U144" s="121">
        <v>0</v>
      </c>
      <c r="V144" s="23">
        <v>85</v>
      </c>
      <c r="W144" s="23">
        <v>30</v>
      </c>
      <c r="X144" s="23">
        <v>30</v>
      </c>
      <c r="Y144" s="23">
        <v>0</v>
      </c>
      <c r="Z144" s="23">
        <v>0</v>
      </c>
      <c r="AA144" s="23">
        <v>0</v>
      </c>
      <c r="AB144" s="23"/>
      <c r="AC144" s="23"/>
      <c r="AD144" s="23"/>
      <c r="AE144" s="23"/>
      <c r="AF144" s="23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23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23"/>
      <c r="CB144" s="149"/>
      <c r="CC144" s="149"/>
      <c r="CD144" s="149"/>
      <c r="CE144" s="149"/>
      <c r="CF144" s="149"/>
      <c r="CG144" s="149"/>
      <c r="CH144" s="149"/>
      <c r="CI144" s="149"/>
      <c r="CJ144" s="149"/>
      <c r="CK144" s="149"/>
      <c r="CL144" s="149"/>
      <c r="CM144" s="156"/>
      <c r="CN144" s="156"/>
      <c r="CO144" s="23"/>
    </row>
    <row r="145" spans="1:93">
      <c r="A145" s="114"/>
      <c r="B145" s="124" t="s">
        <v>800</v>
      </c>
      <c r="C145" s="124" t="s">
        <v>799</v>
      </c>
      <c r="D145" s="124"/>
      <c r="E145" s="124">
        <f t="shared" ref="E145:V145" si="149">SUM(E143:E144)</f>
        <v>26116</v>
      </c>
      <c r="F145" s="124">
        <f t="shared" si="149"/>
        <v>39190</v>
      </c>
      <c r="G145" s="124">
        <f t="shared" si="149"/>
        <v>21267</v>
      </c>
      <c r="H145" s="124">
        <f t="shared" si="149"/>
        <v>29499</v>
      </c>
      <c r="I145" s="124">
        <f t="shared" si="149"/>
        <v>47559</v>
      </c>
      <c r="J145" s="124">
        <f t="shared" si="149"/>
        <v>15667</v>
      </c>
      <c r="K145" s="124">
        <f t="shared" si="149"/>
        <v>12818</v>
      </c>
      <c r="L145" s="124">
        <f t="shared" si="149"/>
        <v>8599</v>
      </c>
      <c r="M145" s="124">
        <f t="shared" si="149"/>
        <v>23917</v>
      </c>
      <c r="N145" s="124">
        <f t="shared" si="149"/>
        <v>1798</v>
      </c>
      <c r="O145" s="124">
        <f t="shared" si="149"/>
        <v>13172</v>
      </c>
      <c r="P145" s="124">
        <f t="shared" si="149"/>
        <v>1583</v>
      </c>
      <c r="Q145" s="124">
        <f t="shared" si="149"/>
        <v>1617</v>
      </c>
      <c r="R145" s="124">
        <f t="shared" si="149"/>
        <v>1766</v>
      </c>
      <c r="S145" s="124">
        <f t="shared" si="149"/>
        <v>1997</v>
      </c>
      <c r="T145" s="124">
        <f t="shared" si="149"/>
        <v>337</v>
      </c>
      <c r="U145" s="124">
        <f t="shared" si="149"/>
        <v>212</v>
      </c>
      <c r="V145" s="124">
        <f t="shared" si="149"/>
        <v>286</v>
      </c>
      <c r="W145" s="124">
        <f t="shared" ref="W145:X145" si="150">SUM(W143:W144)</f>
        <v>257</v>
      </c>
      <c r="X145" s="124">
        <f t="shared" si="150"/>
        <v>304</v>
      </c>
      <c r="Y145" s="124">
        <f t="shared" ref="Y145:Z145" si="151">SUM(Y143:Y144)</f>
        <v>267</v>
      </c>
      <c r="Z145" s="124">
        <f t="shared" si="151"/>
        <v>285</v>
      </c>
      <c r="AA145" s="124">
        <f t="shared" ref="AA145:AB145" si="152">SUM(AA143:AA144)</f>
        <v>644</v>
      </c>
      <c r="AB145" s="124">
        <f t="shared" si="152"/>
        <v>324</v>
      </c>
      <c r="AC145" s="124">
        <f t="shared" ref="AC145:AD145" si="153">SUM(AC143:AC144)</f>
        <v>350</v>
      </c>
      <c r="AD145" s="124">
        <f t="shared" si="153"/>
        <v>378</v>
      </c>
      <c r="AE145" s="124">
        <f t="shared" ref="AE145" si="154">SUM(AE143:AE144)</f>
        <v>377</v>
      </c>
      <c r="AF145" s="11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1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14"/>
      <c r="CB145" s="124"/>
      <c r="CC145" s="124"/>
      <c r="CD145" s="124"/>
      <c r="CE145" s="124"/>
      <c r="CF145" s="124"/>
      <c r="CG145" s="124"/>
      <c r="CH145" s="124"/>
      <c r="CI145" s="124"/>
      <c r="CJ145" s="124"/>
      <c r="CK145" s="124"/>
      <c r="CL145" s="124"/>
      <c r="CM145" s="124"/>
      <c r="CN145" s="124"/>
      <c r="CO145" s="114"/>
    </row>
    <row r="146" spans="1:93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23"/>
      <c r="CN146" s="23"/>
      <c r="CO146" s="23"/>
    </row>
    <row r="147" spans="1:93">
      <c r="A147" s="23"/>
      <c r="B147" s="165" t="s">
        <v>798</v>
      </c>
      <c r="C147" s="165" t="s">
        <v>797</v>
      </c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23"/>
      <c r="W147" s="23">
        <v>2</v>
      </c>
      <c r="X147" s="23">
        <v>2</v>
      </c>
      <c r="Y147" s="23">
        <v>2</v>
      </c>
      <c r="Z147" s="23">
        <v>3</v>
      </c>
      <c r="AA147" s="23">
        <v>0</v>
      </c>
      <c r="AB147" s="122">
        <v>0</v>
      </c>
      <c r="AC147" s="122">
        <v>0</v>
      </c>
      <c r="AD147" s="122"/>
      <c r="AE147" s="122"/>
      <c r="AF147" s="23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23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23"/>
      <c r="CB147" s="149"/>
      <c r="CC147" s="149"/>
      <c r="CD147" s="149"/>
      <c r="CE147" s="149"/>
      <c r="CF147" s="149"/>
      <c r="CG147" s="149"/>
      <c r="CH147" s="149"/>
      <c r="CI147" s="149"/>
      <c r="CJ147" s="149"/>
      <c r="CK147" s="149"/>
      <c r="CL147" s="149"/>
      <c r="CM147" s="156"/>
      <c r="CN147" s="156"/>
      <c r="CO147" s="23"/>
    </row>
    <row r="148" spans="1:93">
      <c r="A148" s="23"/>
      <c r="B148" s="23" t="s">
        <v>196</v>
      </c>
      <c r="C148" s="23" t="s">
        <v>167</v>
      </c>
      <c r="D148" s="23"/>
      <c r="E148" s="23">
        <f t="shared" ref="E148:V148" si="155">E151-E141-E145-E147</f>
        <v>20458</v>
      </c>
      <c r="F148" s="23">
        <f t="shared" si="155"/>
        <v>13993</v>
      </c>
      <c r="G148" s="23">
        <f t="shared" si="155"/>
        <v>18069</v>
      </c>
      <c r="H148" s="23">
        <f t="shared" si="155"/>
        <v>18064</v>
      </c>
      <c r="I148" s="23">
        <f t="shared" si="155"/>
        <v>21370</v>
      </c>
      <c r="J148" s="23">
        <f t="shared" si="155"/>
        <v>21973</v>
      </c>
      <c r="K148" s="23">
        <f t="shared" si="155"/>
        <v>22988</v>
      </c>
      <c r="L148" s="23">
        <f t="shared" si="155"/>
        <v>21062</v>
      </c>
      <c r="M148" s="23">
        <f t="shared" si="155"/>
        <v>21718</v>
      </c>
      <c r="N148" s="23">
        <f t="shared" si="155"/>
        <v>24776</v>
      </c>
      <c r="O148" s="23">
        <f t="shared" si="155"/>
        <v>23080</v>
      </c>
      <c r="P148" s="23">
        <f t="shared" si="155"/>
        <v>19982</v>
      </c>
      <c r="Q148" s="23">
        <f t="shared" si="155"/>
        <v>22473</v>
      </c>
      <c r="R148" s="23">
        <f t="shared" si="155"/>
        <v>21476</v>
      </c>
      <c r="S148" s="23">
        <f t="shared" si="155"/>
        <v>21094</v>
      </c>
      <c r="T148" s="23">
        <f t="shared" si="155"/>
        <v>24531</v>
      </c>
      <c r="U148" s="23">
        <f t="shared" si="155"/>
        <v>25244</v>
      </c>
      <c r="V148" s="23">
        <f t="shared" si="155"/>
        <v>26052</v>
      </c>
      <c r="W148" s="23">
        <f t="shared" ref="W148:X148" si="156">W151-W141-W145-W147</f>
        <v>22831</v>
      </c>
      <c r="X148" s="23">
        <f t="shared" si="156"/>
        <v>26208</v>
      </c>
      <c r="Y148" s="23">
        <f t="shared" ref="Y148:Z148" si="157">Y151-Y141-Y145-Y147</f>
        <v>25611</v>
      </c>
      <c r="Z148" s="23">
        <f t="shared" si="157"/>
        <v>26755</v>
      </c>
      <c r="AA148" s="23">
        <f t="shared" ref="AA148:AB148" si="158">AA151-AA141-AA145-AA147</f>
        <v>26906</v>
      </c>
      <c r="AB148" s="23">
        <f t="shared" si="158"/>
        <v>30801</v>
      </c>
      <c r="AC148" s="23">
        <f t="shared" ref="AC148:AD148" si="159">AC151-AC141-AC145-AC147</f>
        <v>30095</v>
      </c>
      <c r="AD148" s="23">
        <f t="shared" si="159"/>
        <v>30208</v>
      </c>
      <c r="AE148" s="23">
        <f t="shared" ref="AE148" si="160">AE151-AE141-AE145-AE147</f>
        <v>31951</v>
      </c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133"/>
      <c r="CC148" s="133"/>
      <c r="CD148" s="133"/>
      <c r="CE148" s="133"/>
      <c r="CF148" s="133"/>
      <c r="CG148" s="133"/>
      <c r="CH148" s="133"/>
      <c r="CI148" s="133"/>
      <c r="CJ148" s="133"/>
      <c r="CK148" s="133"/>
      <c r="CL148" s="133"/>
      <c r="CM148" s="123"/>
      <c r="CN148" s="123"/>
      <c r="CO148" s="23"/>
    </row>
    <row r="149" spans="1:93">
      <c r="A149" s="114"/>
      <c r="B149" s="124" t="s">
        <v>142</v>
      </c>
      <c r="C149" s="124" t="s">
        <v>796</v>
      </c>
      <c r="D149" s="124"/>
      <c r="E149" s="124">
        <f t="shared" ref="E149:V149" si="161">E151-E145-E141</f>
        <v>20458</v>
      </c>
      <c r="F149" s="124">
        <f t="shared" si="161"/>
        <v>13993</v>
      </c>
      <c r="G149" s="124">
        <f t="shared" si="161"/>
        <v>18069</v>
      </c>
      <c r="H149" s="124">
        <f t="shared" si="161"/>
        <v>18064</v>
      </c>
      <c r="I149" s="124">
        <f t="shared" si="161"/>
        <v>21370</v>
      </c>
      <c r="J149" s="124">
        <f t="shared" si="161"/>
        <v>21973</v>
      </c>
      <c r="K149" s="124">
        <f t="shared" si="161"/>
        <v>22988</v>
      </c>
      <c r="L149" s="124">
        <f t="shared" si="161"/>
        <v>21062</v>
      </c>
      <c r="M149" s="124">
        <f t="shared" si="161"/>
        <v>21718</v>
      </c>
      <c r="N149" s="124">
        <f t="shared" si="161"/>
        <v>24776</v>
      </c>
      <c r="O149" s="124">
        <f t="shared" si="161"/>
        <v>23080</v>
      </c>
      <c r="P149" s="124">
        <f t="shared" si="161"/>
        <v>19982</v>
      </c>
      <c r="Q149" s="124">
        <f t="shared" si="161"/>
        <v>22473</v>
      </c>
      <c r="R149" s="124">
        <f t="shared" si="161"/>
        <v>21476</v>
      </c>
      <c r="S149" s="124">
        <f t="shared" si="161"/>
        <v>21094</v>
      </c>
      <c r="T149" s="124">
        <f t="shared" si="161"/>
        <v>24531</v>
      </c>
      <c r="U149" s="124">
        <f t="shared" si="161"/>
        <v>25244</v>
      </c>
      <c r="V149" s="124">
        <f t="shared" si="161"/>
        <v>26052</v>
      </c>
      <c r="W149" s="124">
        <f t="shared" ref="W149:X149" si="162">W151-W145-W141</f>
        <v>22833</v>
      </c>
      <c r="X149" s="124">
        <f t="shared" si="162"/>
        <v>26210</v>
      </c>
      <c r="Y149" s="124">
        <f t="shared" ref="Y149:Z149" si="163">Y151-Y145-Y141</f>
        <v>25613</v>
      </c>
      <c r="Z149" s="124">
        <f t="shared" si="163"/>
        <v>26758</v>
      </c>
      <c r="AA149" s="124">
        <f t="shared" ref="AA149:AB149" si="164">AA151-AA145-AA141</f>
        <v>26906</v>
      </c>
      <c r="AB149" s="124">
        <f t="shared" si="164"/>
        <v>30801</v>
      </c>
      <c r="AC149" s="124">
        <f t="shared" ref="AC149:AD149" si="165">AC151-AC145-AC141</f>
        <v>30095</v>
      </c>
      <c r="AD149" s="124">
        <f t="shared" si="165"/>
        <v>30208</v>
      </c>
      <c r="AE149" s="124">
        <f t="shared" ref="AE149" si="166">AE151-AE145-AE141</f>
        <v>31951</v>
      </c>
      <c r="AF149" s="11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1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14"/>
      <c r="CB149" s="124"/>
      <c r="CC149" s="124"/>
      <c r="CD149" s="124"/>
      <c r="CE149" s="124"/>
      <c r="CF149" s="124"/>
      <c r="CG149" s="124"/>
      <c r="CH149" s="124"/>
      <c r="CI149" s="124"/>
      <c r="CJ149" s="124"/>
      <c r="CK149" s="124"/>
      <c r="CL149" s="124"/>
      <c r="CM149" s="166"/>
      <c r="CN149" s="124"/>
      <c r="CO149" s="114"/>
    </row>
    <row r="150" spans="1:93">
      <c r="A150" s="114"/>
      <c r="B150" s="114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14"/>
      <c r="AW150" s="114"/>
      <c r="AX150" s="114"/>
      <c r="AY150" s="114"/>
      <c r="AZ150" s="114"/>
      <c r="BA150" s="114"/>
      <c r="BB150" s="114"/>
      <c r="BC150" s="114"/>
      <c r="BD150" s="114"/>
      <c r="BE150" s="114"/>
      <c r="BF150" s="114"/>
      <c r="BG150" s="114"/>
      <c r="BH150" s="114"/>
      <c r="BI150" s="114"/>
      <c r="BJ150" s="114"/>
      <c r="BK150" s="114"/>
      <c r="BL150" s="114"/>
      <c r="BM150" s="114"/>
      <c r="BN150" s="114"/>
      <c r="BO150" s="114"/>
      <c r="BP150" s="114"/>
      <c r="BQ150" s="114"/>
      <c r="BR150" s="114"/>
      <c r="BS150" s="114"/>
      <c r="BT150" s="114"/>
      <c r="BU150" s="114"/>
      <c r="BV150" s="114"/>
      <c r="BW150" s="114"/>
      <c r="BX150" s="114"/>
      <c r="BY150" s="114"/>
      <c r="BZ150" s="114"/>
      <c r="CA150" s="114"/>
      <c r="CB150" s="114"/>
      <c r="CC150" s="114"/>
      <c r="CD150" s="114"/>
      <c r="CE150" s="114"/>
      <c r="CF150" s="114"/>
      <c r="CG150" s="114"/>
      <c r="CH150" s="114"/>
      <c r="CI150" s="114"/>
      <c r="CJ150" s="114"/>
      <c r="CK150" s="114"/>
      <c r="CL150" s="114"/>
      <c r="CM150" s="129"/>
      <c r="CN150" s="114"/>
      <c r="CO150" s="114"/>
    </row>
    <row r="151" spans="1:93">
      <c r="A151" s="114"/>
      <c r="B151" s="124" t="s">
        <v>795</v>
      </c>
      <c r="C151" s="124" t="s">
        <v>794</v>
      </c>
      <c r="D151" s="125"/>
      <c r="E151" s="125">
        <v>68820</v>
      </c>
      <c r="F151" s="125">
        <v>74915</v>
      </c>
      <c r="G151" s="125">
        <v>59845</v>
      </c>
      <c r="H151" s="125">
        <v>68618</v>
      </c>
      <c r="I151" s="125">
        <v>90292</v>
      </c>
      <c r="J151" s="125">
        <v>56560</v>
      </c>
      <c r="K151" s="125">
        <v>55419</v>
      </c>
      <c r="L151" s="125">
        <v>48579</v>
      </c>
      <c r="M151" s="125">
        <v>64501</v>
      </c>
      <c r="N151" s="125">
        <v>46573</v>
      </c>
      <c r="O151" s="125">
        <v>55456</v>
      </c>
      <c r="P151" s="125">
        <v>41218</v>
      </c>
      <c r="Q151" s="125">
        <v>44529</v>
      </c>
      <c r="R151" s="125">
        <v>41939</v>
      </c>
      <c r="S151" s="125">
        <v>41995</v>
      </c>
      <c r="T151" s="125">
        <v>46865</v>
      </c>
      <c r="U151" s="125">
        <v>47167</v>
      </c>
      <c r="V151" s="124">
        <v>50669</v>
      </c>
      <c r="W151" s="124">
        <v>47860</v>
      </c>
      <c r="X151" s="124">
        <v>50489</v>
      </c>
      <c r="Y151" s="124">
        <v>50219</v>
      </c>
      <c r="Z151" s="124">
        <v>53079</v>
      </c>
      <c r="AA151" s="124">
        <v>53870</v>
      </c>
      <c r="AB151" s="126">
        <v>56656</v>
      </c>
      <c r="AC151" s="126">
        <v>55270</v>
      </c>
      <c r="AD151" s="126">
        <v>59038</v>
      </c>
      <c r="AE151" s="126">
        <v>64648</v>
      </c>
      <c r="AF151" s="114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14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14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57"/>
      <c r="CN151" s="125"/>
      <c r="CO151" s="114"/>
    </row>
    <row r="152" spans="1:93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121"/>
      <c r="CC152" s="121"/>
      <c r="CD152" s="121"/>
      <c r="CE152" s="121"/>
      <c r="CF152" s="121"/>
      <c r="CG152" s="121"/>
      <c r="CH152" s="121"/>
      <c r="CI152" s="121"/>
      <c r="CJ152" s="121"/>
      <c r="CK152" s="121"/>
      <c r="CL152" s="121"/>
      <c r="CM152" s="23"/>
      <c r="CN152" s="23"/>
      <c r="CO152" s="23"/>
    </row>
    <row r="153" spans="1:93">
      <c r="A153" s="23"/>
      <c r="B153" s="134" t="s">
        <v>793</v>
      </c>
      <c r="C153" s="135" t="s">
        <v>792</v>
      </c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  <c r="AE153" s="136"/>
      <c r="AF153" s="23"/>
      <c r="AG153" s="136"/>
      <c r="AH153" s="136"/>
      <c r="AI153" s="136"/>
      <c r="AJ153" s="136"/>
      <c r="AK153" s="136"/>
      <c r="AL153" s="136"/>
      <c r="AM153" s="136"/>
      <c r="AN153" s="136"/>
      <c r="AO153" s="136"/>
      <c r="AP153" s="136"/>
      <c r="AQ153" s="136"/>
      <c r="AR153" s="136"/>
      <c r="AS153" s="136"/>
      <c r="AT153" s="136"/>
      <c r="AU153" s="136"/>
      <c r="AV153" s="136"/>
      <c r="AW153" s="23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  <c r="BL153" s="136"/>
      <c r="BM153" s="136"/>
      <c r="BN153" s="136"/>
      <c r="BO153" s="136"/>
      <c r="BP153" s="136"/>
      <c r="BQ153" s="136"/>
      <c r="BR153" s="136"/>
      <c r="BS153" s="136"/>
      <c r="BT153" s="136"/>
      <c r="BU153" s="136"/>
      <c r="BV153" s="136"/>
      <c r="BW153" s="136"/>
      <c r="BX153" s="136"/>
      <c r="BY153" s="136"/>
      <c r="BZ153" s="136"/>
      <c r="CA153" s="23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L153" s="136"/>
      <c r="CM153" s="136"/>
      <c r="CN153" s="136"/>
      <c r="CO153" s="23"/>
    </row>
    <row r="154" spans="1:93">
      <c r="A154" s="23"/>
      <c r="B154" s="158"/>
      <c r="C154" s="114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</row>
    <row r="155" spans="1:93">
      <c r="A155" s="23"/>
      <c r="B155" s="23" t="s">
        <v>791</v>
      </c>
      <c r="C155" s="23" t="s">
        <v>95</v>
      </c>
      <c r="D155" s="121"/>
      <c r="E155" s="121">
        <v>5591</v>
      </c>
      <c r="F155" s="121">
        <v>8743</v>
      </c>
      <c r="G155" s="121">
        <v>6593</v>
      </c>
      <c r="H155" s="121">
        <v>5469</v>
      </c>
      <c r="I155" s="121">
        <v>4466</v>
      </c>
      <c r="J155" s="121">
        <v>2865</v>
      </c>
      <c r="K155" s="121">
        <v>1480</v>
      </c>
      <c r="L155" s="121">
        <v>1240</v>
      </c>
      <c r="M155" s="121">
        <v>680</v>
      </c>
      <c r="N155" s="121">
        <v>487</v>
      </c>
      <c r="O155" s="121">
        <v>341</v>
      </c>
      <c r="P155" s="121">
        <v>198</v>
      </c>
      <c r="Q155" s="121">
        <v>116</v>
      </c>
      <c r="R155" s="121">
        <v>64</v>
      </c>
      <c r="S155" s="121">
        <v>12</v>
      </c>
      <c r="T155" s="121">
        <v>0</v>
      </c>
      <c r="U155" s="121">
        <v>0</v>
      </c>
      <c r="V155" s="23">
        <v>30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122">
        <v>0</v>
      </c>
      <c r="AC155" s="122">
        <v>0</v>
      </c>
      <c r="AD155" s="122"/>
      <c r="AE155" s="122"/>
      <c r="AF155" s="23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23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23"/>
      <c r="CB155" s="121"/>
      <c r="CC155" s="121"/>
      <c r="CD155" s="121"/>
      <c r="CE155" s="121"/>
      <c r="CF155" s="121"/>
      <c r="CG155" s="121"/>
      <c r="CH155" s="121"/>
      <c r="CI155" s="121"/>
      <c r="CJ155" s="121"/>
      <c r="CK155" s="121"/>
      <c r="CL155" s="121"/>
      <c r="CM155" s="23"/>
      <c r="CN155" s="23"/>
      <c r="CO155" s="23"/>
    </row>
    <row r="156" spans="1:93">
      <c r="A156" s="23"/>
      <c r="B156" s="23" t="s">
        <v>790</v>
      </c>
      <c r="C156" s="23" t="s">
        <v>93</v>
      </c>
      <c r="D156" s="121"/>
      <c r="E156" s="121">
        <v>44157</v>
      </c>
      <c r="F156" s="121">
        <v>40000</v>
      </c>
      <c r="G156" s="121">
        <v>50000</v>
      </c>
      <c r="H156" s="121">
        <v>40000</v>
      </c>
      <c r="I156" s="121">
        <v>30000</v>
      </c>
      <c r="J156" s="121">
        <v>30000</v>
      </c>
      <c r="K156" s="121">
        <v>30000</v>
      </c>
      <c r="L156" s="121">
        <v>30000</v>
      </c>
      <c r="M156" s="121">
        <v>10000</v>
      </c>
      <c r="N156" s="121">
        <v>10000</v>
      </c>
      <c r="O156" s="121">
        <v>0</v>
      </c>
      <c r="P156" s="121">
        <v>0</v>
      </c>
      <c r="Q156" s="121">
        <v>0</v>
      </c>
      <c r="R156" s="121">
        <v>0</v>
      </c>
      <c r="S156" s="121">
        <v>0</v>
      </c>
      <c r="T156" s="121">
        <v>0</v>
      </c>
      <c r="U156" s="121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122">
        <v>0</v>
      </c>
      <c r="AC156" s="122">
        <v>0</v>
      </c>
      <c r="AD156" s="122"/>
      <c r="AE156" s="122"/>
      <c r="AF156" s="23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23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23"/>
      <c r="CB156" s="121"/>
      <c r="CC156" s="121"/>
      <c r="CD156" s="121"/>
      <c r="CE156" s="121"/>
      <c r="CF156" s="121"/>
      <c r="CG156" s="121"/>
      <c r="CH156" s="121"/>
      <c r="CI156" s="121"/>
      <c r="CJ156" s="121"/>
      <c r="CK156" s="121"/>
      <c r="CL156" s="121"/>
      <c r="CM156" s="23"/>
      <c r="CN156" s="23"/>
      <c r="CO156" s="23"/>
    </row>
    <row r="157" spans="1:93">
      <c r="A157" s="114"/>
      <c r="B157" s="124" t="s">
        <v>96</v>
      </c>
      <c r="C157" s="124" t="s">
        <v>789</v>
      </c>
      <c r="D157" s="124"/>
      <c r="E157" s="124">
        <f t="shared" ref="E157:V157" si="167">SUM(E155:E156)</f>
        <v>49748</v>
      </c>
      <c r="F157" s="124">
        <f t="shared" si="167"/>
        <v>48743</v>
      </c>
      <c r="G157" s="124">
        <f t="shared" si="167"/>
        <v>56593</v>
      </c>
      <c r="H157" s="124">
        <f t="shared" si="167"/>
        <v>45469</v>
      </c>
      <c r="I157" s="124">
        <f t="shared" si="167"/>
        <v>34466</v>
      </c>
      <c r="J157" s="124">
        <f t="shared" si="167"/>
        <v>32865</v>
      </c>
      <c r="K157" s="124">
        <f t="shared" si="167"/>
        <v>31480</v>
      </c>
      <c r="L157" s="124">
        <f t="shared" si="167"/>
        <v>31240</v>
      </c>
      <c r="M157" s="124">
        <f t="shared" si="167"/>
        <v>10680</v>
      </c>
      <c r="N157" s="124">
        <f t="shared" si="167"/>
        <v>10487</v>
      </c>
      <c r="O157" s="124">
        <f t="shared" si="167"/>
        <v>341</v>
      </c>
      <c r="P157" s="124">
        <f t="shared" si="167"/>
        <v>198</v>
      </c>
      <c r="Q157" s="124">
        <f t="shared" si="167"/>
        <v>116</v>
      </c>
      <c r="R157" s="124">
        <f t="shared" si="167"/>
        <v>64</v>
      </c>
      <c r="S157" s="124">
        <f t="shared" si="167"/>
        <v>12</v>
      </c>
      <c r="T157" s="124">
        <f t="shared" si="167"/>
        <v>0</v>
      </c>
      <c r="U157" s="124">
        <f t="shared" si="167"/>
        <v>0</v>
      </c>
      <c r="V157" s="124">
        <f t="shared" si="167"/>
        <v>30</v>
      </c>
      <c r="W157" s="124">
        <f t="shared" ref="W157:X157" si="168">SUM(W155:W156)</f>
        <v>0</v>
      </c>
      <c r="X157" s="124">
        <f t="shared" si="168"/>
        <v>0</v>
      </c>
      <c r="Y157" s="124">
        <f t="shared" ref="Y157:Z157" si="169">SUM(Y155:Y156)</f>
        <v>0</v>
      </c>
      <c r="Z157" s="124">
        <f t="shared" si="169"/>
        <v>0</v>
      </c>
      <c r="AA157" s="124">
        <f t="shared" ref="AA157:AB157" si="170">SUM(AA155:AA156)</f>
        <v>0</v>
      </c>
      <c r="AB157" s="124">
        <f t="shared" si="170"/>
        <v>0</v>
      </c>
      <c r="AC157" s="124">
        <f t="shared" ref="AC157:AD157" si="171">SUM(AC155:AC156)</f>
        <v>0</v>
      </c>
      <c r="AD157" s="124">
        <f t="shared" si="171"/>
        <v>0</v>
      </c>
      <c r="AE157" s="124">
        <f t="shared" ref="AE157" si="172">SUM(AE155:AE156)</f>
        <v>0</v>
      </c>
      <c r="AF157" s="11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1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/>
      <c r="BP157" s="124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14"/>
      <c r="CB157" s="124"/>
      <c r="CC157" s="124"/>
      <c r="CD157" s="124"/>
      <c r="CE157" s="124"/>
      <c r="CF157" s="124"/>
      <c r="CG157" s="124"/>
      <c r="CH157" s="124"/>
      <c r="CI157" s="124"/>
      <c r="CJ157" s="124"/>
      <c r="CK157" s="124"/>
      <c r="CL157" s="124"/>
      <c r="CM157" s="124"/>
      <c r="CN157" s="124"/>
      <c r="CO157" s="114"/>
    </row>
    <row r="158" spans="1:93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121"/>
      <c r="CC158" s="121"/>
      <c r="CD158" s="121"/>
      <c r="CE158" s="121"/>
      <c r="CF158" s="121"/>
      <c r="CG158" s="121"/>
      <c r="CH158" s="121"/>
      <c r="CI158" s="121"/>
      <c r="CJ158" s="121"/>
      <c r="CK158" s="121"/>
      <c r="CL158" s="121"/>
      <c r="CM158" s="23"/>
      <c r="CN158" s="23"/>
      <c r="CO158" s="23"/>
    </row>
    <row r="159" spans="1:93">
      <c r="A159" s="23"/>
      <c r="B159" s="23" t="s">
        <v>788</v>
      </c>
      <c r="C159" s="23" t="s">
        <v>787</v>
      </c>
      <c r="D159" s="121"/>
      <c r="E159" s="121">
        <v>0</v>
      </c>
      <c r="F159" s="121">
        <v>0</v>
      </c>
      <c r="G159" s="121">
        <v>0</v>
      </c>
      <c r="H159" s="121">
        <v>1833</v>
      </c>
      <c r="I159" s="121">
        <v>1885</v>
      </c>
      <c r="J159" s="121">
        <v>2120</v>
      </c>
      <c r="K159" s="121">
        <v>2218</v>
      </c>
      <c r="L159" s="121">
        <v>2196</v>
      </c>
      <c r="M159" s="121">
        <v>2205</v>
      </c>
      <c r="N159" s="121">
        <v>5104</v>
      </c>
      <c r="O159" s="121">
        <v>3569</v>
      </c>
      <c r="P159" s="121">
        <v>1901</v>
      </c>
      <c r="Q159" s="121">
        <v>999</v>
      </c>
      <c r="R159" s="121">
        <v>1233</v>
      </c>
      <c r="S159" s="121">
        <v>890</v>
      </c>
      <c r="T159" s="121">
        <v>885</v>
      </c>
      <c r="U159" s="121">
        <v>1177</v>
      </c>
      <c r="V159" s="23">
        <v>3652</v>
      </c>
      <c r="W159" s="23">
        <v>5877</v>
      </c>
      <c r="X159" s="23">
        <v>4211</v>
      </c>
      <c r="Y159" s="23">
        <v>4021</v>
      </c>
      <c r="Z159" s="23">
        <v>4069</v>
      </c>
      <c r="AA159" s="23">
        <v>3476</v>
      </c>
      <c r="AB159" s="122">
        <v>2185</v>
      </c>
      <c r="AC159" s="122">
        <v>1983</v>
      </c>
      <c r="AD159" s="122">
        <v>1975</v>
      </c>
      <c r="AE159" s="122">
        <v>2447</v>
      </c>
      <c r="AF159" s="23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23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/>
      <c r="BS159" s="121"/>
      <c r="BT159" s="121"/>
      <c r="BU159" s="121"/>
      <c r="BV159" s="121"/>
      <c r="BW159" s="121"/>
      <c r="BX159" s="121"/>
      <c r="BY159" s="121"/>
      <c r="BZ159" s="121"/>
      <c r="CA159" s="23"/>
      <c r="CB159" s="149"/>
      <c r="CC159" s="149"/>
      <c r="CD159" s="149"/>
      <c r="CE159" s="149"/>
      <c r="CF159" s="149"/>
      <c r="CG159" s="149"/>
      <c r="CH159" s="149"/>
      <c r="CI159" s="149"/>
      <c r="CJ159" s="149"/>
      <c r="CK159" s="149"/>
      <c r="CL159" s="149"/>
      <c r="CM159" s="156"/>
      <c r="CN159" s="156"/>
      <c r="CO159" s="23"/>
    </row>
    <row r="160" spans="1:93">
      <c r="A160" s="23"/>
      <c r="B160" s="23" t="s">
        <v>196</v>
      </c>
      <c r="C160" s="23" t="s">
        <v>167</v>
      </c>
      <c r="D160" s="23"/>
      <c r="E160" s="23">
        <f t="shared" ref="E160:V160" si="173">E161-E159</f>
        <v>9555</v>
      </c>
      <c r="F160" s="23">
        <f t="shared" si="173"/>
        <v>9892</v>
      </c>
      <c r="G160" s="23">
        <f t="shared" si="173"/>
        <v>9791</v>
      </c>
      <c r="H160" s="23">
        <f t="shared" si="173"/>
        <v>11644</v>
      </c>
      <c r="I160" s="23">
        <f t="shared" si="173"/>
        <v>21816</v>
      </c>
      <c r="J160" s="23">
        <f t="shared" si="173"/>
        <v>24047</v>
      </c>
      <c r="K160" s="23">
        <f t="shared" si="173"/>
        <v>22025</v>
      </c>
      <c r="L160" s="23">
        <f t="shared" si="173"/>
        <v>20755</v>
      </c>
      <c r="M160" s="23">
        <f t="shared" si="173"/>
        <v>11434</v>
      </c>
      <c r="N160" s="23">
        <f t="shared" si="173"/>
        <v>16729</v>
      </c>
      <c r="O160" s="23">
        <f t="shared" si="173"/>
        <v>12985</v>
      </c>
      <c r="P160" s="23">
        <f t="shared" si="173"/>
        <v>13626</v>
      </c>
      <c r="Q160" s="23">
        <f t="shared" si="173"/>
        <v>14349</v>
      </c>
      <c r="R160" s="23">
        <f t="shared" si="173"/>
        <v>15718</v>
      </c>
      <c r="S160" s="23">
        <f t="shared" si="173"/>
        <v>16828</v>
      </c>
      <c r="T160" s="23">
        <f t="shared" si="173"/>
        <v>16999</v>
      </c>
      <c r="U160" s="23">
        <f t="shared" si="173"/>
        <v>17373</v>
      </c>
      <c r="V160" s="23">
        <f t="shared" si="173"/>
        <v>17500</v>
      </c>
      <c r="W160" s="23">
        <f t="shared" ref="W160:AB160" si="174">W161-W159</f>
        <v>20247</v>
      </c>
      <c r="X160" s="23">
        <f t="shared" si="174"/>
        <v>24496</v>
      </c>
      <c r="Y160" s="23">
        <f t="shared" si="174"/>
        <v>25039</v>
      </c>
      <c r="Z160" s="23">
        <f t="shared" si="174"/>
        <v>25454</v>
      </c>
      <c r="AA160" s="23">
        <f t="shared" si="174"/>
        <v>25117</v>
      </c>
      <c r="AB160" s="23">
        <f t="shared" si="174"/>
        <v>25775</v>
      </c>
      <c r="AC160" s="23">
        <f t="shared" ref="AC160:AD160" si="175">AC161-AC159</f>
        <v>25501</v>
      </c>
      <c r="AD160" s="23">
        <f t="shared" si="175"/>
        <v>26514</v>
      </c>
      <c r="AE160" s="23">
        <f t="shared" ref="AE160" si="176">AE161-AE159</f>
        <v>25240</v>
      </c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</row>
    <row r="161" spans="1:93">
      <c r="A161" s="114"/>
      <c r="B161" s="124" t="s">
        <v>786</v>
      </c>
      <c r="C161" s="124" t="s">
        <v>785</v>
      </c>
      <c r="D161" s="124"/>
      <c r="E161" s="124">
        <f t="shared" ref="E161:V161" si="177">E163-E157</f>
        <v>9555</v>
      </c>
      <c r="F161" s="124">
        <f t="shared" si="177"/>
        <v>9892</v>
      </c>
      <c r="G161" s="124">
        <f t="shared" si="177"/>
        <v>9791</v>
      </c>
      <c r="H161" s="124">
        <f t="shared" si="177"/>
        <v>13477</v>
      </c>
      <c r="I161" s="124">
        <f t="shared" si="177"/>
        <v>23701</v>
      </c>
      <c r="J161" s="124">
        <f t="shared" si="177"/>
        <v>26167</v>
      </c>
      <c r="K161" s="124">
        <f t="shared" si="177"/>
        <v>24243</v>
      </c>
      <c r="L161" s="124">
        <f t="shared" si="177"/>
        <v>22951</v>
      </c>
      <c r="M161" s="124">
        <f t="shared" si="177"/>
        <v>13639</v>
      </c>
      <c r="N161" s="124">
        <f t="shared" si="177"/>
        <v>21833</v>
      </c>
      <c r="O161" s="124">
        <f t="shared" si="177"/>
        <v>16554</v>
      </c>
      <c r="P161" s="124">
        <f t="shared" si="177"/>
        <v>15527</v>
      </c>
      <c r="Q161" s="124">
        <f t="shared" si="177"/>
        <v>15348</v>
      </c>
      <c r="R161" s="124">
        <f t="shared" si="177"/>
        <v>16951</v>
      </c>
      <c r="S161" s="124">
        <f t="shared" si="177"/>
        <v>17718</v>
      </c>
      <c r="T161" s="124">
        <f t="shared" si="177"/>
        <v>17884</v>
      </c>
      <c r="U161" s="124">
        <f t="shared" si="177"/>
        <v>18550</v>
      </c>
      <c r="V161" s="124">
        <f t="shared" si="177"/>
        <v>21152</v>
      </c>
      <c r="W161" s="124">
        <f t="shared" ref="W161:X161" si="178">W163-W157</f>
        <v>26124</v>
      </c>
      <c r="X161" s="124">
        <f t="shared" si="178"/>
        <v>28707</v>
      </c>
      <c r="Y161" s="124">
        <f t="shared" ref="Y161:Z161" si="179">Y163-Y157</f>
        <v>29060</v>
      </c>
      <c r="Z161" s="124">
        <f t="shared" si="179"/>
        <v>29523</v>
      </c>
      <c r="AA161" s="124">
        <f>AA163-AA157+2</f>
        <v>28593</v>
      </c>
      <c r="AB161" s="124">
        <f>AB163-AB157+2</f>
        <v>27960</v>
      </c>
      <c r="AC161" s="124">
        <f>AC163-AC157+2</f>
        <v>27484</v>
      </c>
      <c r="AD161" s="124">
        <f>AD163-AD157+2</f>
        <v>28489</v>
      </c>
      <c r="AE161" s="124">
        <f>AE163-AE157+2</f>
        <v>27687</v>
      </c>
      <c r="AF161" s="11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1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14"/>
      <c r="CB161" s="124"/>
      <c r="CC161" s="124"/>
      <c r="CD161" s="124"/>
      <c r="CE161" s="124"/>
      <c r="CF161" s="124"/>
      <c r="CG161" s="124"/>
      <c r="CH161" s="124"/>
      <c r="CI161" s="124"/>
      <c r="CJ161" s="124"/>
      <c r="CK161" s="124"/>
      <c r="CL161" s="124"/>
      <c r="CM161" s="124"/>
      <c r="CN161" s="124"/>
      <c r="CO161" s="114"/>
    </row>
    <row r="162" spans="1:93">
      <c r="A162" s="114"/>
      <c r="B162" s="114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114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  <c r="BP162" s="114"/>
      <c r="BQ162" s="114"/>
      <c r="BR162" s="114"/>
      <c r="BS162" s="114"/>
      <c r="BT162" s="114"/>
      <c r="BU162" s="114"/>
      <c r="BV162" s="114"/>
      <c r="BW162" s="114"/>
      <c r="BX162" s="114"/>
      <c r="BY162" s="114"/>
      <c r="BZ162" s="114"/>
      <c r="CA162" s="114"/>
      <c r="CB162" s="114"/>
      <c r="CC162" s="114"/>
      <c r="CD162" s="114"/>
      <c r="CE162" s="114"/>
      <c r="CF162" s="114"/>
      <c r="CG162" s="114"/>
      <c r="CH162" s="114"/>
      <c r="CI162" s="114"/>
      <c r="CJ162" s="114"/>
      <c r="CK162" s="114"/>
      <c r="CL162" s="114"/>
      <c r="CM162" s="129"/>
      <c r="CN162" s="114"/>
      <c r="CO162" s="114"/>
    </row>
    <row r="163" spans="1:93">
      <c r="A163" s="114"/>
      <c r="B163" s="124" t="s">
        <v>784</v>
      </c>
      <c r="C163" s="124" t="s">
        <v>783</v>
      </c>
      <c r="D163" s="124"/>
      <c r="E163" s="124">
        <f t="shared" ref="E163:V163" si="180">E165-E151</f>
        <v>59303</v>
      </c>
      <c r="F163" s="124">
        <f t="shared" si="180"/>
        <v>58635</v>
      </c>
      <c r="G163" s="124">
        <f t="shared" si="180"/>
        <v>66384</v>
      </c>
      <c r="H163" s="124">
        <f t="shared" si="180"/>
        <v>58946</v>
      </c>
      <c r="I163" s="124">
        <f t="shared" si="180"/>
        <v>58167</v>
      </c>
      <c r="J163" s="124">
        <f t="shared" si="180"/>
        <v>59032</v>
      </c>
      <c r="K163" s="124">
        <f t="shared" si="180"/>
        <v>55723</v>
      </c>
      <c r="L163" s="124">
        <f t="shared" si="180"/>
        <v>54191</v>
      </c>
      <c r="M163" s="124">
        <f t="shared" si="180"/>
        <v>24319</v>
      </c>
      <c r="N163" s="124">
        <f t="shared" si="180"/>
        <v>32320</v>
      </c>
      <c r="O163" s="124">
        <f t="shared" si="180"/>
        <v>16895</v>
      </c>
      <c r="P163" s="124">
        <f t="shared" si="180"/>
        <v>15725</v>
      </c>
      <c r="Q163" s="124">
        <f t="shared" si="180"/>
        <v>15464</v>
      </c>
      <c r="R163" s="124">
        <f t="shared" si="180"/>
        <v>17015</v>
      </c>
      <c r="S163" s="124">
        <f t="shared" si="180"/>
        <v>17730</v>
      </c>
      <c r="T163" s="124">
        <f t="shared" si="180"/>
        <v>17884</v>
      </c>
      <c r="U163" s="124">
        <f t="shared" si="180"/>
        <v>18550</v>
      </c>
      <c r="V163" s="124">
        <f t="shared" si="180"/>
        <v>21182</v>
      </c>
      <c r="W163" s="124">
        <f t="shared" ref="W163:X163" si="181">W165-W151</f>
        <v>26124</v>
      </c>
      <c r="X163" s="124">
        <f t="shared" si="181"/>
        <v>28707</v>
      </c>
      <c r="Y163" s="124">
        <f t="shared" ref="Y163:Z163" si="182">Y165-Y151</f>
        <v>29060</v>
      </c>
      <c r="Z163" s="124">
        <f t="shared" si="182"/>
        <v>29523</v>
      </c>
      <c r="AA163" s="124">
        <f t="shared" ref="AA163:AB163" si="183">AA165-AA151</f>
        <v>28591</v>
      </c>
      <c r="AB163" s="124">
        <f t="shared" si="183"/>
        <v>27958</v>
      </c>
      <c r="AC163" s="124">
        <f t="shared" ref="AC163:AD163" si="184">AC165-AC151</f>
        <v>27482</v>
      </c>
      <c r="AD163" s="124">
        <f t="shared" si="184"/>
        <v>28487</v>
      </c>
      <c r="AE163" s="124">
        <f t="shared" ref="AE163" si="185">AE165-AE151</f>
        <v>27685</v>
      </c>
      <c r="AF163" s="11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1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14"/>
      <c r="CB163" s="124"/>
      <c r="CC163" s="124"/>
      <c r="CD163" s="124"/>
      <c r="CE163" s="124"/>
      <c r="CF163" s="124"/>
      <c r="CG163" s="124"/>
      <c r="CH163" s="124"/>
      <c r="CI163" s="124"/>
      <c r="CJ163" s="124"/>
      <c r="CK163" s="124"/>
      <c r="CL163" s="124"/>
      <c r="CM163" s="124"/>
      <c r="CN163" s="124"/>
      <c r="CO163" s="114"/>
    </row>
    <row r="164" spans="1:93">
      <c r="A164" s="114"/>
      <c r="B164" s="114"/>
      <c r="C164" s="114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W164" s="114"/>
      <c r="AX164" s="115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L164" s="115"/>
      <c r="BM164" s="115"/>
      <c r="BN164" s="115"/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  <c r="CA164" s="114"/>
      <c r="CB164" s="114"/>
      <c r="CC164" s="114"/>
      <c r="CD164" s="114"/>
      <c r="CE164" s="114"/>
      <c r="CF164" s="114"/>
      <c r="CG164" s="114"/>
      <c r="CH164" s="114"/>
      <c r="CI164" s="114"/>
      <c r="CJ164" s="114"/>
      <c r="CK164" s="114"/>
      <c r="CL164" s="114"/>
      <c r="CM164" s="114"/>
      <c r="CN164" s="114"/>
      <c r="CO164" s="114"/>
    </row>
    <row r="165" spans="1:93">
      <c r="A165" s="114"/>
      <c r="B165" s="114" t="s">
        <v>782</v>
      </c>
      <c r="C165" s="114" t="s">
        <v>133</v>
      </c>
      <c r="D165" s="114"/>
      <c r="E165" s="114">
        <f t="shared" ref="E165:V165" si="186">E189-E187</f>
        <v>128123</v>
      </c>
      <c r="F165" s="114">
        <f t="shared" si="186"/>
        <v>133550</v>
      </c>
      <c r="G165" s="114">
        <f t="shared" si="186"/>
        <v>126229</v>
      </c>
      <c r="H165" s="114">
        <f t="shared" si="186"/>
        <v>127564</v>
      </c>
      <c r="I165" s="114">
        <f t="shared" si="186"/>
        <v>148459</v>
      </c>
      <c r="J165" s="114">
        <f t="shared" si="186"/>
        <v>115592</v>
      </c>
      <c r="K165" s="114">
        <f t="shared" si="186"/>
        <v>111142</v>
      </c>
      <c r="L165" s="114">
        <f t="shared" si="186"/>
        <v>102770</v>
      </c>
      <c r="M165" s="114">
        <f t="shared" si="186"/>
        <v>88820</v>
      </c>
      <c r="N165" s="114">
        <f t="shared" si="186"/>
        <v>78893</v>
      </c>
      <c r="O165" s="114">
        <f t="shared" si="186"/>
        <v>72351</v>
      </c>
      <c r="P165" s="114">
        <f t="shared" si="186"/>
        <v>56943</v>
      </c>
      <c r="Q165" s="114">
        <f t="shared" si="186"/>
        <v>59993</v>
      </c>
      <c r="R165" s="114">
        <f t="shared" si="186"/>
        <v>58954</v>
      </c>
      <c r="S165" s="114">
        <f t="shared" si="186"/>
        <v>59725</v>
      </c>
      <c r="T165" s="114">
        <f t="shared" si="186"/>
        <v>64749</v>
      </c>
      <c r="U165" s="114">
        <f t="shared" si="186"/>
        <v>65717</v>
      </c>
      <c r="V165" s="114">
        <f t="shared" si="186"/>
        <v>71851</v>
      </c>
      <c r="W165" s="114">
        <f t="shared" ref="W165:X165" si="187">W189-W187</f>
        <v>73984</v>
      </c>
      <c r="X165" s="114">
        <f t="shared" si="187"/>
        <v>79196</v>
      </c>
      <c r="Y165" s="114">
        <f t="shared" ref="Y165:Z165" si="188">Y189-Y187</f>
        <v>79279</v>
      </c>
      <c r="Z165" s="114">
        <f t="shared" si="188"/>
        <v>82602</v>
      </c>
      <c r="AA165" s="114">
        <f t="shared" ref="AA165:AB165" si="189">AA189-AA187</f>
        <v>82461</v>
      </c>
      <c r="AB165" s="114">
        <f t="shared" si="189"/>
        <v>84614</v>
      </c>
      <c r="AC165" s="114">
        <f t="shared" ref="AC165:AD165" si="190">AC189-AC187</f>
        <v>82752</v>
      </c>
      <c r="AD165" s="114">
        <f t="shared" si="190"/>
        <v>87525</v>
      </c>
      <c r="AE165" s="114">
        <f>AE189-AE187</f>
        <v>92333</v>
      </c>
      <c r="AF165" s="114"/>
      <c r="AG165" s="114"/>
      <c r="AH165" s="114"/>
      <c r="AI165" s="114"/>
      <c r="AJ165" s="114"/>
      <c r="AK165" s="114"/>
      <c r="AL165" s="114"/>
      <c r="AM165" s="114"/>
      <c r="AN165" s="114"/>
      <c r="AO165" s="114"/>
      <c r="AP165" s="114"/>
      <c r="AQ165" s="114"/>
      <c r="AR165" s="114"/>
      <c r="AS165" s="114"/>
      <c r="AT165" s="114"/>
      <c r="AU165" s="114"/>
      <c r="AV165" s="114"/>
      <c r="AW165" s="114"/>
      <c r="AX165" s="114"/>
      <c r="AY165" s="114"/>
      <c r="AZ165" s="114"/>
      <c r="BA165" s="114"/>
      <c r="BB165" s="114"/>
      <c r="BC165" s="114"/>
      <c r="BD165" s="114"/>
      <c r="BE165" s="114"/>
      <c r="BF165" s="114"/>
      <c r="BG165" s="114"/>
      <c r="BH165" s="114"/>
      <c r="BI165" s="114"/>
      <c r="BJ165" s="114"/>
      <c r="BK165" s="114"/>
      <c r="BL165" s="114"/>
      <c r="BM165" s="114"/>
      <c r="BN165" s="114"/>
      <c r="BO165" s="114"/>
      <c r="BP165" s="114"/>
      <c r="BQ165" s="114"/>
      <c r="BR165" s="114"/>
      <c r="BS165" s="114"/>
      <c r="BT165" s="114"/>
      <c r="BU165" s="114"/>
      <c r="BV165" s="114"/>
      <c r="BW165" s="114"/>
      <c r="BX165" s="114"/>
      <c r="BY165" s="114"/>
      <c r="BZ165" s="114"/>
      <c r="CA165" s="114"/>
      <c r="CB165" s="114"/>
      <c r="CC165" s="114"/>
      <c r="CD165" s="114"/>
      <c r="CE165" s="114"/>
      <c r="CF165" s="114"/>
      <c r="CG165" s="114"/>
      <c r="CH165" s="114"/>
      <c r="CI165" s="114"/>
      <c r="CJ165" s="114"/>
      <c r="CK165" s="114"/>
      <c r="CL165" s="114"/>
      <c r="CM165" s="114"/>
      <c r="CN165" s="114"/>
      <c r="CO165" s="114"/>
    </row>
    <row r="166" spans="1:93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121"/>
      <c r="CC166" s="121"/>
      <c r="CD166" s="121"/>
      <c r="CE166" s="121"/>
      <c r="CF166" s="121"/>
      <c r="CG166" s="121"/>
      <c r="CH166" s="121"/>
      <c r="CI166" s="121"/>
      <c r="CJ166" s="121"/>
      <c r="CK166" s="121"/>
      <c r="CL166" s="121"/>
      <c r="CM166" s="23"/>
      <c r="CN166" s="23"/>
      <c r="CO166" s="23"/>
    </row>
    <row r="167" spans="1:93">
      <c r="A167" s="23"/>
      <c r="B167" s="134" t="s">
        <v>781</v>
      </c>
      <c r="C167" s="135" t="s">
        <v>780</v>
      </c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  <c r="AE167" s="136"/>
      <c r="AF167" s="23"/>
      <c r="AG167" s="136"/>
      <c r="AH167" s="136"/>
      <c r="AI167" s="136"/>
      <c r="AJ167" s="136"/>
      <c r="AK167" s="136"/>
      <c r="AL167" s="136"/>
      <c r="AM167" s="136"/>
      <c r="AN167" s="136"/>
      <c r="AO167" s="136"/>
      <c r="AP167" s="136"/>
      <c r="AQ167" s="136"/>
      <c r="AR167" s="136"/>
      <c r="AS167" s="136"/>
      <c r="AT167" s="136"/>
      <c r="AU167" s="136"/>
      <c r="AV167" s="136"/>
      <c r="AW167" s="23"/>
      <c r="AX167" s="136"/>
      <c r="AY167" s="136"/>
      <c r="AZ167" s="136"/>
      <c r="BA167" s="136"/>
      <c r="BB167" s="136"/>
      <c r="BC167" s="136"/>
      <c r="BD167" s="136"/>
      <c r="BE167" s="136"/>
      <c r="BF167" s="136"/>
      <c r="BG167" s="136"/>
      <c r="BH167" s="136"/>
      <c r="BI167" s="136"/>
      <c r="BJ167" s="136"/>
      <c r="BK167" s="136"/>
      <c r="BL167" s="136"/>
      <c r="BM167" s="136"/>
      <c r="BN167" s="136"/>
      <c r="BO167" s="136"/>
      <c r="BP167" s="136"/>
      <c r="BQ167" s="136"/>
      <c r="BR167" s="136"/>
      <c r="BS167" s="136"/>
      <c r="BT167" s="136"/>
      <c r="BU167" s="136"/>
      <c r="BV167" s="136"/>
      <c r="BW167" s="136"/>
      <c r="BX167" s="136"/>
      <c r="BY167" s="136"/>
      <c r="BZ167" s="136"/>
      <c r="CA167" s="23"/>
      <c r="CB167" s="137"/>
      <c r="CC167" s="137"/>
      <c r="CD167" s="137"/>
      <c r="CE167" s="137"/>
      <c r="CF167" s="137"/>
      <c r="CG167" s="137"/>
      <c r="CH167" s="137"/>
      <c r="CI167" s="137"/>
      <c r="CJ167" s="137"/>
      <c r="CK167" s="137"/>
      <c r="CL167" s="137"/>
      <c r="CM167" s="136"/>
      <c r="CN167" s="136"/>
      <c r="CO167" s="23"/>
    </row>
    <row r="168" spans="1:93">
      <c r="A168" s="23"/>
      <c r="B168" s="114"/>
      <c r="C168" s="114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121"/>
      <c r="CC168" s="121"/>
      <c r="CD168" s="121"/>
      <c r="CE168" s="121"/>
      <c r="CF168" s="121"/>
      <c r="CG168" s="121"/>
      <c r="CH168" s="121"/>
      <c r="CI168" s="121"/>
      <c r="CJ168" s="121"/>
      <c r="CK168" s="121"/>
      <c r="CL168" s="121"/>
      <c r="CM168" s="23"/>
      <c r="CN168" s="23"/>
      <c r="CO168" s="23"/>
    </row>
    <row r="169" spans="1:93">
      <c r="A169" s="114"/>
      <c r="B169" s="114" t="s">
        <v>132</v>
      </c>
      <c r="C169" s="114" t="s">
        <v>131</v>
      </c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114"/>
      <c r="AL169" s="114"/>
      <c r="AM169" s="114"/>
      <c r="AN169" s="114"/>
      <c r="AO169" s="114"/>
      <c r="AP169" s="114"/>
      <c r="AQ169" s="114"/>
      <c r="AR169" s="114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  <c r="BE169" s="114"/>
      <c r="BF169" s="114"/>
      <c r="BG169" s="114"/>
      <c r="BH169" s="114"/>
      <c r="BI169" s="114"/>
      <c r="BJ169" s="114"/>
      <c r="BK169" s="114"/>
      <c r="BL169" s="114"/>
      <c r="BM169" s="114"/>
      <c r="BN169" s="114"/>
      <c r="BO169" s="114"/>
      <c r="BP169" s="114"/>
      <c r="BQ169" s="114"/>
      <c r="BR169" s="114"/>
      <c r="BS169" s="114"/>
      <c r="BT169" s="114"/>
      <c r="BU169" s="114"/>
      <c r="BV169" s="114"/>
      <c r="BW169" s="114"/>
      <c r="BX169" s="114"/>
      <c r="BY169" s="114"/>
      <c r="BZ169" s="114"/>
      <c r="CA169" s="114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66"/>
      <c r="CN169" s="166"/>
      <c r="CO169" s="114"/>
    </row>
    <row r="170" spans="1:93">
      <c r="A170" s="114"/>
      <c r="B170" s="114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4"/>
      <c r="AG170" s="114"/>
      <c r="AH170" s="114"/>
      <c r="AI170" s="114"/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114"/>
      <c r="AW170" s="114"/>
      <c r="AX170" s="114"/>
      <c r="AY170" s="114"/>
      <c r="AZ170" s="114"/>
      <c r="BA170" s="114"/>
      <c r="BB170" s="114"/>
      <c r="BC170" s="114"/>
      <c r="BD170" s="114"/>
      <c r="BE170" s="114"/>
      <c r="BF170" s="114"/>
      <c r="BG170" s="114"/>
      <c r="BH170" s="114"/>
      <c r="BI170" s="114"/>
      <c r="BJ170" s="114"/>
      <c r="BK170" s="114"/>
      <c r="BL170" s="114"/>
      <c r="BM170" s="114"/>
      <c r="BN170" s="114"/>
      <c r="BO170" s="114"/>
      <c r="BP170" s="114"/>
      <c r="BQ170" s="114"/>
      <c r="BR170" s="114"/>
      <c r="BS170" s="114"/>
      <c r="BT170" s="114"/>
      <c r="BU170" s="114"/>
      <c r="BV170" s="114"/>
      <c r="BW170" s="114"/>
      <c r="BX170" s="114"/>
      <c r="BY170" s="114"/>
      <c r="BZ170" s="114"/>
      <c r="CA170" s="114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66"/>
      <c r="CN170" s="166"/>
      <c r="CO170" s="114"/>
    </row>
    <row r="171" spans="1:93">
      <c r="A171" s="114"/>
      <c r="B171" s="114" t="s">
        <v>126</v>
      </c>
      <c r="C171" s="114" t="s">
        <v>779</v>
      </c>
      <c r="D171" s="115"/>
      <c r="E171" s="115">
        <v>54809</v>
      </c>
      <c r="F171" s="115">
        <v>54756</v>
      </c>
      <c r="G171" s="115">
        <v>54353</v>
      </c>
      <c r="H171" s="115">
        <v>58146</v>
      </c>
      <c r="I171" s="115">
        <v>57156</v>
      </c>
      <c r="J171" s="115">
        <v>62267</v>
      </c>
      <c r="K171" s="115">
        <v>68353</v>
      </c>
      <c r="L171" s="115">
        <v>75482</v>
      </c>
      <c r="M171" s="115">
        <v>86159</v>
      </c>
      <c r="N171" s="115">
        <v>98366</v>
      </c>
      <c r="O171" s="115">
        <v>101597</v>
      </c>
      <c r="P171" s="115">
        <v>110734</v>
      </c>
      <c r="Q171" s="115">
        <v>121503</v>
      </c>
      <c r="R171" s="115">
        <v>136951</v>
      </c>
      <c r="S171" s="115">
        <v>144769</v>
      </c>
      <c r="T171" s="115">
        <v>158052</v>
      </c>
      <c r="U171" s="115">
        <v>171246</v>
      </c>
      <c r="V171" s="114">
        <v>189404</v>
      </c>
      <c r="W171" s="114">
        <v>200821</v>
      </c>
      <c r="X171" s="114">
        <v>213567</v>
      </c>
      <c r="Y171" s="114">
        <v>228277</v>
      </c>
      <c r="Z171" s="114">
        <v>240580</v>
      </c>
      <c r="AA171" s="114">
        <v>252891</v>
      </c>
      <c r="AB171" s="116">
        <v>268100</v>
      </c>
      <c r="AC171" s="116">
        <v>289000</v>
      </c>
      <c r="AD171" s="116">
        <v>302223</v>
      </c>
      <c r="AE171" s="116">
        <v>326158</v>
      </c>
      <c r="AF171" s="114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4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  <c r="BR171" s="115"/>
      <c r="BS171" s="115"/>
      <c r="BT171" s="115"/>
      <c r="BU171" s="115"/>
      <c r="BV171" s="115"/>
      <c r="BW171" s="115"/>
      <c r="BX171" s="115"/>
      <c r="BY171" s="115"/>
      <c r="BZ171" s="115"/>
      <c r="CA171" s="114"/>
      <c r="CB171" s="114"/>
      <c r="CC171" s="114"/>
      <c r="CD171" s="114"/>
      <c r="CE171" s="114"/>
      <c r="CF171" s="114"/>
      <c r="CG171" s="114"/>
      <c r="CH171" s="114"/>
      <c r="CI171" s="114"/>
      <c r="CJ171" s="114"/>
      <c r="CK171" s="114"/>
      <c r="CL171" s="114"/>
      <c r="CM171" s="114"/>
      <c r="CN171" s="114"/>
      <c r="CO171" s="114"/>
    </row>
    <row r="172" spans="1:93">
      <c r="A172" s="23"/>
      <c r="B172" s="114"/>
      <c r="C172" s="114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121"/>
      <c r="CC172" s="121"/>
      <c r="CD172" s="121"/>
      <c r="CE172" s="121"/>
      <c r="CF172" s="121"/>
      <c r="CG172" s="121"/>
      <c r="CH172" s="121"/>
      <c r="CI172" s="121"/>
      <c r="CJ172" s="121"/>
      <c r="CK172" s="121"/>
      <c r="CL172" s="121"/>
      <c r="CM172" s="23"/>
      <c r="CN172" s="23"/>
      <c r="CO172" s="23"/>
    </row>
    <row r="173" spans="1:93">
      <c r="A173" s="114"/>
      <c r="B173" s="114" t="s">
        <v>778</v>
      </c>
      <c r="C173" s="114" t="s">
        <v>768</v>
      </c>
      <c r="D173" s="114"/>
      <c r="E173" s="114">
        <f t="shared" ref="E173:V173" si="191">E174+E175</f>
        <v>39124</v>
      </c>
      <c r="F173" s="114">
        <f t="shared" si="191"/>
        <v>39124</v>
      </c>
      <c r="G173" s="114">
        <f t="shared" si="191"/>
        <v>39124</v>
      </c>
      <c r="H173" s="114">
        <f t="shared" si="191"/>
        <v>39124</v>
      </c>
      <c r="I173" s="114">
        <f t="shared" si="191"/>
        <v>39124</v>
      </c>
      <c r="J173" s="114">
        <f t="shared" si="191"/>
        <v>39124</v>
      </c>
      <c r="K173" s="114">
        <f t="shared" si="191"/>
        <v>39124</v>
      </c>
      <c r="L173" s="114">
        <f t="shared" si="191"/>
        <v>39124</v>
      </c>
      <c r="M173" s="114">
        <f t="shared" si="191"/>
        <v>39124</v>
      </c>
      <c r="N173" s="114">
        <f t="shared" si="191"/>
        <v>39124</v>
      </c>
      <c r="O173" s="114">
        <f t="shared" si="191"/>
        <v>40381</v>
      </c>
      <c r="P173" s="114">
        <f t="shared" si="191"/>
        <v>40381</v>
      </c>
      <c r="Q173" s="114">
        <f t="shared" si="191"/>
        <v>40381</v>
      </c>
      <c r="R173" s="114">
        <f t="shared" si="191"/>
        <v>41485</v>
      </c>
      <c r="S173" s="114">
        <f t="shared" si="191"/>
        <v>41485</v>
      </c>
      <c r="T173" s="114">
        <f t="shared" si="191"/>
        <v>41485</v>
      </c>
      <c r="U173" s="114">
        <f t="shared" si="191"/>
        <v>41485</v>
      </c>
      <c r="V173" s="114">
        <f t="shared" si="191"/>
        <v>41485</v>
      </c>
      <c r="W173" s="114">
        <f t="shared" ref="W173:X173" si="192">W174+W175</f>
        <v>41485</v>
      </c>
      <c r="X173" s="114">
        <f t="shared" si="192"/>
        <v>41486</v>
      </c>
      <c r="Y173" s="114">
        <f t="shared" ref="Y173:AD173" si="193">Y174+Y175</f>
        <v>41911</v>
      </c>
      <c r="Z173" s="114">
        <f t="shared" si="193"/>
        <v>41911</v>
      </c>
      <c r="AA173" s="114">
        <f t="shared" si="193"/>
        <v>41911</v>
      </c>
      <c r="AB173" s="114">
        <f t="shared" si="193"/>
        <v>41911</v>
      </c>
      <c r="AC173" s="114">
        <f t="shared" si="193"/>
        <v>41911</v>
      </c>
      <c r="AD173" s="114">
        <f t="shared" si="193"/>
        <v>41911</v>
      </c>
      <c r="AE173" s="114">
        <f t="shared" ref="AE173" si="194">AE174+AE175</f>
        <v>41910</v>
      </c>
      <c r="AF173" s="114"/>
      <c r="AG173" s="114"/>
      <c r="AH173" s="114"/>
      <c r="AI173" s="114"/>
      <c r="AJ173" s="114"/>
      <c r="AK173" s="114"/>
      <c r="AL173" s="114"/>
      <c r="AM173" s="114"/>
      <c r="AN173" s="114"/>
      <c r="AO173" s="114"/>
      <c r="AP173" s="114"/>
      <c r="AQ173" s="114"/>
      <c r="AR173" s="114"/>
      <c r="AS173" s="114"/>
      <c r="AT173" s="114"/>
      <c r="AU173" s="114"/>
      <c r="AV173" s="114"/>
      <c r="AW173" s="114"/>
      <c r="AX173" s="114"/>
      <c r="AY173" s="114"/>
      <c r="AZ173" s="114"/>
      <c r="BA173" s="114"/>
      <c r="BB173" s="114"/>
      <c r="BC173" s="114"/>
      <c r="BD173" s="114"/>
      <c r="BE173" s="114"/>
      <c r="BF173" s="114"/>
      <c r="BG173" s="114"/>
      <c r="BH173" s="114"/>
      <c r="BI173" s="114"/>
      <c r="BJ173" s="114"/>
      <c r="BK173" s="114"/>
      <c r="BL173" s="114"/>
      <c r="BM173" s="114"/>
      <c r="BN173" s="114"/>
      <c r="BO173" s="114"/>
      <c r="BP173" s="114"/>
      <c r="BQ173" s="114"/>
      <c r="BR173" s="114"/>
      <c r="BS173" s="114"/>
      <c r="BT173" s="114"/>
      <c r="BU173" s="114"/>
      <c r="BV173" s="114"/>
      <c r="BW173" s="114"/>
      <c r="BX173" s="114"/>
      <c r="BY173" s="114"/>
      <c r="BZ173" s="114"/>
      <c r="CA173" s="114"/>
      <c r="CB173" s="114"/>
      <c r="CC173" s="114"/>
      <c r="CD173" s="114"/>
      <c r="CE173" s="114"/>
      <c r="CF173" s="114"/>
      <c r="CG173" s="114"/>
      <c r="CH173" s="114"/>
      <c r="CI173" s="114"/>
      <c r="CJ173" s="114"/>
      <c r="CK173" s="114"/>
      <c r="CL173" s="114"/>
      <c r="CM173" s="114"/>
      <c r="CN173" s="114"/>
      <c r="CO173" s="114"/>
    </row>
    <row r="174" spans="1:93">
      <c r="A174" s="23"/>
      <c r="B174" s="132" t="s">
        <v>777</v>
      </c>
      <c r="C174" s="132" t="s">
        <v>776</v>
      </c>
      <c r="D174" s="121"/>
      <c r="E174" s="121">
        <v>18969</v>
      </c>
      <c r="F174" s="121">
        <v>18969</v>
      </c>
      <c r="G174" s="121">
        <v>18969</v>
      </c>
      <c r="H174" s="121">
        <v>18969</v>
      </c>
      <c r="I174" s="121">
        <v>18969</v>
      </c>
      <c r="J174" s="121">
        <v>18969</v>
      </c>
      <c r="K174" s="121">
        <v>18969</v>
      </c>
      <c r="L174" s="121">
        <v>18969</v>
      </c>
      <c r="M174" s="121">
        <v>18969</v>
      </c>
      <c r="N174" s="121">
        <v>18969</v>
      </c>
      <c r="O174" s="121">
        <v>18969</v>
      </c>
      <c r="P174" s="121">
        <v>18969</v>
      </c>
      <c r="Q174" s="121">
        <v>18969</v>
      </c>
      <c r="R174" s="121">
        <v>18969</v>
      </c>
      <c r="S174" s="121">
        <v>18969</v>
      </c>
      <c r="T174" s="121">
        <v>18969</v>
      </c>
      <c r="U174" s="121">
        <v>18969</v>
      </c>
      <c r="V174" s="121">
        <v>18969</v>
      </c>
      <c r="W174" s="121">
        <v>18969</v>
      </c>
      <c r="X174" s="121">
        <v>18969</v>
      </c>
      <c r="Y174" s="121">
        <v>18969</v>
      </c>
      <c r="Z174" s="121">
        <v>18969</v>
      </c>
      <c r="AA174" s="121">
        <v>18969</v>
      </c>
      <c r="AB174" s="122">
        <v>18969</v>
      </c>
      <c r="AC174" s="122">
        <v>18969</v>
      </c>
      <c r="AD174" s="122">
        <v>18969</v>
      </c>
      <c r="AE174" s="122">
        <v>18969</v>
      </c>
      <c r="AF174" s="23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23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/>
      <c r="BV174" s="121"/>
      <c r="BW174" s="121"/>
      <c r="BX174" s="121"/>
      <c r="BY174" s="121"/>
      <c r="BZ174" s="121"/>
      <c r="CA174" s="23"/>
      <c r="CB174" s="149"/>
      <c r="CC174" s="149"/>
      <c r="CD174" s="149"/>
      <c r="CE174" s="149"/>
      <c r="CF174" s="149"/>
      <c r="CG174" s="149"/>
      <c r="CH174" s="149"/>
      <c r="CI174" s="149"/>
      <c r="CJ174" s="149"/>
      <c r="CK174" s="149"/>
      <c r="CL174" s="149"/>
      <c r="CM174" s="149"/>
      <c r="CN174" s="149"/>
      <c r="CO174" s="23"/>
    </row>
    <row r="175" spans="1:93">
      <c r="A175" s="23"/>
      <c r="B175" s="132" t="s">
        <v>775</v>
      </c>
      <c r="C175" s="132" t="s">
        <v>774</v>
      </c>
      <c r="D175" s="121"/>
      <c r="E175" s="121">
        <v>20155</v>
      </c>
      <c r="F175" s="121">
        <v>20155</v>
      </c>
      <c r="G175" s="121">
        <v>20155</v>
      </c>
      <c r="H175" s="121">
        <v>20155</v>
      </c>
      <c r="I175" s="121">
        <v>20155</v>
      </c>
      <c r="J175" s="121">
        <v>20155</v>
      </c>
      <c r="K175" s="121">
        <v>20155</v>
      </c>
      <c r="L175" s="121">
        <v>20155</v>
      </c>
      <c r="M175" s="121">
        <v>20155</v>
      </c>
      <c r="N175" s="121">
        <v>20155</v>
      </c>
      <c r="O175" s="121">
        <v>21412</v>
      </c>
      <c r="P175" s="121">
        <v>21412</v>
      </c>
      <c r="Q175" s="121">
        <v>21412</v>
      </c>
      <c r="R175" s="121">
        <v>22516</v>
      </c>
      <c r="S175" s="121">
        <v>22516</v>
      </c>
      <c r="T175" s="121">
        <v>22516</v>
      </c>
      <c r="U175" s="121">
        <v>22516</v>
      </c>
      <c r="V175" s="121">
        <v>22516</v>
      </c>
      <c r="W175" s="121">
        <v>22516</v>
      </c>
      <c r="X175" s="121">
        <v>22517</v>
      </c>
      <c r="Y175" s="121">
        <v>22942</v>
      </c>
      <c r="Z175" s="121">
        <v>22942</v>
      </c>
      <c r="AA175" s="121">
        <v>22942</v>
      </c>
      <c r="AB175" s="122">
        <v>22942</v>
      </c>
      <c r="AC175" s="122">
        <v>22942</v>
      </c>
      <c r="AD175" s="122">
        <v>22942</v>
      </c>
      <c r="AE175" s="122">
        <v>22941</v>
      </c>
      <c r="AF175" s="23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23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/>
      <c r="BX175" s="121"/>
      <c r="BY175" s="121"/>
      <c r="BZ175" s="121"/>
      <c r="CA175" s="23"/>
      <c r="CB175" s="149"/>
      <c r="CC175" s="149"/>
      <c r="CD175" s="149"/>
      <c r="CE175" s="149"/>
      <c r="CF175" s="149"/>
      <c r="CG175" s="149"/>
      <c r="CH175" s="149"/>
      <c r="CI175" s="149"/>
      <c r="CJ175" s="149"/>
      <c r="CK175" s="149"/>
      <c r="CL175" s="149"/>
      <c r="CM175" s="149"/>
      <c r="CN175" s="149"/>
      <c r="CO175" s="23"/>
    </row>
    <row r="176" spans="1:93">
      <c r="A176" s="23"/>
      <c r="B176" s="132"/>
      <c r="C176" s="132"/>
      <c r="D176" s="23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23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/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23"/>
      <c r="CB176" s="149"/>
      <c r="CC176" s="149"/>
      <c r="CD176" s="149"/>
      <c r="CE176" s="149"/>
      <c r="CF176" s="149"/>
      <c r="CG176" s="149"/>
      <c r="CH176" s="149"/>
      <c r="CI176" s="149"/>
      <c r="CJ176" s="149"/>
      <c r="CK176" s="149"/>
      <c r="CL176" s="149"/>
      <c r="CM176" s="156"/>
      <c r="CN176" s="156"/>
      <c r="CO176" s="23"/>
    </row>
    <row r="177" spans="1:93">
      <c r="A177" s="114"/>
      <c r="B177" s="167" t="s">
        <v>773</v>
      </c>
      <c r="C177" s="168" t="s">
        <v>209</v>
      </c>
      <c r="D177" s="115"/>
      <c r="E177" s="115">
        <v>-2</v>
      </c>
      <c r="F177" s="115">
        <v>-2</v>
      </c>
      <c r="G177" s="115">
        <v>-2</v>
      </c>
      <c r="H177" s="115">
        <v>-1032</v>
      </c>
      <c r="I177" s="115">
        <v>-4293</v>
      </c>
      <c r="J177" s="115">
        <v>-3957</v>
      </c>
      <c r="K177" s="115">
        <v>-1093</v>
      </c>
      <c r="L177" s="115">
        <v>-2853</v>
      </c>
      <c r="M177" s="115">
        <v>-2926</v>
      </c>
      <c r="N177" s="115">
        <v>-3049</v>
      </c>
      <c r="O177" s="115">
        <v>-6898</v>
      </c>
      <c r="P177" s="115">
        <v>-7001</v>
      </c>
      <c r="Q177" s="115">
        <v>-7157</v>
      </c>
      <c r="R177" s="115">
        <v>-8086</v>
      </c>
      <c r="S177" s="115">
        <v>-8111</v>
      </c>
      <c r="T177" s="115">
        <v>-8129</v>
      </c>
      <c r="U177" s="115">
        <v>-8145</v>
      </c>
      <c r="V177" s="114">
        <v>-8207</v>
      </c>
      <c r="W177" s="114">
        <v>-8220</v>
      </c>
      <c r="X177" s="114">
        <v>-8225</v>
      </c>
      <c r="Y177" s="114">
        <v>-8225</v>
      </c>
      <c r="Z177" s="114">
        <v>-8227</v>
      </c>
      <c r="AA177" s="114">
        <v>-8228</v>
      </c>
      <c r="AB177" s="116">
        <v>-8230</v>
      </c>
      <c r="AC177" s="116">
        <v>-8233</v>
      </c>
      <c r="AD177" s="116">
        <v>-8234</v>
      </c>
      <c r="AE177" s="116">
        <v>-8236</v>
      </c>
      <c r="AF177" s="114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4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4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14"/>
    </row>
    <row r="178" spans="1:93">
      <c r="A178" s="114"/>
      <c r="B178" s="114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  <c r="BD178" s="114"/>
      <c r="BE178" s="114"/>
      <c r="BF178" s="114"/>
      <c r="BG178" s="114"/>
      <c r="BH178" s="114"/>
      <c r="BI178" s="114"/>
      <c r="BJ178" s="114"/>
      <c r="BK178" s="114"/>
      <c r="BL178" s="114"/>
      <c r="BM178" s="114"/>
      <c r="BN178" s="114"/>
      <c r="BO178" s="114"/>
      <c r="BP178" s="114"/>
      <c r="BQ178" s="114"/>
      <c r="BR178" s="114"/>
      <c r="BS178" s="114"/>
      <c r="BT178" s="114"/>
      <c r="BU178" s="114"/>
      <c r="BV178" s="114"/>
      <c r="BW178" s="114"/>
      <c r="BX178" s="114"/>
      <c r="BY178" s="114"/>
      <c r="BZ178" s="114"/>
      <c r="CA178" s="114"/>
      <c r="CB178" s="115"/>
      <c r="CC178" s="115"/>
      <c r="CD178" s="115"/>
      <c r="CE178" s="115"/>
      <c r="CF178" s="115"/>
      <c r="CG178" s="115"/>
      <c r="CH178" s="115"/>
      <c r="CI178" s="115"/>
      <c r="CJ178" s="115"/>
      <c r="CK178" s="115"/>
      <c r="CL178" s="115"/>
      <c r="CM178" s="114"/>
      <c r="CN178" s="114"/>
      <c r="CO178" s="114"/>
    </row>
    <row r="179" spans="1:93">
      <c r="A179" s="114"/>
      <c r="B179" s="127" t="s">
        <v>124</v>
      </c>
      <c r="C179" s="127" t="s">
        <v>123</v>
      </c>
      <c r="D179" s="115"/>
      <c r="E179" s="114"/>
      <c r="F179" s="114"/>
      <c r="G179" s="114"/>
      <c r="H179" s="114"/>
      <c r="I179" s="114"/>
      <c r="J179" s="114">
        <f t="shared" ref="J179:V179" si="195">SUM(J180:J181)</f>
        <v>0</v>
      </c>
      <c r="K179" s="114">
        <f t="shared" si="195"/>
        <v>0</v>
      </c>
      <c r="L179" s="114">
        <f t="shared" si="195"/>
        <v>0</v>
      </c>
      <c r="M179" s="114">
        <f t="shared" si="195"/>
        <v>0</v>
      </c>
      <c r="N179" s="114">
        <f t="shared" si="195"/>
        <v>0</v>
      </c>
      <c r="O179" s="114">
        <f t="shared" si="195"/>
        <v>0</v>
      </c>
      <c r="P179" s="114">
        <f t="shared" si="195"/>
        <v>0</v>
      </c>
      <c r="Q179" s="114">
        <f t="shared" si="195"/>
        <v>0</v>
      </c>
      <c r="R179" s="114">
        <f t="shared" si="195"/>
        <v>0</v>
      </c>
      <c r="S179" s="114">
        <f t="shared" si="195"/>
        <v>0</v>
      </c>
      <c r="T179" s="114">
        <f t="shared" si="195"/>
        <v>0</v>
      </c>
      <c r="U179" s="114">
        <f t="shared" si="195"/>
        <v>0</v>
      </c>
      <c r="V179" s="114">
        <f t="shared" si="195"/>
        <v>0</v>
      </c>
      <c r="W179" s="114">
        <f t="shared" ref="W179:X179" si="196">SUM(W180:W181)</f>
        <v>0</v>
      </c>
      <c r="X179" s="114">
        <f t="shared" si="196"/>
        <v>0</v>
      </c>
      <c r="Y179" s="114">
        <f t="shared" ref="Y179:Z179" si="197">SUM(Y180:Y181)</f>
        <v>0</v>
      </c>
      <c r="Z179" s="114">
        <f t="shared" si="197"/>
        <v>0</v>
      </c>
      <c r="AA179" s="114">
        <f t="shared" ref="AA179:AB179" si="198">SUM(AA180:AA181)</f>
        <v>0</v>
      </c>
      <c r="AB179" s="114">
        <f t="shared" si="198"/>
        <v>0</v>
      </c>
      <c r="AC179" s="114">
        <f t="shared" ref="AC179:AD179" si="199">SUM(AC180:AC181)</f>
        <v>0</v>
      </c>
      <c r="AD179" s="114">
        <f t="shared" si="199"/>
        <v>0</v>
      </c>
      <c r="AE179" s="114">
        <f t="shared" ref="AE179" si="200">SUM(AE180:AE181)</f>
        <v>0</v>
      </c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  <c r="BD179" s="114"/>
      <c r="BE179" s="114"/>
      <c r="BF179" s="114"/>
      <c r="BG179" s="114"/>
      <c r="BH179" s="114"/>
      <c r="BI179" s="114"/>
      <c r="BJ179" s="114"/>
      <c r="BK179" s="114"/>
      <c r="BL179" s="114"/>
      <c r="BM179" s="114"/>
      <c r="BN179" s="114"/>
      <c r="BO179" s="114"/>
      <c r="BP179" s="114"/>
      <c r="BQ179" s="114"/>
      <c r="BR179" s="114"/>
      <c r="BS179" s="114"/>
      <c r="BT179" s="114"/>
      <c r="BU179" s="114"/>
      <c r="BV179" s="114"/>
      <c r="BW179" s="114"/>
      <c r="BX179" s="114"/>
      <c r="BY179" s="114"/>
      <c r="BZ179" s="114"/>
      <c r="CA179" s="114"/>
      <c r="CB179" s="114"/>
      <c r="CC179" s="114"/>
      <c r="CD179" s="114"/>
      <c r="CE179" s="114"/>
      <c r="CF179" s="114"/>
      <c r="CG179" s="114"/>
      <c r="CH179" s="114"/>
      <c r="CI179" s="114"/>
      <c r="CJ179" s="114"/>
      <c r="CK179" s="114"/>
      <c r="CL179" s="114"/>
      <c r="CM179" s="114"/>
      <c r="CN179" s="114"/>
      <c r="CO179" s="114"/>
    </row>
    <row r="180" spans="1:93">
      <c r="A180" s="23"/>
      <c r="B180" s="159"/>
      <c r="C180" s="159" t="s">
        <v>772</v>
      </c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23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/>
      <c r="BX180" s="121"/>
      <c r="BY180" s="121"/>
      <c r="BZ180" s="121"/>
      <c r="CA180" s="23"/>
      <c r="CB180" s="149"/>
      <c r="CC180" s="149"/>
      <c r="CD180" s="149"/>
      <c r="CE180" s="149"/>
      <c r="CF180" s="149"/>
      <c r="CG180" s="149"/>
      <c r="CH180" s="149"/>
      <c r="CI180" s="149"/>
      <c r="CJ180" s="149"/>
      <c r="CK180" s="149"/>
      <c r="CL180" s="149"/>
      <c r="CM180" s="149"/>
      <c r="CN180" s="149"/>
      <c r="CO180" s="23"/>
    </row>
    <row r="181" spans="1:93">
      <c r="A181" s="23"/>
      <c r="B181" s="159" t="s">
        <v>771</v>
      </c>
      <c r="C181" s="159" t="s">
        <v>770</v>
      </c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23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23"/>
      <c r="CB181" s="149"/>
      <c r="CC181" s="149"/>
      <c r="CD181" s="149"/>
      <c r="CE181" s="149"/>
      <c r="CF181" s="149"/>
      <c r="CG181" s="149"/>
      <c r="CH181" s="149"/>
      <c r="CI181" s="149"/>
      <c r="CJ181" s="149"/>
      <c r="CK181" s="149"/>
      <c r="CL181" s="149"/>
      <c r="CM181" s="149"/>
      <c r="CN181" s="149"/>
      <c r="CO181" s="23"/>
    </row>
    <row r="182" spans="1:93">
      <c r="A182" s="23"/>
      <c r="B182" s="114"/>
      <c r="C182" s="114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133"/>
      <c r="CC182" s="133"/>
      <c r="CD182" s="133"/>
      <c r="CE182" s="133"/>
      <c r="CF182" s="133"/>
      <c r="CG182" s="133"/>
      <c r="CH182" s="133"/>
      <c r="CI182" s="133"/>
      <c r="CJ182" s="133"/>
      <c r="CK182" s="133"/>
      <c r="CL182" s="133"/>
      <c r="CM182" s="123"/>
      <c r="CN182" s="123"/>
      <c r="CO182" s="23"/>
    </row>
    <row r="183" spans="1:93">
      <c r="A183" s="114"/>
      <c r="B183" s="124" t="s">
        <v>769</v>
      </c>
      <c r="C183" s="169" t="s">
        <v>768</v>
      </c>
      <c r="D183" s="124"/>
      <c r="E183" s="124">
        <f t="shared" ref="E183:V183" si="201">E169+E171+E173+E177+E179</f>
        <v>93931</v>
      </c>
      <c r="F183" s="124">
        <f t="shared" si="201"/>
        <v>93878</v>
      </c>
      <c r="G183" s="124">
        <f t="shared" si="201"/>
        <v>93475</v>
      </c>
      <c r="H183" s="124">
        <f t="shared" si="201"/>
        <v>96238</v>
      </c>
      <c r="I183" s="124">
        <f t="shared" si="201"/>
        <v>91987</v>
      </c>
      <c r="J183" s="124">
        <f t="shared" si="201"/>
        <v>97434</v>
      </c>
      <c r="K183" s="124">
        <f t="shared" si="201"/>
        <v>106384</v>
      </c>
      <c r="L183" s="124">
        <f t="shared" si="201"/>
        <v>111753</v>
      </c>
      <c r="M183" s="124">
        <f t="shared" si="201"/>
        <v>122357</v>
      </c>
      <c r="N183" s="124">
        <f t="shared" si="201"/>
        <v>134441</v>
      </c>
      <c r="O183" s="124">
        <f t="shared" si="201"/>
        <v>135080</v>
      </c>
      <c r="P183" s="124">
        <f t="shared" si="201"/>
        <v>144114</v>
      </c>
      <c r="Q183" s="124">
        <f t="shared" si="201"/>
        <v>154727</v>
      </c>
      <c r="R183" s="124">
        <f t="shared" si="201"/>
        <v>170350</v>
      </c>
      <c r="S183" s="124">
        <f t="shared" si="201"/>
        <v>178143</v>
      </c>
      <c r="T183" s="124">
        <f t="shared" si="201"/>
        <v>191408</v>
      </c>
      <c r="U183" s="124">
        <f t="shared" si="201"/>
        <v>204586</v>
      </c>
      <c r="V183" s="124">
        <f t="shared" si="201"/>
        <v>222682</v>
      </c>
      <c r="W183" s="124">
        <f t="shared" ref="W183:X183" si="202">W169+W171+W173+W177+W179</f>
        <v>234086</v>
      </c>
      <c r="X183" s="124">
        <f t="shared" si="202"/>
        <v>246828</v>
      </c>
      <c r="Y183" s="124">
        <f t="shared" ref="Y183:Z183" si="203">Y169+Y171+Y173+Y177+Y179</f>
        <v>261963</v>
      </c>
      <c r="Z183" s="124">
        <f t="shared" si="203"/>
        <v>274264</v>
      </c>
      <c r="AA183" s="124">
        <f t="shared" ref="AA183:AB183" si="204">AA169+AA171+AA173+AA177+AA179</f>
        <v>286574</v>
      </c>
      <c r="AB183" s="124">
        <f t="shared" si="204"/>
        <v>301781</v>
      </c>
      <c r="AC183" s="124">
        <f t="shared" ref="AC183:AD183" si="205">AC169+AC171+AC173+AC177+AC179</f>
        <v>322678</v>
      </c>
      <c r="AD183" s="124">
        <f t="shared" si="205"/>
        <v>335900</v>
      </c>
      <c r="AE183" s="124">
        <f t="shared" ref="AE183" si="206">AE169+AE171+AE173+AE177+AE179</f>
        <v>359832</v>
      </c>
      <c r="AF183" s="11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1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14"/>
      <c r="CB183" s="124"/>
      <c r="CC183" s="124"/>
      <c r="CD183" s="124"/>
      <c r="CE183" s="124"/>
      <c r="CF183" s="124"/>
      <c r="CG183" s="124"/>
      <c r="CH183" s="124"/>
      <c r="CI183" s="124"/>
      <c r="CJ183" s="124"/>
      <c r="CK183" s="124"/>
      <c r="CL183" s="124"/>
      <c r="CM183" s="124"/>
      <c r="CN183" s="124"/>
      <c r="CO183" s="114"/>
    </row>
    <row r="184" spans="1:93">
      <c r="A184" s="23"/>
      <c r="B184" s="114"/>
      <c r="C184" s="114"/>
      <c r="D184" s="114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  <c r="AG184" s="114"/>
      <c r="AH184" s="114"/>
      <c r="AI184" s="114"/>
      <c r="AJ184" s="114"/>
      <c r="AK184" s="114"/>
      <c r="AL184" s="114"/>
      <c r="AM184" s="114"/>
      <c r="AN184" s="114"/>
      <c r="AO184" s="114"/>
      <c r="AP184" s="114"/>
      <c r="AQ184" s="114"/>
      <c r="AR184" s="114"/>
      <c r="AS184" s="114"/>
      <c r="AT184" s="114"/>
      <c r="AU184" s="114"/>
      <c r="AV184" s="114"/>
      <c r="AW184" s="23"/>
      <c r="AX184" s="114"/>
      <c r="AY184" s="114"/>
      <c r="AZ184" s="114"/>
      <c r="BA184" s="114"/>
      <c r="BB184" s="114"/>
      <c r="BC184" s="114"/>
      <c r="BD184" s="114"/>
      <c r="BE184" s="114"/>
      <c r="BF184" s="114"/>
      <c r="BG184" s="114"/>
      <c r="BH184" s="114"/>
      <c r="BI184" s="114"/>
      <c r="BJ184" s="114"/>
      <c r="BK184" s="114"/>
      <c r="BL184" s="114"/>
      <c r="BM184" s="114"/>
      <c r="BN184" s="114"/>
      <c r="BO184" s="114"/>
      <c r="BP184" s="114"/>
      <c r="BQ184" s="114"/>
      <c r="BR184" s="114"/>
      <c r="BS184" s="114"/>
      <c r="BT184" s="114"/>
      <c r="BU184" s="114"/>
      <c r="BV184" s="114"/>
      <c r="BW184" s="114"/>
      <c r="BX184" s="114"/>
      <c r="BY184" s="114"/>
      <c r="BZ184" s="114"/>
      <c r="CA184" s="114"/>
      <c r="CB184" s="115"/>
      <c r="CC184" s="115"/>
      <c r="CD184" s="115"/>
      <c r="CE184" s="115"/>
      <c r="CF184" s="115"/>
      <c r="CG184" s="115"/>
      <c r="CH184" s="115"/>
      <c r="CI184" s="115"/>
      <c r="CJ184" s="115"/>
      <c r="CK184" s="115"/>
      <c r="CL184" s="115"/>
      <c r="CM184" s="114"/>
      <c r="CN184" s="114"/>
      <c r="CO184" s="23"/>
    </row>
    <row r="185" spans="1:93">
      <c r="A185" s="114"/>
      <c r="B185" s="114" t="s">
        <v>767</v>
      </c>
      <c r="C185" s="114" t="s">
        <v>766</v>
      </c>
      <c r="D185" s="115"/>
      <c r="E185" s="115">
        <v>1846</v>
      </c>
      <c r="F185" s="115">
        <v>1932</v>
      </c>
      <c r="G185" s="115">
        <v>2498</v>
      </c>
      <c r="H185" s="115">
        <v>6961</v>
      </c>
      <c r="I185" s="115">
        <v>8985</v>
      </c>
      <c r="J185" s="115">
        <v>9686</v>
      </c>
      <c r="K185" s="115">
        <v>7265</v>
      </c>
      <c r="L185" s="115">
        <v>7856</v>
      </c>
      <c r="M185" s="115">
        <v>9014</v>
      </c>
      <c r="N185" s="115">
        <v>9972</v>
      </c>
      <c r="O185" s="115">
        <v>10512</v>
      </c>
      <c r="P185" s="115">
        <v>11323</v>
      </c>
      <c r="Q185" s="115">
        <v>11658</v>
      </c>
      <c r="R185" s="115">
        <v>9278</v>
      </c>
      <c r="S185" s="115">
        <v>9682</v>
      </c>
      <c r="T185" s="115">
        <v>10152</v>
      </c>
      <c r="U185" s="115">
        <v>10487</v>
      </c>
      <c r="V185" s="114">
        <v>13371</v>
      </c>
      <c r="W185" s="114">
        <v>10241</v>
      </c>
      <c r="X185" s="114">
        <v>10773</v>
      </c>
      <c r="Y185" s="114">
        <v>10597</v>
      </c>
      <c r="Z185" s="114">
        <v>10974</v>
      </c>
      <c r="AA185" s="114">
        <v>11090</v>
      </c>
      <c r="AB185" s="116">
        <v>11345</v>
      </c>
      <c r="AC185" s="116">
        <v>11860</v>
      </c>
      <c r="AD185" s="116">
        <v>12262</v>
      </c>
      <c r="AE185" s="116">
        <v>12573</v>
      </c>
      <c r="AF185" s="114"/>
      <c r="AG185" s="115"/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5"/>
      <c r="AV185" s="115"/>
      <c r="AW185" s="114"/>
      <c r="AX185" s="115"/>
      <c r="AY185" s="115"/>
      <c r="AZ185" s="115"/>
      <c r="BA185" s="115"/>
      <c r="BB185" s="115"/>
      <c r="BC185" s="115"/>
      <c r="BD185" s="115"/>
      <c r="BE185" s="115"/>
      <c r="BF185" s="115"/>
      <c r="BG185" s="115"/>
      <c r="BH185" s="115"/>
      <c r="BI185" s="115"/>
      <c r="BJ185" s="115"/>
      <c r="BK185" s="115"/>
      <c r="BL185" s="115"/>
      <c r="BM185" s="115"/>
      <c r="BN185" s="115"/>
      <c r="BO185" s="115"/>
      <c r="BP185" s="115"/>
      <c r="BQ185" s="115"/>
      <c r="BR185" s="115"/>
      <c r="BS185" s="115"/>
      <c r="BT185" s="115"/>
      <c r="BU185" s="115"/>
      <c r="BV185" s="115"/>
      <c r="BW185" s="115"/>
      <c r="BX185" s="115"/>
      <c r="BY185" s="115"/>
      <c r="BZ185" s="115"/>
      <c r="CA185" s="114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14"/>
    </row>
    <row r="186" spans="1:93">
      <c r="A186" s="23"/>
      <c r="B186" s="114"/>
      <c r="C186" s="170" t="s">
        <v>765</v>
      </c>
      <c r="D186" s="114"/>
      <c r="E186" s="114"/>
      <c r="F186" s="114"/>
      <c r="G186" s="114"/>
      <c r="H186" s="114"/>
      <c r="I186" s="114"/>
      <c r="J186" s="114"/>
      <c r="K186" s="114"/>
      <c r="L186" s="114"/>
      <c r="M186" s="115"/>
      <c r="N186" s="115"/>
      <c r="O186" s="115">
        <v>1907</v>
      </c>
      <c r="P186" s="115">
        <v>-6337</v>
      </c>
      <c r="Q186" s="115">
        <v>-7697</v>
      </c>
      <c r="R186" s="115">
        <v>-9340</v>
      </c>
      <c r="S186" s="115">
        <v>-15018</v>
      </c>
      <c r="T186" s="115">
        <v>-14895</v>
      </c>
      <c r="U186" s="115">
        <v>-5901</v>
      </c>
      <c r="V186" s="115">
        <v>883</v>
      </c>
      <c r="W186" s="115">
        <v>15622</v>
      </c>
      <c r="X186" s="115">
        <v>8599</v>
      </c>
      <c r="Y186" s="115">
        <v>9235</v>
      </c>
      <c r="Z186" s="115">
        <v>5642</v>
      </c>
      <c r="AA186" s="115">
        <v>10063</v>
      </c>
      <c r="AB186" s="116">
        <v>4866</v>
      </c>
      <c r="AC186" s="116">
        <v>8780</v>
      </c>
      <c r="AD186" s="116">
        <v>18981</v>
      </c>
      <c r="AE186" s="116">
        <v>32343</v>
      </c>
      <c r="AF186" s="114"/>
      <c r="AG186" s="114"/>
      <c r="AH186" s="114"/>
      <c r="AI186" s="114"/>
      <c r="AJ186" s="114"/>
      <c r="AK186" s="114"/>
      <c r="AL186" s="114"/>
      <c r="AM186" s="114"/>
      <c r="AN186" s="114"/>
      <c r="AO186" s="114"/>
      <c r="AP186" s="114"/>
      <c r="AQ186" s="114"/>
      <c r="AR186" s="114"/>
      <c r="AS186" s="114"/>
      <c r="AT186" s="114"/>
      <c r="AU186" s="114"/>
      <c r="AV186" s="114"/>
      <c r="AW186" s="23"/>
      <c r="AX186" s="114"/>
      <c r="AY186" s="114"/>
      <c r="AZ186" s="114"/>
      <c r="BA186" s="114"/>
      <c r="BB186" s="114"/>
      <c r="BC186" s="114"/>
      <c r="BD186" s="114"/>
      <c r="BE186" s="114"/>
      <c r="BF186" s="114"/>
      <c r="BG186" s="114"/>
      <c r="BH186" s="114"/>
      <c r="BI186" s="114"/>
      <c r="BJ186" s="114"/>
      <c r="BK186" s="114"/>
      <c r="BL186" s="114"/>
      <c r="BM186" s="114"/>
      <c r="BN186" s="114"/>
      <c r="BO186" s="114"/>
      <c r="BP186" s="114"/>
      <c r="BQ186" s="114"/>
      <c r="BR186" s="114"/>
      <c r="BS186" s="114"/>
      <c r="BT186" s="114"/>
      <c r="BU186" s="114"/>
      <c r="BV186" s="114"/>
      <c r="BW186" s="114"/>
      <c r="BX186" s="114"/>
      <c r="BY186" s="114"/>
      <c r="BZ186" s="114"/>
      <c r="CA186" s="114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9"/>
      <c r="CN186" s="129"/>
      <c r="CO186" s="23"/>
    </row>
    <row r="187" spans="1:93">
      <c r="A187" s="114"/>
      <c r="B187" s="124" t="s">
        <v>764</v>
      </c>
      <c r="C187" s="169" t="s">
        <v>118</v>
      </c>
      <c r="D187" s="124"/>
      <c r="E187" s="124">
        <f t="shared" ref="E187:N187" si="207">E183+E185</f>
        <v>95777</v>
      </c>
      <c r="F187" s="124">
        <f t="shared" si="207"/>
        <v>95810</v>
      </c>
      <c r="G187" s="124">
        <f t="shared" si="207"/>
        <v>95973</v>
      </c>
      <c r="H187" s="124">
        <f t="shared" si="207"/>
        <v>103199</v>
      </c>
      <c r="I187" s="124">
        <f t="shared" si="207"/>
        <v>100972</v>
      </c>
      <c r="J187" s="124">
        <f t="shared" si="207"/>
        <v>107120</v>
      </c>
      <c r="K187" s="124">
        <f t="shared" si="207"/>
        <v>113649</v>
      </c>
      <c r="L187" s="124">
        <f t="shared" si="207"/>
        <v>119609</v>
      </c>
      <c r="M187" s="125">
        <f t="shared" si="207"/>
        <v>131371</v>
      </c>
      <c r="N187" s="125">
        <f t="shared" si="207"/>
        <v>144413</v>
      </c>
      <c r="O187" s="125">
        <v>147501</v>
      </c>
      <c r="P187" s="125">
        <v>149100</v>
      </c>
      <c r="Q187" s="125">
        <v>158688</v>
      </c>
      <c r="R187" s="125">
        <v>170288</v>
      </c>
      <c r="S187" s="125">
        <v>172807</v>
      </c>
      <c r="T187" s="125">
        <v>186665</v>
      </c>
      <c r="U187" s="125">
        <v>209172</v>
      </c>
      <c r="V187" s="124">
        <v>236936</v>
      </c>
      <c r="W187" s="124">
        <v>259949</v>
      </c>
      <c r="X187" s="124">
        <v>266200</v>
      </c>
      <c r="Y187" s="124">
        <v>281795</v>
      </c>
      <c r="Z187" s="124">
        <v>290881</v>
      </c>
      <c r="AA187" s="124">
        <v>307729</v>
      </c>
      <c r="AB187" s="126">
        <v>317994</v>
      </c>
      <c r="AC187" s="126">
        <v>343319</v>
      </c>
      <c r="AD187" s="126">
        <v>367145</v>
      </c>
      <c r="AE187" s="126">
        <v>404750</v>
      </c>
      <c r="AF187" s="11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1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14"/>
      <c r="CB187" s="124"/>
      <c r="CC187" s="124"/>
      <c r="CD187" s="124"/>
      <c r="CE187" s="124"/>
      <c r="CF187" s="124"/>
      <c r="CG187" s="124"/>
      <c r="CH187" s="124"/>
      <c r="CI187" s="124"/>
      <c r="CJ187" s="124"/>
      <c r="CK187" s="124"/>
      <c r="CL187" s="124"/>
      <c r="CM187" s="124"/>
      <c r="CN187" s="124"/>
      <c r="CO187" s="114"/>
    </row>
    <row r="188" spans="1:93">
      <c r="A188" s="23"/>
      <c r="B188" s="114"/>
      <c r="C188" s="114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123"/>
      <c r="CN188" s="23"/>
      <c r="CO188" s="23"/>
    </row>
    <row r="189" spans="1:93">
      <c r="A189" s="114"/>
      <c r="B189" s="124" t="s">
        <v>763</v>
      </c>
      <c r="C189" s="169" t="s">
        <v>116</v>
      </c>
      <c r="D189" s="124"/>
      <c r="E189" s="124">
        <f t="shared" ref="E189:V189" si="208">E133</f>
        <v>223900</v>
      </c>
      <c r="F189" s="124">
        <f t="shared" si="208"/>
        <v>229360</v>
      </c>
      <c r="G189" s="124">
        <f t="shared" si="208"/>
        <v>222202</v>
      </c>
      <c r="H189" s="124">
        <f t="shared" si="208"/>
        <v>230763</v>
      </c>
      <c r="I189" s="124">
        <f t="shared" si="208"/>
        <v>249431</v>
      </c>
      <c r="J189" s="124">
        <f t="shared" si="208"/>
        <v>222712</v>
      </c>
      <c r="K189" s="124">
        <f t="shared" si="208"/>
        <v>224791</v>
      </c>
      <c r="L189" s="124">
        <f t="shared" si="208"/>
        <v>222379</v>
      </c>
      <c r="M189" s="124">
        <f t="shared" si="208"/>
        <v>220191</v>
      </c>
      <c r="N189" s="124">
        <f t="shared" si="208"/>
        <v>223306</v>
      </c>
      <c r="O189" s="124">
        <f t="shared" si="208"/>
        <v>219852</v>
      </c>
      <c r="P189" s="124">
        <f t="shared" si="208"/>
        <v>206043</v>
      </c>
      <c r="Q189" s="124">
        <f t="shared" si="208"/>
        <v>218681</v>
      </c>
      <c r="R189" s="124">
        <f t="shared" si="208"/>
        <v>229242</v>
      </c>
      <c r="S189" s="124">
        <f t="shared" si="208"/>
        <v>232532</v>
      </c>
      <c r="T189" s="124">
        <f t="shared" si="208"/>
        <v>251414</v>
      </c>
      <c r="U189" s="124">
        <f t="shared" si="208"/>
        <v>274889</v>
      </c>
      <c r="V189" s="124">
        <f t="shared" si="208"/>
        <v>308787</v>
      </c>
      <c r="W189" s="124">
        <f t="shared" ref="W189:X189" si="209">W133</f>
        <v>333933</v>
      </c>
      <c r="X189" s="124">
        <f t="shared" si="209"/>
        <v>345396</v>
      </c>
      <c r="Y189" s="124">
        <f t="shared" ref="Y189:Z189" si="210">Y133</f>
        <v>361074</v>
      </c>
      <c r="Z189" s="124">
        <f t="shared" si="210"/>
        <v>373483</v>
      </c>
      <c r="AA189" s="124">
        <f t="shared" ref="AA189:AB189" si="211">AA133</f>
        <v>390190</v>
      </c>
      <c r="AB189" s="124">
        <f t="shared" si="211"/>
        <v>402608</v>
      </c>
      <c r="AC189" s="124">
        <f t="shared" ref="AC189:AD189" si="212">AC133</f>
        <v>426071</v>
      </c>
      <c r="AD189" s="124">
        <f t="shared" si="212"/>
        <v>454670</v>
      </c>
      <c r="AE189" s="124">
        <f t="shared" ref="AE189" si="213">AE133</f>
        <v>497083</v>
      </c>
      <c r="AF189" s="11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1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14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57"/>
      <c r="CN189" s="125"/>
      <c r="CO189" s="114"/>
    </row>
    <row r="190" spans="1:93" ht="12">
      <c r="A190" s="117"/>
      <c r="B190" s="117" t="s">
        <v>626</v>
      </c>
      <c r="C190" s="118"/>
      <c r="D190" s="117"/>
      <c r="E190" s="117">
        <f>Model!E158-E189</f>
        <v>0</v>
      </c>
      <c r="F190" s="117">
        <f>Model!F158-F189</f>
        <v>0</v>
      </c>
      <c r="G190" s="117">
        <f>Model!G158-G189</f>
        <v>0</v>
      </c>
      <c r="H190" s="117">
        <f>Model!H158-H189</f>
        <v>0</v>
      </c>
      <c r="I190" s="117">
        <f>Model!I158-I189</f>
        <v>0</v>
      </c>
      <c r="J190" s="117">
        <f>Model!J158-J189</f>
        <v>0</v>
      </c>
      <c r="K190" s="117">
        <f>Model!K158-K189</f>
        <v>0</v>
      </c>
      <c r="L190" s="117">
        <f>Model!L158-L189</f>
        <v>0</v>
      </c>
      <c r="M190" s="117">
        <f>Model!M158-M189</f>
        <v>0</v>
      </c>
      <c r="N190" s="117">
        <f>Model!N158-N189</f>
        <v>0</v>
      </c>
      <c r="O190" s="117">
        <f>Model!O158-O189</f>
        <v>0</v>
      </c>
      <c r="P190" s="117">
        <f>Model!P158-P189</f>
        <v>0</v>
      </c>
      <c r="Q190" s="117">
        <f>Model!Q158-Q189</f>
        <v>0</v>
      </c>
      <c r="R190" s="117">
        <f>Model!R158-R189</f>
        <v>0</v>
      </c>
      <c r="S190" s="117">
        <f>Model!S158-S189</f>
        <v>0</v>
      </c>
      <c r="T190" s="117">
        <f>Model!T158-T189</f>
        <v>0</v>
      </c>
      <c r="U190" s="117">
        <f>Model!U158-U189</f>
        <v>0</v>
      </c>
      <c r="V190" s="117">
        <f>Model!V158-V189</f>
        <v>0</v>
      </c>
      <c r="W190" s="117">
        <f>Model!W158-W189</f>
        <v>0</v>
      </c>
      <c r="X190" s="117">
        <f>Model!X158-X189</f>
        <v>0</v>
      </c>
      <c r="Y190" s="117">
        <f>Model!Y158-Y189</f>
        <v>0</v>
      </c>
      <c r="Z190" s="117">
        <f>Model!Z158-Z189</f>
        <v>0</v>
      </c>
      <c r="AA190" s="117">
        <f>Model!AA158-AA189</f>
        <v>0</v>
      </c>
      <c r="AB190" s="119">
        <f>Model!AB158-AB189</f>
        <v>0</v>
      </c>
      <c r="AC190" s="119">
        <f>Model!AC158-AC189</f>
        <v>0</v>
      </c>
      <c r="AD190" s="119">
        <f>Model!AD158-AD189</f>
        <v>0</v>
      </c>
      <c r="AE190" s="119">
        <f>Model!AE158-AE189</f>
        <v>0</v>
      </c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9"/>
      <c r="CO190" s="117"/>
    </row>
    <row r="191" spans="1:93" ht="12">
      <c r="A191" s="117"/>
      <c r="B191" s="117"/>
      <c r="C191" s="118"/>
      <c r="D191" s="117"/>
      <c r="E191" s="117"/>
      <c r="F191" s="117"/>
      <c r="G191" s="117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9"/>
      <c r="AC191" s="119"/>
      <c r="AD191" s="119"/>
      <c r="AE191" s="119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9"/>
      <c r="CO191" s="117"/>
    </row>
    <row r="192" spans="1:93">
      <c r="A192" s="114"/>
      <c r="B192" s="114"/>
      <c r="C192" s="114"/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/>
      <c r="BF192" s="114"/>
      <c r="BG192" s="114"/>
      <c r="BH192" s="114"/>
      <c r="BI192" s="114"/>
      <c r="BJ192" s="114"/>
      <c r="BK192" s="114"/>
      <c r="BL192" s="114"/>
      <c r="BM192" s="114"/>
      <c r="BN192" s="114"/>
      <c r="BO192" s="114"/>
      <c r="BP192" s="114"/>
      <c r="BQ192" s="114"/>
      <c r="BR192" s="114"/>
      <c r="BS192" s="114"/>
      <c r="BT192" s="114"/>
      <c r="BU192" s="114"/>
      <c r="BV192" s="114"/>
      <c r="BW192" s="114"/>
      <c r="BX192" s="114"/>
      <c r="BY192" s="114"/>
      <c r="BZ192" s="114"/>
      <c r="CA192" s="114"/>
      <c r="CB192" s="114"/>
      <c r="CC192" s="114"/>
      <c r="CD192" s="114"/>
      <c r="CE192" s="114"/>
      <c r="CF192" s="114"/>
      <c r="CG192" s="114"/>
      <c r="CH192" s="114"/>
      <c r="CI192" s="114"/>
      <c r="CJ192" s="114"/>
      <c r="CK192" s="114"/>
      <c r="CL192" s="114"/>
      <c r="CM192" s="114"/>
      <c r="CN192" s="114"/>
      <c r="CO192" s="114"/>
    </row>
    <row r="193" spans="1:93">
      <c r="A193" s="25"/>
      <c r="B193" s="25" t="s">
        <v>78</v>
      </c>
      <c r="C193" s="25" t="s">
        <v>77</v>
      </c>
      <c r="D193" s="108"/>
      <c r="E193" s="108">
        <f t="shared" ref="E193:V193" si="214">E5</f>
        <v>1996</v>
      </c>
      <c r="F193" s="108">
        <f t="shared" si="214"/>
        <v>1997</v>
      </c>
      <c r="G193" s="108">
        <f t="shared" si="214"/>
        <v>1998</v>
      </c>
      <c r="H193" s="108">
        <f t="shared" si="214"/>
        <v>1999</v>
      </c>
      <c r="I193" s="108">
        <f t="shared" si="214"/>
        <v>2000</v>
      </c>
      <c r="J193" s="108">
        <f t="shared" si="214"/>
        <v>2001</v>
      </c>
      <c r="K193" s="108">
        <f t="shared" si="214"/>
        <v>2002</v>
      </c>
      <c r="L193" s="108">
        <f t="shared" si="214"/>
        <v>2003</v>
      </c>
      <c r="M193" s="108">
        <f t="shared" si="214"/>
        <v>2004</v>
      </c>
      <c r="N193" s="108">
        <f t="shared" si="214"/>
        <v>2005</v>
      </c>
      <c r="O193" s="108">
        <f t="shared" si="214"/>
        <v>2006</v>
      </c>
      <c r="P193" s="108">
        <f t="shared" si="214"/>
        <v>2007</v>
      </c>
      <c r="Q193" s="108">
        <f t="shared" si="214"/>
        <v>2008</v>
      </c>
      <c r="R193" s="108">
        <f t="shared" si="214"/>
        <v>2009</v>
      </c>
      <c r="S193" s="108">
        <f t="shared" si="214"/>
        <v>2010</v>
      </c>
      <c r="T193" s="108">
        <f t="shared" si="214"/>
        <v>2011</v>
      </c>
      <c r="U193" s="108">
        <f t="shared" si="214"/>
        <v>2012</v>
      </c>
      <c r="V193" s="108">
        <f t="shared" si="214"/>
        <v>2013</v>
      </c>
      <c r="W193" s="108">
        <f t="shared" ref="W193:X193" si="215">W5</f>
        <v>2014</v>
      </c>
      <c r="X193" s="108">
        <f t="shared" si="215"/>
        <v>2015</v>
      </c>
      <c r="Y193" s="108">
        <f t="shared" ref="Y193:Z193" si="216">Y5</f>
        <v>2016</v>
      </c>
      <c r="Z193" s="108">
        <f t="shared" si="216"/>
        <v>2017</v>
      </c>
      <c r="AA193" s="108">
        <f t="shared" ref="AA193:AB193" si="217">AA5</f>
        <v>2018</v>
      </c>
      <c r="AB193" s="108">
        <f t="shared" si="217"/>
        <v>2019</v>
      </c>
      <c r="AC193" s="108">
        <f t="shared" ref="AC193:AD193" si="218">AC5</f>
        <v>2020</v>
      </c>
      <c r="AD193" s="108">
        <f t="shared" si="218"/>
        <v>2021</v>
      </c>
      <c r="AE193" s="108">
        <f t="shared" ref="AE193" si="219">AE5</f>
        <v>2022</v>
      </c>
      <c r="AF193" s="109"/>
      <c r="AG193" s="108" t="s">
        <v>762</v>
      </c>
      <c r="AH193" s="108" t="str">
        <f>AH5</f>
        <v>2H04</v>
      </c>
      <c r="AI193" s="108" t="s">
        <v>761</v>
      </c>
      <c r="AJ193" s="108" t="str">
        <f>AJ5</f>
        <v>2H05</v>
      </c>
      <c r="AK193" s="108" t="s">
        <v>760</v>
      </c>
      <c r="AL193" s="108" t="str">
        <f>AL5</f>
        <v>2H06</v>
      </c>
      <c r="AM193" s="108" t="s">
        <v>759</v>
      </c>
      <c r="AN193" s="108" t="str">
        <f>AN5</f>
        <v>2H07</v>
      </c>
      <c r="AO193" s="108" t="s">
        <v>758</v>
      </c>
      <c r="AP193" s="108" t="str">
        <f>AP5</f>
        <v>2H08</v>
      </c>
      <c r="AQ193" s="108" t="s">
        <v>757</v>
      </c>
      <c r="AR193" s="108" t="str">
        <f>AR5</f>
        <v>2H09</v>
      </c>
      <c r="AS193" s="108" t="s">
        <v>756</v>
      </c>
      <c r="AT193" s="108" t="str">
        <f>AT5</f>
        <v>2H10</v>
      </c>
      <c r="AU193" s="108" t="str">
        <f>AU5</f>
        <v>1H11</v>
      </c>
      <c r="AV193" s="108" t="str">
        <f>AV5</f>
        <v>2H11</v>
      </c>
      <c r="AW193" s="1"/>
      <c r="AX193" s="108" t="str">
        <f>AX5</f>
        <v>1Q07</v>
      </c>
      <c r="AY193" s="108" t="str">
        <f>AY5</f>
        <v>2Q07</v>
      </c>
      <c r="AZ193" s="108" t="str">
        <f>AZ5</f>
        <v>3Q07</v>
      </c>
      <c r="BA193" s="108" t="str">
        <f>BA5</f>
        <v>4Q07</v>
      </c>
      <c r="BB193" s="108" t="s">
        <v>755</v>
      </c>
      <c r="BC193" s="108" t="str">
        <f>BC5</f>
        <v>2Q08</v>
      </c>
      <c r="BD193" s="108" t="s">
        <v>754</v>
      </c>
      <c r="BE193" s="108" t="str">
        <f>BE5</f>
        <v>1-3Q08</v>
      </c>
      <c r="BF193" s="108" t="str">
        <f>BF5</f>
        <v>4Q08</v>
      </c>
      <c r="BG193" s="108" t="s">
        <v>753</v>
      </c>
      <c r="BH193" s="108" t="str">
        <f>BH5</f>
        <v>2Q09</v>
      </c>
      <c r="BI193" s="108" t="s">
        <v>752</v>
      </c>
      <c r="BJ193" s="108" t="str">
        <f>BJ5</f>
        <v>1-3Q09</v>
      </c>
      <c r="BK193" s="108" t="str">
        <f>BK5</f>
        <v>4Q09</v>
      </c>
      <c r="BL193" s="108" t="s">
        <v>751</v>
      </c>
      <c r="BM193" s="108" t="str">
        <f>BM5</f>
        <v>2Q10</v>
      </c>
      <c r="BN193" s="108" t="s">
        <v>750</v>
      </c>
      <c r="BO193" s="108" t="str">
        <f t="shared" ref="BO193:BZ193" si="220">BO5</f>
        <v>1-3Q10</v>
      </c>
      <c r="BP193" s="108" t="str">
        <f t="shared" si="220"/>
        <v>4Q10</v>
      </c>
      <c r="BQ193" s="108" t="str">
        <f t="shared" si="220"/>
        <v>1Q11</v>
      </c>
      <c r="BR193" s="108" t="str">
        <f t="shared" si="220"/>
        <v>2Q11</v>
      </c>
      <c r="BS193" s="108" t="str">
        <f t="shared" si="220"/>
        <v>3Q11</v>
      </c>
      <c r="BT193" s="108" t="str">
        <f t="shared" si="220"/>
        <v>1-3Q11</v>
      </c>
      <c r="BU193" s="108" t="str">
        <f t="shared" si="220"/>
        <v>4Q11</v>
      </c>
      <c r="BV193" s="108" t="str">
        <f t="shared" si="220"/>
        <v>1Q12</v>
      </c>
      <c r="BW193" s="108" t="str">
        <f t="shared" si="220"/>
        <v>2Q13</v>
      </c>
      <c r="BX193" s="108" t="str">
        <f t="shared" si="220"/>
        <v>3Q13</v>
      </c>
      <c r="BY193" s="108" t="str">
        <f t="shared" si="220"/>
        <v>1-3Q13</v>
      </c>
      <c r="BZ193" s="108" t="str">
        <f t="shared" si="220"/>
        <v>4Q13</v>
      </c>
      <c r="CA193" s="109"/>
      <c r="CB193" s="108" t="str">
        <f t="shared" ref="CB193:CN193" si="221">CB5</f>
        <v>2005CoE</v>
      </c>
      <c r="CC193" s="108" t="str">
        <f t="shared" si="221"/>
        <v>2006CoE</v>
      </c>
      <c r="CD193" s="108" t="str">
        <f t="shared" si="221"/>
        <v>2006CoE(New)</v>
      </c>
      <c r="CE193" s="108" t="str">
        <f t="shared" si="221"/>
        <v>2007CoE</v>
      </c>
      <c r="CF193" s="108" t="str">
        <f t="shared" si="221"/>
        <v>2007CoE(New)</v>
      </c>
      <c r="CG193" s="108" t="str">
        <f t="shared" si="221"/>
        <v>2008CoE</v>
      </c>
      <c r="CH193" s="108" t="str">
        <f t="shared" si="221"/>
        <v>2008CoE</v>
      </c>
      <c r="CI193" s="108" t="str">
        <f t="shared" si="221"/>
        <v>2009CoE</v>
      </c>
      <c r="CJ193" s="108" t="str">
        <f t="shared" si="221"/>
        <v>2009CoE</v>
      </c>
      <c r="CK193" s="108" t="str">
        <f t="shared" si="221"/>
        <v>2010CoE</v>
      </c>
      <c r="CL193" s="108" t="str">
        <f t="shared" si="221"/>
        <v>2010CoE</v>
      </c>
      <c r="CM193" s="108" t="str">
        <f t="shared" si="221"/>
        <v>2011CoE</v>
      </c>
      <c r="CN193" s="108" t="str">
        <f t="shared" si="221"/>
        <v>2012 CoE</v>
      </c>
      <c r="CO193" s="1"/>
    </row>
    <row r="194" spans="1:93">
      <c r="A194" s="23"/>
      <c r="B194" s="114"/>
      <c r="C194" s="114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</row>
    <row r="195" spans="1:93">
      <c r="A195" s="23"/>
      <c r="B195" s="134" t="s">
        <v>749</v>
      </c>
      <c r="C195" s="135" t="s">
        <v>748</v>
      </c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  <c r="AD195" s="136"/>
      <c r="AE195" s="136"/>
      <c r="AF195" s="23"/>
      <c r="AG195" s="136"/>
      <c r="AH195" s="136"/>
      <c r="AI195" s="136"/>
      <c r="AJ195" s="136"/>
      <c r="AK195" s="136"/>
      <c r="AL195" s="136"/>
      <c r="AM195" s="136"/>
      <c r="AN195" s="136"/>
      <c r="AO195" s="136"/>
      <c r="AP195" s="136"/>
      <c r="AQ195" s="136"/>
      <c r="AR195" s="136"/>
      <c r="AS195" s="136"/>
      <c r="AT195" s="136"/>
      <c r="AU195" s="136"/>
      <c r="AV195" s="136"/>
      <c r="AW195" s="23"/>
      <c r="AX195" s="136"/>
      <c r="AY195" s="136"/>
      <c r="AZ195" s="136"/>
      <c r="BA195" s="136"/>
      <c r="BB195" s="136"/>
      <c r="BC195" s="136"/>
      <c r="BD195" s="136"/>
      <c r="BE195" s="136"/>
      <c r="BF195" s="136"/>
      <c r="BG195" s="136"/>
      <c r="BH195" s="136"/>
      <c r="BI195" s="136"/>
      <c r="BJ195" s="136"/>
      <c r="BK195" s="136"/>
      <c r="BL195" s="136"/>
      <c r="BM195" s="136"/>
      <c r="BN195" s="136"/>
      <c r="BO195" s="136"/>
      <c r="BP195" s="136"/>
      <c r="BQ195" s="136"/>
      <c r="BR195" s="136"/>
      <c r="BS195" s="136"/>
      <c r="BT195" s="136"/>
      <c r="BU195" s="136"/>
      <c r="BV195" s="136"/>
      <c r="BW195" s="136"/>
      <c r="BX195" s="136"/>
      <c r="BY195" s="136"/>
      <c r="BZ195" s="136"/>
      <c r="CA195" s="23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36"/>
      <c r="CM195" s="136"/>
      <c r="CN195" s="136"/>
      <c r="CO195" s="23"/>
    </row>
    <row r="196" spans="1:93">
      <c r="A196" s="23"/>
      <c r="B196" s="158"/>
      <c r="C196" s="114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</row>
    <row r="197" spans="1:93">
      <c r="A197" s="23"/>
      <c r="B197" s="114" t="s">
        <v>221</v>
      </c>
      <c r="C197" s="114" t="s">
        <v>184</v>
      </c>
      <c r="D197" s="114"/>
      <c r="E197" s="114"/>
      <c r="F197" s="114"/>
      <c r="G197" s="114"/>
      <c r="H197" s="114">
        <f t="shared" ref="H197:V197" si="222">H74</f>
        <v>4781</v>
      </c>
      <c r="I197" s="114">
        <f t="shared" si="222"/>
        <v>842</v>
      </c>
      <c r="J197" s="114">
        <f t="shared" si="222"/>
        <v>6474</v>
      </c>
      <c r="K197" s="114">
        <f t="shared" si="222"/>
        <v>7396</v>
      </c>
      <c r="L197" s="114">
        <f t="shared" si="222"/>
        <v>9081</v>
      </c>
      <c r="M197" s="114">
        <f t="shared" si="222"/>
        <v>11967</v>
      </c>
      <c r="N197" s="114">
        <f t="shared" si="222"/>
        <v>13813</v>
      </c>
      <c r="O197" s="114">
        <f t="shared" si="222"/>
        <v>6176</v>
      </c>
      <c r="P197" s="114">
        <f t="shared" si="222"/>
        <v>11382</v>
      </c>
      <c r="Q197" s="114">
        <f t="shared" si="222"/>
        <v>13829</v>
      </c>
      <c r="R197" s="114">
        <f t="shared" si="222"/>
        <v>18506</v>
      </c>
      <c r="S197" s="114">
        <f t="shared" si="222"/>
        <v>12415</v>
      </c>
      <c r="T197" s="114">
        <f t="shared" si="222"/>
        <v>16119</v>
      </c>
      <c r="U197" s="114">
        <f t="shared" si="222"/>
        <v>17280</v>
      </c>
      <c r="V197" s="114">
        <f t="shared" si="222"/>
        <v>22723</v>
      </c>
      <c r="W197" s="114">
        <f t="shared" ref="W197:X197" si="223">W74</f>
        <v>16901</v>
      </c>
      <c r="X197" s="114">
        <f t="shared" si="223"/>
        <v>18363</v>
      </c>
      <c r="Y197" s="114">
        <f t="shared" ref="Y197:Z197" si="224">Y74</f>
        <v>20837</v>
      </c>
      <c r="Z197" s="114">
        <f t="shared" si="224"/>
        <v>18431</v>
      </c>
      <c r="AA197" s="114">
        <f t="shared" ref="AA197:AB197" si="225">AA74</f>
        <v>18438</v>
      </c>
      <c r="AB197" s="114">
        <f t="shared" si="225"/>
        <v>23379</v>
      </c>
      <c r="AC197" s="114">
        <f t="shared" ref="AC197:AD197" si="226">AC74</f>
        <v>29070</v>
      </c>
      <c r="AD197" s="114">
        <f t="shared" si="226"/>
        <v>22414</v>
      </c>
      <c r="AE197" s="114">
        <f t="shared" ref="AE197" si="227">AE74</f>
        <v>33126</v>
      </c>
      <c r="AF197" s="114"/>
      <c r="AG197" s="114"/>
      <c r="AH197" s="114"/>
      <c r="AI197" s="114"/>
      <c r="AJ197" s="114"/>
      <c r="AK197" s="114"/>
      <c r="AL197" s="114"/>
      <c r="AM197" s="114"/>
      <c r="AN197" s="114"/>
      <c r="AO197" s="114"/>
      <c r="AP197" s="114"/>
      <c r="AQ197" s="114"/>
      <c r="AR197" s="114"/>
      <c r="AS197" s="114"/>
      <c r="AT197" s="114"/>
      <c r="AU197" s="114"/>
      <c r="AV197" s="114"/>
      <c r="AW197" s="23"/>
      <c r="AX197" s="114"/>
      <c r="AY197" s="114"/>
      <c r="AZ197" s="114"/>
      <c r="BA197" s="114"/>
      <c r="BB197" s="114"/>
      <c r="BC197" s="114"/>
      <c r="BD197" s="114"/>
      <c r="BE197" s="114"/>
      <c r="BF197" s="114"/>
      <c r="BG197" s="114"/>
      <c r="BH197" s="114"/>
      <c r="BI197" s="114"/>
      <c r="BJ197" s="114"/>
      <c r="BK197" s="114"/>
      <c r="BL197" s="114"/>
      <c r="BM197" s="114"/>
      <c r="BN197" s="114"/>
      <c r="BO197" s="114"/>
      <c r="BP197" s="114"/>
      <c r="BQ197" s="114"/>
      <c r="BR197" s="114"/>
      <c r="BS197" s="114"/>
      <c r="BT197" s="114"/>
      <c r="BU197" s="114"/>
      <c r="BV197" s="114"/>
      <c r="BW197" s="114"/>
      <c r="BX197" s="114"/>
      <c r="BY197" s="114"/>
      <c r="BZ197" s="114"/>
      <c r="CA197" s="114"/>
      <c r="CB197" s="114"/>
      <c r="CC197" s="114"/>
      <c r="CD197" s="114"/>
      <c r="CE197" s="114"/>
      <c r="CF197" s="114"/>
      <c r="CG197" s="114"/>
      <c r="CH197" s="114"/>
      <c r="CI197" s="114"/>
      <c r="CJ197" s="114"/>
      <c r="CK197" s="114"/>
      <c r="CL197" s="114"/>
      <c r="CM197" s="114"/>
      <c r="CN197" s="114"/>
      <c r="CO197" s="23"/>
    </row>
    <row r="198" spans="1:93">
      <c r="A198" s="23"/>
      <c r="B198" s="114"/>
      <c r="C198" s="114"/>
      <c r="D198" s="114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  <c r="AC198" s="114"/>
      <c r="AD198" s="114"/>
      <c r="AE198" s="114"/>
      <c r="AF198" s="114"/>
      <c r="AG198" s="114"/>
      <c r="AH198" s="114"/>
      <c r="AI198" s="114"/>
      <c r="AJ198" s="114"/>
      <c r="AK198" s="114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23"/>
      <c r="AX198" s="114"/>
      <c r="AY198" s="114"/>
      <c r="AZ198" s="114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4"/>
      <c r="BX198" s="114"/>
      <c r="BY198" s="114"/>
      <c r="BZ198" s="114"/>
      <c r="CA198" s="114"/>
      <c r="CB198" s="114"/>
      <c r="CC198" s="114"/>
      <c r="CD198" s="114"/>
      <c r="CE198" s="114"/>
      <c r="CF198" s="114"/>
      <c r="CG198" s="114"/>
      <c r="CH198" s="114"/>
      <c r="CI198" s="114"/>
      <c r="CJ198" s="114"/>
      <c r="CK198" s="114"/>
      <c r="CL198" s="114"/>
      <c r="CM198" s="114"/>
      <c r="CN198" s="114"/>
      <c r="CO198" s="23"/>
    </row>
    <row r="199" spans="1:93">
      <c r="A199" s="23"/>
      <c r="B199" s="23" t="s">
        <v>74</v>
      </c>
      <c r="C199" s="23" t="s">
        <v>73</v>
      </c>
      <c r="D199" s="23"/>
      <c r="E199" s="23"/>
      <c r="F199" s="23"/>
      <c r="G199" s="23"/>
      <c r="H199" s="23">
        <f t="shared" ref="H199:V199" si="228">-H67</f>
        <v>-491</v>
      </c>
      <c r="I199" s="23">
        <f t="shared" si="228"/>
        <v>-312</v>
      </c>
      <c r="J199" s="23">
        <f t="shared" si="228"/>
        <v>-756</v>
      </c>
      <c r="K199" s="23">
        <f t="shared" si="228"/>
        <v>-667</v>
      </c>
      <c r="L199" s="23">
        <f t="shared" si="228"/>
        <v>-852</v>
      </c>
      <c r="M199" s="23">
        <f t="shared" si="228"/>
        <v>1458</v>
      </c>
      <c r="N199" s="23">
        <f t="shared" si="228"/>
        <v>1157</v>
      </c>
      <c r="O199" s="23">
        <f t="shared" si="228"/>
        <v>915</v>
      </c>
      <c r="P199" s="23">
        <f t="shared" si="228"/>
        <v>1150</v>
      </c>
      <c r="Q199" s="23">
        <f t="shared" si="228"/>
        <v>587</v>
      </c>
      <c r="R199" s="23">
        <f t="shared" si="228"/>
        <v>796</v>
      </c>
      <c r="S199" s="23">
        <f t="shared" si="228"/>
        <v>648</v>
      </c>
      <c r="T199" s="23">
        <f t="shared" si="228"/>
        <v>523</v>
      </c>
      <c r="U199" s="23">
        <f t="shared" si="228"/>
        <v>486</v>
      </c>
      <c r="V199" s="23">
        <f t="shared" si="228"/>
        <v>556</v>
      </c>
      <c r="W199" s="23">
        <f t="shared" ref="W199:X199" si="229">-W67</f>
        <v>483</v>
      </c>
      <c r="X199" s="23">
        <f t="shared" si="229"/>
        <v>856</v>
      </c>
      <c r="Y199" s="23">
        <f t="shared" ref="Y199:Z199" si="230">-Y67</f>
        <v>387</v>
      </c>
      <c r="Z199" s="23">
        <f t="shared" si="230"/>
        <v>380</v>
      </c>
      <c r="AA199" s="23">
        <f t="shared" ref="AA199:AB199" si="231">-AA67</f>
        <v>513</v>
      </c>
      <c r="AB199" s="23">
        <f t="shared" si="231"/>
        <v>496</v>
      </c>
      <c r="AC199" s="23">
        <f t="shared" ref="AC199:AD199" si="232">-AC67</f>
        <v>540</v>
      </c>
      <c r="AD199" s="23">
        <f t="shared" si="232"/>
        <v>600</v>
      </c>
      <c r="AE199" s="23">
        <f t="shared" ref="AE199" si="233">-AE67</f>
        <v>368</v>
      </c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</row>
    <row r="200" spans="1:93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</row>
    <row r="201" spans="1:93">
      <c r="A201" s="23"/>
      <c r="B201" s="23" t="s">
        <v>747</v>
      </c>
      <c r="C201" s="23" t="s">
        <v>71</v>
      </c>
      <c r="D201" s="23"/>
      <c r="E201" s="23"/>
      <c r="F201" s="23"/>
      <c r="G201" s="23"/>
      <c r="H201" s="23">
        <f t="shared" ref="H201:V201" si="234">-H31</f>
        <v>891</v>
      </c>
      <c r="I201" s="23">
        <f t="shared" si="234"/>
        <v>888</v>
      </c>
      <c r="J201" s="23">
        <f t="shared" si="234"/>
        <v>927</v>
      </c>
      <c r="K201" s="23">
        <f t="shared" si="234"/>
        <v>1054</v>
      </c>
      <c r="L201" s="23">
        <f t="shared" si="234"/>
        <v>1139</v>
      </c>
      <c r="M201" s="23">
        <f t="shared" si="234"/>
        <v>1174</v>
      </c>
      <c r="N201" s="23">
        <f t="shared" si="234"/>
        <v>1439</v>
      </c>
      <c r="O201" s="23">
        <f t="shared" si="234"/>
        <v>8901</v>
      </c>
      <c r="P201" s="23">
        <f t="shared" si="234"/>
        <v>8560</v>
      </c>
      <c r="Q201" s="23">
        <f t="shared" si="234"/>
        <v>8606</v>
      </c>
      <c r="R201" s="23">
        <f t="shared" si="234"/>
        <v>8957</v>
      </c>
      <c r="S201" s="23">
        <f t="shared" si="234"/>
        <v>10633</v>
      </c>
      <c r="T201" s="23">
        <f t="shared" si="234"/>
        <v>10206</v>
      </c>
      <c r="U201" s="23">
        <f t="shared" si="234"/>
        <v>10945</v>
      </c>
      <c r="V201" s="23">
        <f t="shared" si="234"/>
        <v>10615</v>
      </c>
      <c r="W201" s="23">
        <f t="shared" ref="W201:X201" si="235">-W31</f>
        <v>11608</v>
      </c>
      <c r="X201" s="23">
        <f t="shared" si="235"/>
        <v>11226</v>
      </c>
      <c r="Y201" s="23">
        <f t="shared" ref="Y201:Z201" si="236">-Y31</f>
        <v>11946</v>
      </c>
      <c r="Z201" s="23">
        <f t="shared" si="236"/>
        <v>12301</v>
      </c>
      <c r="AA201" s="23">
        <f t="shared" ref="AA201:AB201" si="237">-AA31</f>
        <v>13842</v>
      </c>
      <c r="AB201" s="23">
        <f t="shared" si="237"/>
        <v>14780</v>
      </c>
      <c r="AC201" s="23">
        <f t="shared" ref="AC201:AD201" si="238">-AC31</f>
        <v>15009</v>
      </c>
      <c r="AD201" s="23">
        <f t="shared" si="238"/>
        <v>15274</v>
      </c>
      <c r="AE201" s="23">
        <f t="shared" ref="AE201" si="239">-AE31</f>
        <v>15999</v>
      </c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</row>
    <row r="202" spans="1:93">
      <c r="A202" s="23"/>
      <c r="B202" s="23" t="s">
        <v>746</v>
      </c>
      <c r="C202" s="23" t="s">
        <v>71</v>
      </c>
      <c r="D202" s="23"/>
      <c r="E202" s="23"/>
      <c r="F202" s="23"/>
      <c r="G202" s="23"/>
      <c r="H202" s="23">
        <f t="shared" ref="H202:V202" si="240">-H32</f>
        <v>0</v>
      </c>
      <c r="I202" s="23">
        <f t="shared" si="240"/>
        <v>0</v>
      </c>
      <c r="J202" s="23">
        <f t="shared" si="240"/>
        <v>0</v>
      </c>
      <c r="K202" s="23">
        <f t="shared" si="240"/>
        <v>0</v>
      </c>
      <c r="L202" s="23">
        <f t="shared" si="240"/>
        <v>0</v>
      </c>
      <c r="M202" s="23">
        <f t="shared" si="240"/>
        <v>0</v>
      </c>
      <c r="N202" s="23">
        <f t="shared" si="240"/>
        <v>0</v>
      </c>
      <c r="O202" s="23">
        <f t="shared" si="240"/>
        <v>64</v>
      </c>
      <c r="P202" s="23">
        <f t="shared" si="240"/>
        <v>38</v>
      </c>
      <c r="Q202" s="23">
        <f t="shared" si="240"/>
        <v>39</v>
      </c>
      <c r="R202" s="23">
        <f t="shared" si="240"/>
        <v>51</v>
      </c>
      <c r="S202" s="23">
        <f t="shared" si="240"/>
        <v>51</v>
      </c>
      <c r="T202" s="23">
        <f t="shared" si="240"/>
        <v>20</v>
      </c>
      <c r="U202" s="23">
        <f t="shared" si="240"/>
        <v>150</v>
      </c>
      <c r="V202" s="23">
        <f t="shared" si="240"/>
        <v>150</v>
      </c>
      <c r="W202" s="23">
        <f t="shared" ref="W202:X202" si="241">-W32</f>
        <v>75</v>
      </c>
      <c r="X202" s="23">
        <f t="shared" si="241"/>
        <v>0</v>
      </c>
      <c r="Y202" s="23">
        <f t="shared" ref="Y202:Z202" si="242">-Y32</f>
        <v>0</v>
      </c>
      <c r="Z202" s="23">
        <f t="shared" si="242"/>
        <v>0</v>
      </c>
      <c r="AA202" s="23">
        <f t="shared" ref="AA202:AB202" si="243">-AA32</f>
        <v>0</v>
      </c>
      <c r="AB202" s="23">
        <f t="shared" si="243"/>
        <v>0</v>
      </c>
      <c r="AC202" s="23">
        <f t="shared" ref="AC202:AD202" si="244">-AC32</f>
        <v>0</v>
      </c>
      <c r="AD202" s="23">
        <f t="shared" si="244"/>
        <v>0</v>
      </c>
      <c r="AE202" s="23">
        <f t="shared" ref="AE202" si="245">-AE32</f>
        <v>0</v>
      </c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</row>
    <row r="203" spans="1:93">
      <c r="A203" s="171"/>
      <c r="B203" s="124" t="s">
        <v>745</v>
      </c>
      <c r="C203" s="124" t="s">
        <v>744</v>
      </c>
      <c r="D203" s="124"/>
      <c r="E203" s="124"/>
      <c r="F203" s="124"/>
      <c r="G203" s="124"/>
      <c r="H203" s="124">
        <f t="shared" ref="H203:V203" si="246">SUM(H201:H202)</f>
        <v>891</v>
      </c>
      <c r="I203" s="124">
        <f t="shared" si="246"/>
        <v>888</v>
      </c>
      <c r="J203" s="124">
        <f t="shared" si="246"/>
        <v>927</v>
      </c>
      <c r="K203" s="124">
        <f t="shared" si="246"/>
        <v>1054</v>
      </c>
      <c r="L203" s="124">
        <f t="shared" si="246"/>
        <v>1139</v>
      </c>
      <c r="M203" s="124">
        <f t="shared" si="246"/>
        <v>1174</v>
      </c>
      <c r="N203" s="124">
        <f t="shared" si="246"/>
        <v>1439</v>
      </c>
      <c r="O203" s="124">
        <f t="shared" si="246"/>
        <v>8965</v>
      </c>
      <c r="P203" s="124">
        <f t="shared" si="246"/>
        <v>8598</v>
      </c>
      <c r="Q203" s="124">
        <f t="shared" si="246"/>
        <v>8645</v>
      </c>
      <c r="R203" s="124">
        <f t="shared" si="246"/>
        <v>9008</v>
      </c>
      <c r="S203" s="124">
        <f t="shared" si="246"/>
        <v>10684</v>
      </c>
      <c r="T203" s="124">
        <f t="shared" si="246"/>
        <v>10226</v>
      </c>
      <c r="U203" s="124">
        <f t="shared" si="246"/>
        <v>11095</v>
      </c>
      <c r="V203" s="124">
        <f t="shared" si="246"/>
        <v>10765</v>
      </c>
      <c r="W203" s="124">
        <f t="shared" ref="W203:X203" si="247">SUM(W201:W202)</f>
        <v>11683</v>
      </c>
      <c r="X203" s="124">
        <f t="shared" si="247"/>
        <v>11226</v>
      </c>
      <c r="Y203" s="124">
        <f t="shared" ref="Y203:Z203" si="248">SUM(Y201:Y202)</f>
        <v>11946</v>
      </c>
      <c r="Z203" s="124">
        <f t="shared" si="248"/>
        <v>12301</v>
      </c>
      <c r="AA203" s="124">
        <f t="shared" ref="AA203:AB203" si="249">SUM(AA201:AA202)</f>
        <v>13842</v>
      </c>
      <c r="AB203" s="124">
        <f t="shared" si="249"/>
        <v>14780</v>
      </c>
      <c r="AC203" s="124">
        <f t="shared" ref="AC203:AD203" si="250">SUM(AC201:AC202)</f>
        <v>15009</v>
      </c>
      <c r="AD203" s="124">
        <f t="shared" si="250"/>
        <v>15274</v>
      </c>
      <c r="AE203" s="124">
        <f t="shared" ref="AE203" si="251">SUM(AE201:AE202)</f>
        <v>15999</v>
      </c>
      <c r="AF203" s="11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1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14"/>
      <c r="CB203" s="124"/>
      <c r="CC203" s="124"/>
      <c r="CD203" s="124"/>
      <c r="CE203" s="124"/>
      <c r="CF203" s="124"/>
      <c r="CG203" s="124"/>
      <c r="CH203" s="124"/>
      <c r="CI203" s="124"/>
      <c r="CJ203" s="124"/>
      <c r="CK203" s="124"/>
      <c r="CL203" s="124"/>
      <c r="CM203" s="124"/>
      <c r="CN203" s="124"/>
      <c r="CO203" s="114"/>
    </row>
    <row r="204" spans="1:93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</row>
    <row r="205" spans="1:93">
      <c r="A205" s="114"/>
      <c r="B205" s="114" t="s">
        <v>743</v>
      </c>
      <c r="C205" s="114" t="s">
        <v>67</v>
      </c>
      <c r="D205" s="114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  <c r="AB205" s="114"/>
      <c r="AC205" s="114"/>
      <c r="AD205" s="114"/>
      <c r="AE205" s="114"/>
      <c r="AF205" s="114"/>
      <c r="AG205" s="114"/>
      <c r="AH205" s="114"/>
      <c r="AI205" s="114"/>
      <c r="AJ205" s="114"/>
      <c r="AK205" s="114"/>
      <c r="AL205" s="114"/>
      <c r="AM205" s="114"/>
      <c r="AN205" s="114"/>
      <c r="AO205" s="114"/>
      <c r="AP205" s="114"/>
      <c r="AQ205" s="114"/>
      <c r="AR205" s="114"/>
      <c r="AS205" s="114"/>
      <c r="AT205" s="114"/>
      <c r="AU205" s="114"/>
      <c r="AV205" s="114"/>
      <c r="AW205" s="114"/>
      <c r="AX205" s="114"/>
      <c r="AY205" s="114"/>
      <c r="AZ205" s="114"/>
      <c r="BA205" s="114"/>
      <c r="BB205" s="114"/>
      <c r="BC205" s="114"/>
      <c r="BD205" s="114"/>
      <c r="BE205" s="114"/>
      <c r="BF205" s="114"/>
      <c r="BG205" s="114"/>
      <c r="BH205" s="114"/>
      <c r="BI205" s="114"/>
      <c r="BJ205" s="114"/>
      <c r="BK205" s="114"/>
      <c r="BL205" s="114"/>
      <c r="BM205" s="114"/>
      <c r="BN205" s="114"/>
      <c r="BO205" s="114"/>
      <c r="BP205" s="114"/>
      <c r="BQ205" s="114"/>
      <c r="BR205" s="114"/>
      <c r="BS205" s="114"/>
      <c r="BT205" s="114"/>
      <c r="BU205" s="114"/>
      <c r="BV205" s="114"/>
      <c r="BW205" s="114"/>
      <c r="BX205" s="114"/>
      <c r="BY205" s="114"/>
      <c r="BZ205" s="114"/>
      <c r="CA205" s="114"/>
      <c r="CB205" s="114"/>
      <c r="CC205" s="114"/>
      <c r="CD205" s="114"/>
      <c r="CE205" s="114"/>
      <c r="CF205" s="114"/>
      <c r="CG205" s="114"/>
      <c r="CH205" s="114"/>
      <c r="CI205" s="114"/>
      <c r="CJ205" s="114"/>
      <c r="CK205" s="114"/>
      <c r="CL205" s="114"/>
      <c r="CM205" s="114"/>
      <c r="CN205" s="114"/>
      <c r="CO205" s="114"/>
    </row>
    <row r="206" spans="1:93">
      <c r="A206" s="172"/>
      <c r="B206" s="158"/>
      <c r="C206" s="114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</row>
    <row r="207" spans="1:93">
      <c r="A207" s="23"/>
      <c r="B207" s="23" t="s">
        <v>742</v>
      </c>
      <c r="C207" s="23" t="s">
        <v>741</v>
      </c>
      <c r="D207" s="23"/>
      <c r="E207" s="121"/>
      <c r="F207" s="121"/>
      <c r="G207" s="121"/>
      <c r="H207" s="121">
        <v>4172</v>
      </c>
      <c r="I207" s="121">
        <v>-4542</v>
      </c>
      <c r="J207" s="121">
        <v>1832</v>
      </c>
      <c r="K207" s="121">
        <v>2558</v>
      </c>
      <c r="L207" s="121">
        <v>726</v>
      </c>
      <c r="M207" s="121">
        <v>-848</v>
      </c>
      <c r="N207" s="121">
        <v>-1192</v>
      </c>
      <c r="O207" s="121">
        <v>-591</v>
      </c>
      <c r="P207" s="121">
        <v>3708</v>
      </c>
      <c r="Q207" s="121">
        <v>-102</v>
      </c>
      <c r="R207" s="121">
        <v>83</v>
      </c>
      <c r="S207" s="121">
        <v>-1028</v>
      </c>
      <c r="T207" s="121">
        <v>-8838</v>
      </c>
      <c r="U207" s="121">
        <v>3108</v>
      </c>
      <c r="V207" s="23">
        <v>-556</v>
      </c>
      <c r="W207" s="23">
        <v>2629</v>
      </c>
      <c r="X207" s="23">
        <v>-2300</v>
      </c>
      <c r="Y207" s="23">
        <v>-1426</v>
      </c>
      <c r="Z207" s="23">
        <v>-3993</v>
      </c>
      <c r="AA207" s="23">
        <v>-127</v>
      </c>
      <c r="AB207" s="122">
        <v>-2754</v>
      </c>
      <c r="AC207" s="122">
        <v>5607</v>
      </c>
      <c r="AD207" s="122">
        <v>-4821</v>
      </c>
      <c r="AE207" s="122">
        <v>-2324</v>
      </c>
      <c r="AF207" s="23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23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</row>
    <row r="208" spans="1:93">
      <c r="A208" s="23"/>
      <c r="B208" s="23" t="s">
        <v>740</v>
      </c>
      <c r="C208" s="23" t="s">
        <v>739</v>
      </c>
      <c r="D208" s="23"/>
      <c r="E208" s="121"/>
      <c r="F208" s="121"/>
      <c r="G208" s="121"/>
      <c r="H208" s="121">
        <v>911</v>
      </c>
      <c r="I208" s="121">
        <v>-776</v>
      </c>
      <c r="J208" s="121">
        <v>-199</v>
      </c>
      <c r="K208" s="121">
        <v>-2554</v>
      </c>
      <c r="L208" s="121">
        <v>2461</v>
      </c>
      <c r="M208" s="121">
        <v>-766</v>
      </c>
      <c r="N208" s="121">
        <v>-126</v>
      </c>
      <c r="O208" s="121">
        <v>1301</v>
      </c>
      <c r="P208" s="121">
        <v>797</v>
      </c>
      <c r="Q208" s="121">
        <v>-1056</v>
      </c>
      <c r="R208" s="121">
        <v>2539</v>
      </c>
      <c r="S208" s="121">
        <v>-291</v>
      </c>
      <c r="T208" s="121">
        <v>-4677</v>
      </c>
      <c r="U208" s="121">
        <v>1085</v>
      </c>
      <c r="V208" s="23">
        <v>-1749</v>
      </c>
      <c r="W208" s="23">
        <v>84</v>
      </c>
      <c r="X208" s="23">
        <v>-440</v>
      </c>
      <c r="Y208" s="23">
        <v>706</v>
      </c>
      <c r="Z208" s="23">
        <v>1645</v>
      </c>
      <c r="AA208" s="23">
        <v>299</v>
      </c>
      <c r="AB208" s="122">
        <v>-346</v>
      </c>
      <c r="AC208" s="122">
        <v>299</v>
      </c>
      <c r="AD208" s="122">
        <v>-1424</v>
      </c>
      <c r="AE208" s="122">
        <v>-7433</v>
      </c>
      <c r="AF208" s="23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23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</row>
    <row r="209" spans="1:93">
      <c r="A209" s="23"/>
      <c r="B209" s="23" t="s">
        <v>738</v>
      </c>
      <c r="C209" s="23" t="s">
        <v>737</v>
      </c>
      <c r="D209" s="23"/>
      <c r="E209" s="121"/>
      <c r="F209" s="121"/>
      <c r="G209" s="121"/>
      <c r="H209" s="121">
        <v>-4631</v>
      </c>
      <c r="I209" s="121">
        <v>204</v>
      </c>
      <c r="J209" s="121">
        <v>-2531</v>
      </c>
      <c r="K209" s="121">
        <v>912</v>
      </c>
      <c r="L209" s="121">
        <v>-583</v>
      </c>
      <c r="M209" s="121">
        <v>-84</v>
      </c>
      <c r="N209" s="121">
        <v>1183</v>
      </c>
      <c r="O209" s="121">
        <v>-606</v>
      </c>
      <c r="P209" s="121">
        <v>617</v>
      </c>
      <c r="Q209" s="121">
        <v>861</v>
      </c>
      <c r="R209" s="121">
        <v>-1629</v>
      </c>
      <c r="S209" s="121">
        <v>363</v>
      </c>
      <c r="T209" s="121">
        <v>3108</v>
      </c>
      <c r="U209" s="121">
        <v>-544</v>
      </c>
      <c r="V209" s="23">
        <v>1225</v>
      </c>
      <c r="W209" s="23">
        <v>38</v>
      </c>
      <c r="X209" s="23">
        <v>-628</v>
      </c>
      <c r="Y209" s="23">
        <v>369</v>
      </c>
      <c r="Z209" s="23">
        <v>1773</v>
      </c>
      <c r="AA209" s="23">
        <v>181</v>
      </c>
      <c r="AB209" s="122">
        <v>-733</v>
      </c>
      <c r="AC209" s="122">
        <v>-747</v>
      </c>
      <c r="AD209" s="122">
        <v>3393</v>
      </c>
      <c r="AE209" s="122">
        <v>3532</v>
      </c>
      <c r="AF209" s="23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23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</row>
    <row r="210" spans="1:93">
      <c r="A210" s="114"/>
      <c r="B210" s="124" t="s">
        <v>736</v>
      </c>
      <c r="C210" s="124" t="s">
        <v>735</v>
      </c>
      <c r="D210" s="124"/>
      <c r="E210" s="124"/>
      <c r="F210" s="124"/>
      <c r="G210" s="124"/>
      <c r="H210" s="124">
        <f t="shared" ref="H210:V210" si="252">H208+H207+H209</f>
        <v>452</v>
      </c>
      <c r="I210" s="124">
        <f t="shared" si="252"/>
        <v>-5114</v>
      </c>
      <c r="J210" s="124">
        <f t="shared" si="252"/>
        <v>-898</v>
      </c>
      <c r="K210" s="124">
        <f t="shared" si="252"/>
        <v>916</v>
      </c>
      <c r="L210" s="124">
        <f t="shared" si="252"/>
        <v>2604</v>
      </c>
      <c r="M210" s="124">
        <f t="shared" si="252"/>
        <v>-1698</v>
      </c>
      <c r="N210" s="124">
        <f t="shared" si="252"/>
        <v>-135</v>
      </c>
      <c r="O210" s="124">
        <f t="shared" si="252"/>
        <v>104</v>
      </c>
      <c r="P210" s="124">
        <f t="shared" si="252"/>
        <v>5122</v>
      </c>
      <c r="Q210" s="124">
        <f t="shared" si="252"/>
        <v>-297</v>
      </c>
      <c r="R210" s="124">
        <f t="shared" si="252"/>
        <v>993</v>
      </c>
      <c r="S210" s="124">
        <f t="shared" si="252"/>
        <v>-956</v>
      </c>
      <c r="T210" s="124">
        <f t="shared" si="252"/>
        <v>-10407</v>
      </c>
      <c r="U210" s="124">
        <f t="shared" si="252"/>
        <v>3649</v>
      </c>
      <c r="V210" s="124">
        <f t="shared" si="252"/>
        <v>-1080</v>
      </c>
      <c r="W210" s="124">
        <f t="shared" ref="W210:X210" si="253">W208+W207+W209</f>
        <v>2751</v>
      </c>
      <c r="X210" s="124">
        <f t="shared" si="253"/>
        <v>-3368</v>
      </c>
      <c r="Y210" s="124">
        <f t="shared" ref="Y210:Z210" si="254">Y208+Y207+Y209</f>
        <v>-351</v>
      </c>
      <c r="Z210" s="124">
        <f t="shared" si="254"/>
        <v>-575</v>
      </c>
      <c r="AA210" s="124">
        <f t="shared" ref="AA210:AB210" si="255">AA208+AA207+AA209</f>
        <v>353</v>
      </c>
      <c r="AB210" s="124">
        <f t="shared" si="255"/>
        <v>-3833</v>
      </c>
      <c r="AC210" s="124">
        <f t="shared" ref="AC210:AD210" si="256">AC208+AC207+AC209</f>
        <v>5159</v>
      </c>
      <c r="AD210" s="124">
        <f t="shared" si="256"/>
        <v>-2852</v>
      </c>
      <c r="AE210" s="124">
        <f t="shared" ref="AE210" si="257">AE208+AE207+AE209</f>
        <v>-6225</v>
      </c>
      <c r="AF210" s="11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1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14"/>
      <c r="CB210" s="124"/>
      <c r="CC210" s="124"/>
      <c r="CD210" s="124"/>
      <c r="CE210" s="124"/>
      <c r="CF210" s="124"/>
      <c r="CG210" s="124"/>
      <c r="CH210" s="124"/>
      <c r="CI210" s="124"/>
      <c r="CJ210" s="124"/>
      <c r="CK210" s="124"/>
      <c r="CL210" s="124"/>
      <c r="CM210" s="124"/>
      <c r="CN210" s="124"/>
      <c r="CO210" s="114"/>
    </row>
    <row r="211" spans="1:93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</row>
    <row r="212" spans="1:93">
      <c r="A212" s="114"/>
      <c r="B212" s="173" t="s">
        <v>58</v>
      </c>
      <c r="C212" s="174" t="s">
        <v>57</v>
      </c>
      <c r="D212" s="114"/>
      <c r="E212" s="114"/>
      <c r="F212" s="114"/>
      <c r="G212" s="114"/>
      <c r="H212" s="114">
        <f t="shared" ref="H212:V212" si="258">H214-H197-H199-H203-H205-H210</f>
        <v>12495</v>
      </c>
      <c r="I212" s="114">
        <f t="shared" si="258"/>
        <v>20489</v>
      </c>
      <c r="J212" s="114">
        <f t="shared" si="258"/>
        <v>11216</v>
      </c>
      <c r="K212" s="114">
        <f t="shared" si="258"/>
        <v>13160</v>
      </c>
      <c r="L212" s="114">
        <f t="shared" si="258"/>
        <v>9821</v>
      </c>
      <c r="M212" s="114">
        <f t="shared" si="258"/>
        <v>4207</v>
      </c>
      <c r="N212" s="114">
        <f t="shared" si="258"/>
        <v>7591</v>
      </c>
      <c r="O212" s="114">
        <f t="shared" si="258"/>
        <v>4546</v>
      </c>
      <c r="P212" s="114">
        <f t="shared" si="258"/>
        <v>-820</v>
      </c>
      <c r="Q212" s="114">
        <f t="shared" si="258"/>
        <v>4462</v>
      </c>
      <c r="R212" s="114">
        <f t="shared" si="258"/>
        <v>-49</v>
      </c>
      <c r="S212" s="114">
        <f t="shared" si="258"/>
        <v>5329</v>
      </c>
      <c r="T212" s="114">
        <f t="shared" si="258"/>
        <v>3049</v>
      </c>
      <c r="U212" s="114">
        <f t="shared" si="258"/>
        <v>857</v>
      </c>
      <c r="V212" s="114">
        <f t="shared" si="258"/>
        <v>-3587</v>
      </c>
      <c r="W212" s="114">
        <f t="shared" ref="W212:X212" si="259">W214-W197-W199-W203-W205-W210</f>
        <v>823</v>
      </c>
      <c r="X212" s="114">
        <f t="shared" si="259"/>
        <v>6185</v>
      </c>
      <c r="Y212" s="114">
        <f t="shared" ref="Y212:Z212" si="260">Y214-Y197-Y199-Y203-Y205-Y210</f>
        <v>825</v>
      </c>
      <c r="Z212" s="114">
        <f t="shared" si="260"/>
        <v>-1167</v>
      </c>
      <c r="AA212" s="114">
        <f t="shared" ref="AA212:AB212" si="261">AA214-AA197-AA199-AA203-AA205-AA210</f>
        <v>-2118</v>
      </c>
      <c r="AB212" s="114">
        <f t="shared" si="261"/>
        <v>12870</v>
      </c>
      <c r="AC212" s="114">
        <f t="shared" ref="AC212:AD212" si="262">AC214-AC197-AC199-AC203-AC205-AC210</f>
        <v>-1995</v>
      </c>
      <c r="AD212" s="114">
        <f t="shared" si="262"/>
        <v>-2143</v>
      </c>
      <c r="AE212" s="114">
        <f t="shared" ref="AE212" si="263">AE214-AE197-AE199-AE203-AE205-AE210</f>
        <v>-1237</v>
      </c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114"/>
      <c r="BH212" s="114"/>
      <c r="BI212" s="114"/>
      <c r="BJ212" s="114"/>
      <c r="BK212" s="114"/>
      <c r="BL212" s="114"/>
      <c r="BM212" s="114"/>
      <c r="BN212" s="114"/>
      <c r="BO212" s="114"/>
      <c r="BP212" s="114"/>
      <c r="BQ212" s="114"/>
      <c r="BR212" s="114"/>
      <c r="BS212" s="114"/>
      <c r="BT212" s="114"/>
      <c r="BU212" s="114"/>
      <c r="BV212" s="114"/>
      <c r="BW212" s="114"/>
      <c r="BX212" s="114"/>
      <c r="BY212" s="114"/>
      <c r="BZ212" s="114"/>
      <c r="CA212" s="114"/>
      <c r="CB212" s="114"/>
      <c r="CC212" s="114"/>
      <c r="CD212" s="114"/>
      <c r="CE212" s="114"/>
      <c r="CF212" s="114"/>
      <c r="CG212" s="114"/>
      <c r="CH212" s="114"/>
      <c r="CI212" s="114"/>
      <c r="CJ212" s="114"/>
      <c r="CK212" s="114"/>
      <c r="CL212" s="114"/>
      <c r="CM212" s="114"/>
      <c r="CN212" s="114"/>
      <c r="CO212" s="114"/>
    </row>
    <row r="213" spans="1:9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</row>
    <row r="214" spans="1:93">
      <c r="A214" s="23"/>
      <c r="B214" s="175" t="s">
        <v>734</v>
      </c>
      <c r="C214" s="175" t="s">
        <v>733</v>
      </c>
      <c r="D214" s="175"/>
      <c r="E214" s="176"/>
      <c r="F214" s="176"/>
      <c r="G214" s="176"/>
      <c r="H214" s="176">
        <v>18128</v>
      </c>
      <c r="I214" s="176">
        <v>16793</v>
      </c>
      <c r="J214" s="176">
        <v>16963</v>
      </c>
      <c r="K214" s="176">
        <v>21859</v>
      </c>
      <c r="L214" s="176">
        <v>21793</v>
      </c>
      <c r="M214" s="176">
        <v>17108</v>
      </c>
      <c r="N214" s="176">
        <v>23865</v>
      </c>
      <c r="O214" s="176">
        <v>20706</v>
      </c>
      <c r="P214" s="176">
        <v>25432</v>
      </c>
      <c r="Q214" s="176">
        <v>27226</v>
      </c>
      <c r="R214" s="176">
        <v>29254</v>
      </c>
      <c r="S214" s="176">
        <v>28120</v>
      </c>
      <c r="T214" s="176">
        <v>19510</v>
      </c>
      <c r="U214" s="176">
        <v>33367</v>
      </c>
      <c r="V214" s="175">
        <v>29377</v>
      </c>
      <c r="W214" s="175">
        <v>32641</v>
      </c>
      <c r="X214" s="175">
        <v>33262</v>
      </c>
      <c r="Y214" s="175">
        <v>33644</v>
      </c>
      <c r="Z214" s="175">
        <v>29370</v>
      </c>
      <c r="AA214" s="175">
        <v>31028</v>
      </c>
      <c r="AB214" s="177">
        <v>47692</v>
      </c>
      <c r="AC214" s="177">
        <v>47783</v>
      </c>
      <c r="AD214" s="177">
        <v>33293</v>
      </c>
      <c r="AE214" s="177">
        <v>42031</v>
      </c>
      <c r="AF214" s="114"/>
      <c r="AG214" s="176"/>
      <c r="AH214" s="176"/>
      <c r="AI214" s="176"/>
      <c r="AJ214" s="176"/>
      <c r="AK214" s="176"/>
      <c r="AL214" s="176"/>
      <c r="AM214" s="176"/>
      <c r="AN214" s="176"/>
      <c r="AO214" s="176"/>
      <c r="AP214" s="176"/>
      <c r="AQ214" s="176"/>
      <c r="AR214" s="176"/>
      <c r="AS214" s="176"/>
      <c r="AT214" s="176"/>
      <c r="AU214" s="176"/>
      <c r="AV214" s="176"/>
      <c r="AW214" s="23"/>
      <c r="AX214" s="176"/>
      <c r="AY214" s="176"/>
      <c r="AZ214" s="176"/>
      <c r="BA214" s="176"/>
      <c r="BB214" s="176"/>
      <c r="BC214" s="176"/>
      <c r="BD214" s="176"/>
      <c r="BE214" s="176"/>
      <c r="BF214" s="176"/>
      <c r="BG214" s="176"/>
      <c r="BH214" s="176"/>
      <c r="BI214" s="176"/>
      <c r="BJ214" s="176"/>
      <c r="BK214" s="176"/>
      <c r="BL214" s="176"/>
      <c r="BM214" s="176"/>
      <c r="BN214" s="176"/>
      <c r="BO214" s="176"/>
      <c r="BP214" s="176"/>
      <c r="BQ214" s="176"/>
      <c r="BR214" s="176"/>
      <c r="BS214" s="176"/>
      <c r="BT214" s="176"/>
      <c r="BU214" s="176"/>
      <c r="BV214" s="176"/>
      <c r="BW214" s="176"/>
      <c r="BX214" s="176"/>
      <c r="BY214" s="176"/>
      <c r="BZ214" s="176"/>
      <c r="CA214" s="114"/>
      <c r="CB214" s="176"/>
      <c r="CC214" s="176"/>
      <c r="CD214" s="176"/>
      <c r="CE214" s="176"/>
      <c r="CF214" s="176"/>
      <c r="CG214" s="176"/>
      <c r="CH214" s="176"/>
      <c r="CI214" s="176"/>
      <c r="CJ214" s="176"/>
      <c r="CK214" s="176"/>
      <c r="CL214" s="176"/>
      <c r="CM214" s="175"/>
      <c r="CN214" s="175"/>
      <c r="CO214" s="23"/>
    </row>
    <row r="215" spans="1:93" ht="12">
      <c r="A215" s="118"/>
      <c r="B215" s="117" t="s">
        <v>626</v>
      </c>
      <c r="C215" s="118"/>
      <c r="D215" s="117"/>
      <c r="E215" s="117"/>
      <c r="F215" s="117"/>
      <c r="G215" s="117"/>
      <c r="H215" s="117">
        <f>Model!H204-H214</f>
        <v>0</v>
      </c>
      <c r="I215" s="117">
        <f>Model!I204-I214</f>
        <v>0</v>
      </c>
      <c r="J215" s="117">
        <f>Model!J204-J214</f>
        <v>0</v>
      </c>
      <c r="K215" s="117">
        <f>Model!K204-K214</f>
        <v>0</v>
      </c>
      <c r="L215" s="117">
        <f>Model!L204-L214</f>
        <v>0</v>
      </c>
      <c r="M215" s="117">
        <f>Model!M204-M214</f>
        <v>0</v>
      </c>
      <c r="N215" s="117">
        <f>Model!N204-N214</f>
        <v>0</v>
      </c>
      <c r="O215" s="117">
        <f>Model!O204-O214</f>
        <v>0</v>
      </c>
      <c r="P215" s="117">
        <f>Model!P204-P214</f>
        <v>0</v>
      </c>
      <c r="Q215" s="117">
        <f>Model!Q204-Q214</f>
        <v>0</v>
      </c>
      <c r="R215" s="117">
        <f>Model!R204-R214</f>
        <v>0</v>
      </c>
      <c r="S215" s="117">
        <f>Model!S204-S214</f>
        <v>0</v>
      </c>
      <c r="T215" s="117">
        <f>Model!T204-T214</f>
        <v>0</v>
      </c>
      <c r="U215" s="117">
        <f>Model!U204-U214</f>
        <v>0</v>
      </c>
      <c r="V215" s="117">
        <f>Model!V204-V214</f>
        <v>0</v>
      </c>
      <c r="W215" s="117">
        <f>Model!W204-W214</f>
        <v>0</v>
      </c>
      <c r="X215" s="117">
        <f>Model!X204-X214</f>
        <v>0</v>
      </c>
      <c r="Y215" s="117">
        <f>Model!Y204-Y214</f>
        <v>0</v>
      </c>
      <c r="Z215" s="117">
        <f>Model!Z204-Z214</f>
        <v>0</v>
      </c>
      <c r="AA215" s="117">
        <f>Model!AA204-AA214</f>
        <v>0</v>
      </c>
      <c r="AB215" s="119">
        <f>Model!AB204-AB214</f>
        <v>0</v>
      </c>
      <c r="AC215" s="119">
        <f>Model!AC204-AC214</f>
        <v>0</v>
      </c>
      <c r="AD215" s="119">
        <f>Model!AD204-AD214</f>
        <v>0</v>
      </c>
      <c r="AE215" s="119">
        <f>Model!AE204-AE214</f>
        <v>0</v>
      </c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8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9"/>
      <c r="CO215" s="118"/>
    </row>
    <row r="216" spans="1:93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</row>
    <row r="217" spans="1:93">
      <c r="A217" s="114"/>
      <c r="B217" s="134" t="s">
        <v>732</v>
      </c>
      <c r="C217" s="135" t="s">
        <v>731</v>
      </c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5"/>
      <c r="U217" s="135"/>
      <c r="V217" s="135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14"/>
      <c r="AG217" s="135"/>
      <c r="AH217" s="135"/>
      <c r="AI217" s="135"/>
      <c r="AJ217" s="135"/>
      <c r="AK217" s="135"/>
      <c r="AL217" s="135"/>
      <c r="AM217" s="135"/>
      <c r="AN217" s="135"/>
      <c r="AO217" s="135"/>
      <c r="AP217" s="135"/>
      <c r="AQ217" s="135"/>
      <c r="AR217" s="135"/>
      <c r="AS217" s="135"/>
      <c r="AT217" s="135"/>
      <c r="AU217" s="135"/>
      <c r="AV217" s="135"/>
      <c r="AW217" s="114"/>
      <c r="AX217" s="135"/>
      <c r="AY217" s="135"/>
      <c r="AZ217" s="135"/>
      <c r="BA217" s="135"/>
      <c r="BB217" s="135"/>
      <c r="BC217" s="135"/>
      <c r="BD217" s="135"/>
      <c r="BE217" s="135"/>
      <c r="BF217" s="135"/>
      <c r="BG217" s="135"/>
      <c r="BH217" s="135"/>
      <c r="BI217" s="135"/>
      <c r="BJ217" s="135"/>
      <c r="BK217" s="135"/>
      <c r="BL217" s="135"/>
      <c r="BM217" s="135"/>
      <c r="BN217" s="135"/>
      <c r="BO217" s="135"/>
      <c r="BP217" s="135"/>
      <c r="BQ217" s="135"/>
      <c r="BR217" s="135"/>
      <c r="BS217" s="135"/>
      <c r="BT217" s="135"/>
      <c r="BU217" s="135"/>
      <c r="BV217" s="135"/>
      <c r="BW217" s="135"/>
      <c r="BX217" s="135"/>
      <c r="BY217" s="135"/>
      <c r="BZ217" s="135"/>
      <c r="CA217" s="114"/>
      <c r="CB217" s="135"/>
      <c r="CC217" s="135"/>
      <c r="CD217" s="135"/>
      <c r="CE217" s="135"/>
      <c r="CF217" s="135"/>
      <c r="CG217" s="135"/>
      <c r="CH217" s="135"/>
      <c r="CI217" s="135"/>
      <c r="CJ217" s="135"/>
      <c r="CK217" s="135"/>
      <c r="CL217" s="135"/>
      <c r="CM217" s="135"/>
      <c r="CN217" s="135"/>
      <c r="CO217" s="114"/>
    </row>
    <row r="218" spans="1:93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</row>
    <row r="219" spans="1:93">
      <c r="A219" s="114"/>
      <c r="B219" s="114" t="s">
        <v>730</v>
      </c>
      <c r="C219" s="114" t="s">
        <v>729</v>
      </c>
      <c r="D219" s="115"/>
      <c r="E219" s="115"/>
      <c r="F219" s="115"/>
      <c r="G219" s="115"/>
      <c r="H219" s="115">
        <v>-5267</v>
      </c>
      <c r="I219" s="115">
        <v>-8929</v>
      </c>
      <c r="J219" s="115">
        <v>-13596</v>
      </c>
      <c r="K219" s="115">
        <v>-11249</v>
      </c>
      <c r="L219" s="115">
        <v>-7122</v>
      </c>
      <c r="M219" s="115">
        <v>-8944</v>
      </c>
      <c r="N219" s="115">
        <v>-10000</v>
      </c>
      <c r="O219" s="115">
        <v>-9068</v>
      </c>
      <c r="P219" s="115">
        <v>-6958</v>
      </c>
      <c r="Q219" s="115">
        <v>-12166</v>
      </c>
      <c r="R219" s="115">
        <v>-26654</v>
      </c>
      <c r="S219" s="115">
        <v>-8512</v>
      </c>
      <c r="T219" s="115">
        <v>-12059</v>
      </c>
      <c r="U219" s="115">
        <v>-16366</v>
      </c>
      <c r="V219" s="114">
        <f>-19891+2648</f>
        <v>-17243</v>
      </c>
      <c r="W219" s="114">
        <f>-9778+99</f>
        <v>-9679</v>
      </c>
      <c r="X219" s="114">
        <f>+-17649+1211</f>
        <v>-16438</v>
      </c>
      <c r="Y219" s="114">
        <v>-17100</v>
      </c>
      <c r="Z219" s="114">
        <f>-21394+167</f>
        <v>-21227</v>
      </c>
      <c r="AA219" s="114">
        <f>-27937+23</f>
        <v>-27914</v>
      </c>
      <c r="AB219" s="114">
        <f>-20631</f>
        <v>-20631</v>
      </c>
      <c r="AC219" s="116">
        <v>-15965</v>
      </c>
      <c r="AD219" s="116">
        <v>-12637</v>
      </c>
      <c r="AE219" s="116">
        <v>-13371</v>
      </c>
      <c r="AF219" s="114"/>
      <c r="AG219" s="115"/>
      <c r="AH219" s="115"/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/>
      <c r="AS219" s="115"/>
      <c r="AT219" s="115"/>
      <c r="AU219" s="115"/>
      <c r="AV219" s="115"/>
      <c r="AW219" s="114"/>
      <c r="AX219" s="115"/>
      <c r="AY219" s="115"/>
      <c r="AZ219" s="115"/>
      <c r="BA219" s="115"/>
      <c r="BB219" s="115"/>
      <c r="BC219" s="115"/>
      <c r="BD219" s="115"/>
      <c r="BE219" s="115"/>
      <c r="BF219" s="115"/>
      <c r="BG219" s="115"/>
      <c r="BH219" s="115"/>
      <c r="BI219" s="115"/>
      <c r="BJ219" s="115"/>
      <c r="BK219" s="115"/>
      <c r="BL219" s="115"/>
      <c r="BM219" s="115"/>
      <c r="BN219" s="115"/>
      <c r="BO219" s="115"/>
      <c r="BP219" s="115"/>
      <c r="BQ219" s="115"/>
      <c r="BR219" s="115"/>
      <c r="BS219" s="115"/>
      <c r="BT219" s="115"/>
      <c r="BU219" s="115"/>
      <c r="BV219" s="115"/>
      <c r="BW219" s="115"/>
      <c r="BX219" s="115"/>
      <c r="BY219" s="115"/>
      <c r="BZ219" s="115"/>
      <c r="CA219" s="114"/>
      <c r="CB219" s="114"/>
      <c r="CC219" s="114"/>
      <c r="CD219" s="114"/>
      <c r="CE219" s="114"/>
      <c r="CF219" s="114"/>
      <c r="CG219" s="114"/>
      <c r="CH219" s="114"/>
      <c r="CI219" s="115">
        <v>-55000</v>
      </c>
      <c r="CJ219" s="115">
        <v>-50000</v>
      </c>
      <c r="CK219" s="115">
        <v>-55000</v>
      </c>
      <c r="CL219" s="115">
        <v>-55000</v>
      </c>
      <c r="CM219" s="115">
        <v>-48000</v>
      </c>
      <c r="CN219" s="114"/>
      <c r="CO219" s="114"/>
    </row>
    <row r="220" spans="1:93">
      <c r="A220" s="23"/>
      <c r="B220" s="114"/>
      <c r="C220" s="114"/>
      <c r="D220" s="114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114"/>
      <c r="AT220" s="114"/>
      <c r="AU220" s="114"/>
      <c r="AV220" s="114"/>
      <c r="AW220" s="23"/>
      <c r="AX220" s="114"/>
      <c r="AY220" s="114"/>
      <c r="AZ220" s="114"/>
      <c r="BA220" s="114"/>
      <c r="BB220" s="114"/>
      <c r="BC220" s="114"/>
      <c r="BD220" s="114"/>
      <c r="BE220" s="114"/>
      <c r="BF220" s="114"/>
      <c r="BG220" s="114"/>
      <c r="BH220" s="114"/>
      <c r="BI220" s="114"/>
      <c r="BJ220" s="114"/>
      <c r="BK220" s="114"/>
      <c r="BL220" s="114"/>
      <c r="BM220" s="114"/>
      <c r="BN220" s="114"/>
      <c r="BO220" s="114"/>
      <c r="BP220" s="114"/>
      <c r="BQ220" s="114"/>
      <c r="BR220" s="114"/>
      <c r="BS220" s="114"/>
      <c r="BT220" s="114"/>
      <c r="BU220" s="114"/>
      <c r="BV220" s="114"/>
      <c r="BW220" s="114"/>
      <c r="BX220" s="114"/>
      <c r="BY220" s="114"/>
      <c r="BZ220" s="114"/>
      <c r="CA220" s="114"/>
      <c r="CB220" s="114"/>
      <c r="CC220" s="114"/>
      <c r="CD220" s="114"/>
      <c r="CE220" s="114"/>
      <c r="CF220" s="114"/>
      <c r="CG220" s="114"/>
      <c r="CH220" s="114"/>
      <c r="CI220" s="114"/>
      <c r="CJ220" s="114"/>
      <c r="CK220" s="114"/>
      <c r="CL220" s="114"/>
      <c r="CM220" s="114"/>
      <c r="CN220" s="114"/>
      <c r="CO220" s="23"/>
    </row>
    <row r="221" spans="1:93">
      <c r="A221" s="23"/>
      <c r="B221" s="23" t="s">
        <v>19</v>
      </c>
      <c r="C221" s="23" t="s">
        <v>728</v>
      </c>
      <c r="D221" s="178"/>
      <c r="E221" s="121"/>
      <c r="F221" s="121"/>
      <c r="G221" s="121"/>
      <c r="H221" s="121">
        <v>0</v>
      </c>
      <c r="I221" s="121">
        <v>0</v>
      </c>
      <c r="J221" s="121">
        <v>0</v>
      </c>
      <c r="K221" s="121">
        <v>0</v>
      </c>
      <c r="L221" s="121">
        <v>0</v>
      </c>
      <c r="M221" s="121">
        <v>0</v>
      </c>
      <c r="N221" s="121">
        <v>0</v>
      </c>
      <c r="O221" s="121">
        <v>0</v>
      </c>
      <c r="P221" s="121">
        <v>0</v>
      </c>
      <c r="Q221" s="121">
        <v>0</v>
      </c>
      <c r="R221" s="121">
        <v>0</v>
      </c>
      <c r="S221" s="121">
        <v>0</v>
      </c>
      <c r="T221" s="121">
        <v>0</v>
      </c>
      <c r="U221" s="121">
        <v>0</v>
      </c>
      <c r="V221" s="121">
        <v>0</v>
      </c>
      <c r="W221" s="121">
        <v>0</v>
      </c>
      <c r="X221" s="121">
        <v>0</v>
      </c>
      <c r="Y221" s="121">
        <v>0</v>
      </c>
      <c r="Z221" s="121">
        <v>0</v>
      </c>
      <c r="AA221" s="121">
        <v>0</v>
      </c>
      <c r="AB221" s="122">
        <v>0</v>
      </c>
      <c r="AC221" s="122">
        <v>0</v>
      </c>
      <c r="AD221" s="122"/>
      <c r="AE221" s="122"/>
      <c r="AF221" s="23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23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23"/>
      <c r="CB221" s="178"/>
      <c r="CC221" s="178"/>
      <c r="CD221" s="178"/>
      <c r="CE221" s="178"/>
      <c r="CF221" s="178"/>
      <c r="CG221" s="178"/>
      <c r="CH221" s="178"/>
      <c r="CI221" s="178"/>
      <c r="CJ221" s="178"/>
      <c r="CK221" s="178"/>
      <c r="CL221" s="178"/>
      <c r="CM221" s="179"/>
      <c r="CN221" s="179"/>
      <c r="CO221" s="23"/>
    </row>
    <row r="222" spans="1:93">
      <c r="A222" s="23"/>
      <c r="B222" s="23" t="s">
        <v>18</v>
      </c>
      <c r="C222" s="23" t="s">
        <v>727</v>
      </c>
      <c r="D222" s="23"/>
      <c r="E222" s="121"/>
      <c r="F222" s="121"/>
      <c r="G222" s="121"/>
      <c r="H222" s="121">
        <v>0</v>
      </c>
      <c r="I222" s="121">
        <v>0</v>
      </c>
      <c r="J222" s="121">
        <v>0</v>
      </c>
      <c r="K222" s="121">
        <v>0</v>
      </c>
      <c r="L222" s="121">
        <v>0</v>
      </c>
      <c r="M222" s="121">
        <v>0</v>
      </c>
      <c r="N222" s="121">
        <v>0</v>
      </c>
      <c r="O222" s="121">
        <v>0</v>
      </c>
      <c r="P222" s="121">
        <v>0</v>
      </c>
      <c r="Q222" s="121">
        <v>0</v>
      </c>
      <c r="R222" s="121">
        <v>0</v>
      </c>
      <c r="S222" s="121">
        <v>0</v>
      </c>
      <c r="T222" s="121">
        <v>0</v>
      </c>
      <c r="U222" s="121">
        <v>0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0</v>
      </c>
      <c r="AB222" s="122">
        <v>0</v>
      </c>
      <c r="AC222" s="122">
        <v>0</v>
      </c>
      <c r="AD222" s="122"/>
      <c r="AE222" s="122"/>
      <c r="AF222" s="23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23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23"/>
      <c r="CB222" s="121"/>
      <c r="CC222" s="121"/>
      <c r="CD222" s="121"/>
      <c r="CE222" s="121"/>
      <c r="CF222" s="121"/>
      <c r="CG222" s="121"/>
      <c r="CH222" s="121"/>
      <c r="CI222" s="121"/>
      <c r="CJ222" s="121"/>
      <c r="CK222" s="121"/>
      <c r="CL222" s="121"/>
      <c r="CM222" s="23"/>
      <c r="CN222" s="23"/>
      <c r="CO222" s="23"/>
    </row>
    <row r="223" spans="1:93">
      <c r="A223" s="114"/>
      <c r="B223" s="124" t="s">
        <v>726</v>
      </c>
      <c r="C223" s="124" t="s">
        <v>725</v>
      </c>
      <c r="D223" s="124"/>
      <c r="E223" s="124"/>
      <c r="F223" s="124"/>
      <c r="G223" s="124"/>
      <c r="H223" s="124">
        <f t="shared" ref="H223:U223" si="264">SUM(H221:H222)</f>
        <v>0</v>
      </c>
      <c r="I223" s="124">
        <f t="shared" si="264"/>
        <v>0</v>
      </c>
      <c r="J223" s="124">
        <f t="shared" si="264"/>
        <v>0</v>
      </c>
      <c r="K223" s="124">
        <f t="shared" si="264"/>
        <v>0</v>
      </c>
      <c r="L223" s="124">
        <f t="shared" si="264"/>
        <v>0</v>
      </c>
      <c r="M223" s="124">
        <f t="shared" si="264"/>
        <v>0</v>
      </c>
      <c r="N223" s="124">
        <f t="shared" si="264"/>
        <v>0</v>
      </c>
      <c r="O223" s="124">
        <f t="shared" si="264"/>
        <v>0</v>
      </c>
      <c r="P223" s="124">
        <f t="shared" si="264"/>
        <v>0</v>
      </c>
      <c r="Q223" s="124">
        <f t="shared" si="264"/>
        <v>0</v>
      </c>
      <c r="R223" s="124">
        <f t="shared" si="264"/>
        <v>0</v>
      </c>
      <c r="S223" s="124">
        <f t="shared" si="264"/>
        <v>0</v>
      </c>
      <c r="T223" s="124">
        <f t="shared" si="264"/>
        <v>0</v>
      </c>
      <c r="U223" s="124">
        <f t="shared" si="264"/>
        <v>0</v>
      </c>
      <c r="V223" s="124">
        <f t="shared" ref="V223:W223" si="265">SUM(V221:V222)</f>
        <v>0</v>
      </c>
      <c r="W223" s="124">
        <f t="shared" si="265"/>
        <v>0</v>
      </c>
      <c r="X223" s="124">
        <f t="shared" ref="X223:Y223" si="266">SUM(X221:X222)</f>
        <v>0</v>
      </c>
      <c r="Y223" s="124">
        <f t="shared" si="266"/>
        <v>0</v>
      </c>
      <c r="Z223" s="124">
        <f t="shared" ref="Z223:AA223" si="267">SUM(Z221:Z222)</f>
        <v>0</v>
      </c>
      <c r="AA223" s="124">
        <f t="shared" si="267"/>
        <v>0</v>
      </c>
      <c r="AB223" s="124">
        <f t="shared" ref="AB223:AC223" si="268">SUM(AB221:AB222)</f>
        <v>0</v>
      </c>
      <c r="AC223" s="124">
        <f t="shared" si="268"/>
        <v>0</v>
      </c>
      <c r="AD223" s="124">
        <f t="shared" ref="AD223:AE223" si="269">SUM(AD221:AD222)</f>
        <v>0</v>
      </c>
      <c r="AE223" s="124">
        <f t="shared" si="269"/>
        <v>0</v>
      </c>
      <c r="AF223" s="11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1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14"/>
      <c r="CB223" s="124"/>
      <c r="CC223" s="124"/>
      <c r="CD223" s="124"/>
      <c r="CE223" s="124"/>
      <c r="CF223" s="124"/>
      <c r="CG223" s="124"/>
      <c r="CH223" s="124"/>
      <c r="CI223" s="124"/>
      <c r="CJ223" s="124"/>
      <c r="CK223" s="124"/>
      <c r="CL223" s="124"/>
      <c r="CM223" s="124"/>
      <c r="CN223" s="124"/>
      <c r="CO223" s="114"/>
    </row>
    <row r="224" spans="1:93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</row>
    <row r="225" spans="1:93">
      <c r="A225" s="114"/>
      <c r="B225" s="114" t="s">
        <v>107</v>
      </c>
      <c r="C225" s="114" t="s">
        <v>49</v>
      </c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114"/>
      <c r="AR225" s="114"/>
      <c r="AS225" s="114"/>
      <c r="AT225" s="114"/>
      <c r="AU225" s="114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114"/>
      <c r="BH225" s="114"/>
      <c r="BI225" s="114"/>
      <c r="BJ225" s="114"/>
      <c r="BK225" s="114"/>
      <c r="BL225" s="114"/>
      <c r="BM225" s="114"/>
      <c r="BN225" s="114"/>
      <c r="BO225" s="114"/>
      <c r="BP225" s="114"/>
      <c r="BQ225" s="114"/>
      <c r="BR225" s="114"/>
      <c r="BS225" s="114"/>
      <c r="BT225" s="114"/>
      <c r="BU225" s="114"/>
      <c r="BV225" s="114"/>
      <c r="BW225" s="114"/>
      <c r="BX225" s="114"/>
      <c r="BY225" s="114"/>
      <c r="BZ225" s="114"/>
      <c r="CA225" s="114"/>
      <c r="CB225" s="114"/>
      <c r="CC225" s="114"/>
      <c r="CD225" s="114"/>
      <c r="CE225" s="114"/>
      <c r="CF225" s="114"/>
      <c r="CG225" s="114"/>
      <c r="CH225" s="114"/>
      <c r="CI225" s="114"/>
      <c r="CJ225" s="114"/>
      <c r="CK225" s="114"/>
      <c r="CL225" s="114"/>
      <c r="CM225" s="114"/>
      <c r="CN225" s="114"/>
      <c r="CO225" s="114"/>
    </row>
    <row r="226" spans="1:93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114"/>
      <c r="AR226" s="114"/>
      <c r="AS226" s="114"/>
      <c r="AT226" s="114"/>
      <c r="AU226" s="114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114"/>
      <c r="BH226" s="114"/>
      <c r="BI226" s="114"/>
      <c r="BJ226" s="114"/>
      <c r="BK226" s="114"/>
      <c r="BL226" s="114"/>
      <c r="BM226" s="114"/>
      <c r="BN226" s="114"/>
      <c r="BO226" s="114"/>
      <c r="BP226" s="114"/>
      <c r="BQ226" s="114"/>
      <c r="BR226" s="114"/>
      <c r="BS226" s="114"/>
      <c r="BT226" s="114"/>
      <c r="BU226" s="114"/>
      <c r="BV226" s="114"/>
      <c r="BW226" s="114"/>
      <c r="BX226" s="114"/>
      <c r="BY226" s="114"/>
      <c r="BZ226" s="114"/>
      <c r="CA226" s="114"/>
      <c r="CB226" s="114"/>
      <c r="CC226" s="114"/>
      <c r="CD226" s="114"/>
      <c r="CE226" s="114"/>
      <c r="CF226" s="114"/>
      <c r="CG226" s="114"/>
      <c r="CH226" s="114"/>
      <c r="CI226" s="114"/>
      <c r="CJ226" s="114"/>
      <c r="CK226" s="114"/>
      <c r="CL226" s="114"/>
      <c r="CM226" s="114"/>
      <c r="CN226" s="114"/>
      <c r="CO226" s="114"/>
    </row>
    <row r="227" spans="1:93">
      <c r="A227" s="114"/>
      <c r="B227" s="114" t="s">
        <v>724</v>
      </c>
      <c r="C227" s="114" t="s">
        <v>47</v>
      </c>
      <c r="D227" s="114"/>
      <c r="E227" s="114"/>
      <c r="F227" s="114"/>
      <c r="G227" s="114"/>
      <c r="H227" s="114">
        <f t="shared" ref="H227:V227" si="270">H229-H219-H223-H225</f>
        <v>-1182</v>
      </c>
      <c r="I227" s="114">
        <f t="shared" si="270"/>
        <v>3367</v>
      </c>
      <c r="J227" s="114">
        <f t="shared" si="270"/>
        <v>3865</v>
      </c>
      <c r="K227" s="114">
        <f t="shared" si="270"/>
        <v>-2510</v>
      </c>
      <c r="L227" s="114">
        <f t="shared" si="270"/>
        <v>-2190</v>
      </c>
      <c r="M227" s="180">
        <f t="shared" si="270"/>
        <v>2554</v>
      </c>
      <c r="N227" s="180">
        <f t="shared" si="270"/>
        <v>12238</v>
      </c>
      <c r="O227" s="180">
        <f t="shared" si="270"/>
        <v>514</v>
      </c>
      <c r="P227" s="180">
        <f t="shared" si="270"/>
        <v>440</v>
      </c>
      <c r="Q227" s="180">
        <f t="shared" si="270"/>
        <v>848</v>
      </c>
      <c r="R227" s="180">
        <f t="shared" si="270"/>
        <v>1382</v>
      </c>
      <c r="S227" s="180">
        <f t="shared" si="270"/>
        <v>-1756</v>
      </c>
      <c r="T227" s="180">
        <f t="shared" si="270"/>
        <v>-19030</v>
      </c>
      <c r="U227" s="180">
        <f t="shared" si="270"/>
        <v>-3592</v>
      </c>
      <c r="V227" s="180">
        <f t="shared" si="270"/>
        <v>-11278</v>
      </c>
      <c r="W227" s="180">
        <f t="shared" ref="W227:X227" si="271">W229-W219-W223-W225</f>
        <v>-30297</v>
      </c>
      <c r="X227" s="180">
        <f t="shared" si="271"/>
        <v>-16257</v>
      </c>
      <c r="Y227" s="180">
        <f t="shared" ref="Y227:Z227" si="272">Y229-Y219-Y223-Y225</f>
        <v>-13743</v>
      </c>
      <c r="Z227" s="180">
        <f t="shared" si="272"/>
        <v>843</v>
      </c>
      <c r="AA227" s="180">
        <f t="shared" ref="AA227:AB227" si="273">AA229-AA219-AA223-AA225</f>
        <v>556</v>
      </c>
      <c r="AB227" s="114">
        <f t="shared" si="273"/>
        <v>2177</v>
      </c>
      <c r="AC227" s="114">
        <f t="shared" ref="AC227:AD227" si="274">AC229-AC219-AC223-AC225</f>
        <v>-34020</v>
      </c>
      <c r="AD227" s="114">
        <f t="shared" si="274"/>
        <v>-14671</v>
      </c>
      <c r="AE227" s="114">
        <f t="shared" ref="AE227" si="275">AE229-AE219-AE223-AE225</f>
        <v>-11833</v>
      </c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/>
      <c r="BE227" s="114"/>
      <c r="BF227" s="114"/>
      <c r="BG227" s="114"/>
      <c r="BH227" s="114"/>
      <c r="BI227" s="114"/>
      <c r="BJ227" s="114"/>
      <c r="BK227" s="114"/>
      <c r="BL227" s="114"/>
      <c r="BM227" s="114"/>
      <c r="BN227" s="114"/>
      <c r="BO227" s="114"/>
      <c r="BP227" s="114"/>
      <c r="BQ227" s="114"/>
      <c r="BR227" s="114"/>
      <c r="BS227" s="114"/>
      <c r="BT227" s="114"/>
      <c r="BU227" s="114"/>
      <c r="BV227" s="114"/>
      <c r="BW227" s="114"/>
      <c r="BX227" s="114"/>
      <c r="BY227" s="114"/>
      <c r="BZ227" s="114"/>
      <c r="CA227" s="114"/>
      <c r="CB227" s="114"/>
      <c r="CC227" s="114"/>
      <c r="CD227" s="114"/>
      <c r="CE227" s="114"/>
      <c r="CF227" s="114"/>
      <c r="CG227" s="114"/>
      <c r="CH227" s="114"/>
      <c r="CI227" s="114"/>
      <c r="CJ227" s="114"/>
      <c r="CK227" s="114"/>
      <c r="CL227" s="114"/>
      <c r="CM227" s="114"/>
      <c r="CN227" s="114"/>
      <c r="CO227" s="114"/>
    </row>
    <row r="228" spans="1:93">
      <c r="A228" s="11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114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114"/>
    </row>
    <row r="229" spans="1:93">
      <c r="A229" s="114"/>
      <c r="B229" s="175" t="s">
        <v>723</v>
      </c>
      <c r="C229" s="175" t="s">
        <v>722</v>
      </c>
      <c r="D229" s="175"/>
      <c r="E229" s="176"/>
      <c r="F229" s="176"/>
      <c r="G229" s="176"/>
      <c r="H229" s="176">
        <v>-6449</v>
      </c>
      <c r="I229" s="176">
        <v>-5562</v>
      </c>
      <c r="J229" s="176">
        <v>-9731</v>
      </c>
      <c r="K229" s="176">
        <v>-13759</v>
      </c>
      <c r="L229" s="176">
        <v>-9312</v>
      </c>
      <c r="M229" s="176">
        <v>-6390</v>
      </c>
      <c r="N229" s="176">
        <v>2238</v>
      </c>
      <c r="O229" s="176">
        <v>-8554</v>
      </c>
      <c r="P229" s="176">
        <v>-6518</v>
      </c>
      <c r="Q229" s="176">
        <v>-11318</v>
      </c>
      <c r="R229" s="176">
        <v>-25272</v>
      </c>
      <c r="S229" s="176">
        <v>-10268</v>
      </c>
      <c r="T229" s="176">
        <v>-31089</v>
      </c>
      <c r="U229" s="176">
        <v>-19958</v>
      </c>
      <c r="V229" s="175">
        <f>-28521</f>
        <v>-28521</v>
      </c>
      <c r="W229" s="175">
        <v>-39976</v>
      </c>
      <c r="X229" s="175">
        <v>-32695</v>
      </c>
      <c r="Y229" s="175">
        <v>-30843</v>
      </c>
      <c r="Z229" s="175">
        <v>-20384</v>
      </c>
      <c r="AA229" s="175">
        <v>-27358</v>
      </c>
      <c r="AB229" s="177">
        <v>-18454</v>
      </c>
      <c r="AC229" s="177">
        <v>-49985</v>
      </c>
      <c r="AD229" s="177">
        <v>-27308</v>
      </c>
      <c r="AE229" s="177">
        <v>-25204</v>
      </c>
      <c r="AF229" s="114"/>
      <c r="AG229" s="176"/>
      <c r="AH229" s="176"/>
      <c r="AI229" s="176"/>
      <c r="AJ229" s="176"/>
      <c r="AK229" s="176"/>
      <c r="AL229" s="176"/>
      <c r="AM229" s="176"/>
      <c r="AN229" s="176"/>
      <c r="AO229" s="176"/>
      <c r="AP229" s="176"/>
      <c r="AQ229" s="176"/>
      <c r="AR229" s="176"/>
      <c r="AS229" s="176"/>
      <c r="AT229" s="176"/>
      <c r="AU229" s="176"/>
      <c r="AV229" s="176"/>
      <c r="AW229" s="114"/>
      <c r="AX229" s="176"/>
      <c r="AY229" s="176"/>
      <c r="AZ229" s="176"/>
      <c r="BA229" s="176"/>
      <c r="BB229" s="176"/>
      <c r="BC229" s="176"/>
      <c r="BD229" s="176"/>
      <c r="BE229" s="176"/>
      <c r="BF229" s="176"/>
      <c r="BG229" s="176"/>
      <c r="BH229" s="176"/>
      <c r="BI229" s="176"/>
      <c r="BJ229" s="176"/>
      <c r="BK229" s="176"/>
      <c r="BL229" s="176"/>
      <c r="BM229" s="176"/>
      <c r="BN229" s="176"/>
      <c r="BO229" s="176"/>
      <c r="BP229" s="176"/>
      <c r="BQ229" s="176"/>
      <c r="BR229" s="176"/>
      <c r="BS229" s="176"/>
      <c r="BT229" s="176"/>
      <c r="BU229" s="176"/>
      <c r="BV229" s="176"/>
      <c r="BW229" s="176"/>
      <c r="BX229" s="176"/>
      <c r="BY229" s="176"/>
      <c r="BZ229" s="176"/>
      <c r="CA229" s="114"/>
      <c r="CB229" s="176"/>
      <c r="CC229" s="176"/>
      <c r="CD229" s="176"/>
      <c r="CE229" s="176"/>
      <c r="CF229" s="176"/>
      <c r="CG229" s="176"/>
      <c r="CH229" s="176"/>
      <c r="CI229" s="176"/>
      <c r="CJ229" s="176"/>
      <c r="CK229" s="176"/>
      <c r="CL229" s="176"/>
      <c r="CM229" s="175"/>
      <c r="CN229" s="175"/>
      <c r="CO229" s="114"/>
    </row>
    <row r="230" spans="1:93" ht="12">
      <c r="A230" s="118"/>
      <c r="B230" s="117" t="s">
        <v>626</v>
      </c>
      <c r="C230" s="118"/>
      <c r="D230" s="117"/>
      <c r="E230" s="117"/>
      <c r="F230" s="117"/>
      <c r="G230" s="117"/>
      <c r="H230" s="117">
        <f>Model!H212-H229</f>
        <v>0</v>
      </c>
      <c r="I230" s="117">
        <f>Model!I212-I229</f>
        <v>0</v>
      </c>
      <c r="J230" s="117">
        <f>Model!J212-J229</f>
        <v>0</v>
      </c>
      <c r="K230" s="117">
        <f>Model!K212-K229</f>
        <v>0</v>
      </c>
      <c r="L230" s="117">
        <f>Model!L212-L229</f>
        <v>0</v>
      </c>
      <c r="M230" s="117">
        <f>Model!M212-M229</f>
        <v>0</v>
      </c>
      <c r="N230" s="117">
        <f>Model!N212-N229</f>
        <v>0</v>
      </c>
      <c r="O230" s="117">
        <f>Model!O212-O229</f>
        <v>0</v>
      </c>
      <c r="P230" s="117">
        <f>Model!P212-P229</f>
        <v>0</v>
      </c>
      <c r="Q230" s="117">
        <f>Model!Q212-Q229</f>
        <v>0</v>
      </c>
      <c r="R230" s="117">
        <f>Model!R212-R229</f>
        <v>0</v>
      </c>
      <c r="S230" s="117">
        <f>Model!S212-S229</f>
        <v>0</v>
      </c>
      <c r="T230" s="117">
        <f>Model!T212-T229</f>
        <v>0</v>
      </c>
      <c r="U230" s="117">
        <f>Model!U212-U229</f>
        <v>0</v>
      </c>
      <c r="V230" s="117">
        <f>Model!V212-V229</f>
        <v>0</v>
      </c>
      <c r="W230" s="117">
        <f>Model!W212-W229</f>
        <v>0</v>
      </c>
      <c r="X230" s="117">
        <f>Model!X212-X229</f>
        <v>0</v>
      </c>
      <c r="Y230" s="117">
        <f>Model!Y212-Y229</f>
        <v>0</v>
      </c>
      <c r="Z230" s="117">
        <f>Model!Z212-Z229</f>
        <v>0</v>
      </c>
      <c r="AA230" s="117">
        <f>Model!AA212-AA229</f>
        <v>0</v>
      </c>
      <c r="AB230" s="119">
        <f>Model!AB212-AB229</f>
        <v>0</v>
      </c>
      <c r="AC230" s="119">
        <f>Model!AC212-AC229</f>
        <v>0</v>
      </c>
      <c r="AD230" s="119">
        <f>Model!AD212-AD229</f>
        <v>0</v>
      </c>
      <c r="AE230" s="119">
        <f>Model!AE212-AE229</f>
        <v>0</v>
      </c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8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9"/>
      <c r="CO230" s="118"/>
    </row>
    <row r="231" spans="1:93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</row>
    <row r="232" spans="1:93">
      <c r="A232" s="114"/>
      <c r="B232" s="134" t="s">
        <v>721</v>
      </c>
      <c r="C232" s="135" t="s">
        <v>702</v>
      </c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14"/>
      <c r="AG232" s="135"/>
      <c r="AH232" s="135"/>
      <c r="AI232" s="135"/>
      <c r="AJ232" s="135"/>
      <c r="AK232" s="135"/>
      <c r="AL232" s="135"/>
      <c r="AM232" s="135"/>
      <c r="AN232" s="135"/>
      <c r="AO232" s="135"/>
      <c r="AP232" s="135"/>
      <c r="AQ232" s="135"/>
      <c r="AR232" s="135"/>
      <c r="AS232" s="135"/>
      <c r="AT232" s="135"/>
      <c r="AU232" s="135"/>
      <c r="AV232" s="135"/>
      <c r="AW232" s="114"/>
      <c r="AX232" s="135"/>
      <c r="AY232" s="135"/>
      <c r="AZ232" s="135"/>
      <c r="BA232" s="135"/>
      <c r="BB232" s="135"/>
      <c r="BC232" s="135"/>
      <c r="BD232" s="135"/>
      <c r="BE232" s="135"/>
      <c r="BF232" s="135"/>
      <c r="BG232" s="135"/>
      <c r="BH232" s="135"/>
      <c r="BI232" s="135"/>
      <c r="BJ232" s="135"/>
      <c r="BK232" s="135"/>
      <c r="BL232" s="135"/>
      <c r="BM232" s="135"/>
      <c r="BN232" s="135"/>
      <c r="BO232" s="135"/>
      <c r="BP232" s="135"/>
      <c r="BQ232" s="135"/>
      <c r="BR232" s="135"/>
      <c r="BS232" s="135"/>
      <c r="BT232" s="135"/>
      <c r="BU232" s="135"/>
      <c r="BV232" s="135"/>
      <c r="BW232" s="135"/>
      <c r="BX232" s="135"/>
      <c r="BY232" s="135"/>
      <c r="BZ232" s="135"/>
      <c r="CA232" s="114"/>
      <c r="CB232" s="135"/>
      <c r="CC232" s="135"/>
      <c r="CD232" s="135"/>
      <c r="CE232" s="135"/>
      <c r="CF232" s="135"/>
      <c r="CG232" s="135"/>
      <c r="CH232" s="135"/>
      <c r="CI232" s="135"/>
      <c r="CJ232" s="135"/>
      <c r="CK232" s="135"/>
      <c r="CL232" s="135"/>
      <c r="CM232" s="135"/>
      <c r="CN232" s="135"/>
      <c r="CO232" s="114"/>
    </row>
    <row r="233" spans="1:93" ht="12">
      <c r="A233" s="119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119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119"/>
    </row>
    <row r="234" spans="1:93">
      <c r="A234" s="114"/>
      <c r="B234" s="114" t="s">
        <v>720</v>
      </c>
      <c r="C234" s="114" t="s">
        <v>43</v>
      </c>
      <c r="D234" s="114"/>
      <c r="E234" s="114"/>
      <c r="F234" s="114"/>
      <c r="G234" s="114"/>
      <c r="H234" s="114">
        <v>-15177</v>
      </c>
      <c r="I234" s="114">
        <v>-15177</v>
      </c>
      <c r="J234" s="114">
        <v>-15303</v>
      </c>
      <c r="K234" s="114">
        <v>-13980</v>
      </c>
      <c r="L234" s="114">
        <v>-17681</v>
      </c>
      <c r="M234" s="114">
        <v>-19275</v>
      </c>
      <c r="N234" s="114">
        <v>-13446</v>
      </c>
      <c r="O234" s="114">
        <v>-14830</v>
      </c>
      <c r="P234" s="114">
        <v>-17208</v>
      </c>
      <c r="Q234" s="114">
        <f>Q82+Q69</f>
        <v>-3256</v>
      </c>
      <c r="R234" s="114">
        <f>R82+R69</f>
        <v>-3261</v>
      </c>
      <c r="S234" s="114">
        <f>S82+S69</f>
        <v>-4598</v>
      </c>
      <c r="T234" s="114">
        <f>T82+T69</f>
        <v>-4086</v>
      </c>
      <c r="U234" s="114">
        <f>U82+U69</f>
        <v>-4086</v>
      </c>
      <c r="V234" s="114">
        <v>-5615</v>
      </c>
      <c r="W234" s="114">
        <v>-5095</v>
      </c>
      <c r="X234" s="114">
        <v>-5611</v>
      </c>
      <c r="Y234" s="114">
        <v>-6126</v>
      </c>
      <c r="Z234" s="114">
        <v>-6122</v>
      </c>
      <c r="AA234" s="114">
        <v>-6122</v>
      </c>
      <c r="AB234" s="116">
        <v>-8164</v>
      </c>
      <c r="AC234" s="116">
        <v>-8164</v>
      </c>
      <c r="AD234" s="116">
        <v>-9185</v>
      </c>
      <c r="AE234" s="116">
        <v>-9186</v>
      </c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  <c r="BP234" s="114"/>
      <c r="BQ234" s="114"/>
      <c r="BR234" s="114"/>
      <c r="BS234" s="114"/>
      <c r="BT234" s="114"/>
      <c r="BU234" s="114"/>
      <c r="BV234" s="114"/>
      <c r="BW234" s="114"/>
      <c r="BX234" s="114"/>
      <c r="BY234" s="114"/>
      <c r="BZ234" s="114"/>
      <c r="CA234" s="114"/>
      <c r="CB234" s="114"/>
      <c r="CC234" s="114"/>
      <c r="CD234" s="114"/>
      <c r="CE234" s="114"/>
      <c r="CF234" s="114"/>
      <c r="CG234" s="114"/>
      <c r="CH234" s="114"/>
      <c r="CI234" s="114"/>
      <c r="CJ234" s="114"/>
      <c r="CK234" s="114"/>
      <c r="CL234" s="114"/>
      <c r="CM234" s="114"/>
      <c r="CN234" s="114"/>
      <c r="CO234" s="114"/>
    </row>
    <row r="235" spans="1:93">
      <c r="A235" s="23"/>
      <c r="B235" s="23"/>
      <c r="C235" s="23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</row>
    <row r="236" spans="1:93">
      <c r="A236" s="23"/>
      <c r="B236" s="23" t="s">
        <v>719</v>
      </c>
      <c r="C236" s="23" t="s">
        <v>718</v>
      </c>
      <c r="D236" s="121"/>
      <c r="E236" s="121"/>
      <c r="F236" s="121"/>
      <c r="G236" s="121"/>
      <c r="H236" s="121">
        <v>0</v>
      </c>
      <c r="I236" s="121">
        <v>0</v>
      </c>
      <c r="J236" s="121">
        <v>0</v>
      </c>
      <c r="K236" s="121">
        <v>0</v>
      </c>
      <c r="L236" s="121">
        <v>0</v>
      </c>
      <c r="M236" s="121">
        <v>0</v>
      </c>
      <c r="N236" s="121">
        <v>0</v>
      </c>
      <c r="O236" s="121">
        <v>0</v>
      </c>
      <c r="P236" s="121">
        <v>0</v>
      </c>
      <c r="Q236" s="121">
        <v>0</v>
      </c>
      <c r="R236" s="121">
        <v>0</v>
      </c>
      <c r="S236" s="121">
        <v>0</v>
      </c>
      <c r="T236" s="121">
        <v>0</v>
      </c>
      <c r="U236" s="121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122">
        <v>0</v>
      </c>
      <c r="AC236" s="122">
        <v>0</v>
      </c>
      <c r="AD236" s="122"/>
      <c r="AE236" s="122"/>
      <c r="AF236" s="23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23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</row>
    <row r="237" spans="1:93">
      <c r="A237" s="23"/>
      <c r="B237" s="23" t="s">
        <v>717</v>
      </c>
      <c r="C237" s="23" t="s">
        <v>209</v>
      </c>
      <c r="D237" s="121"/>
      <c r="E237" s="121"/>
      <c r="F237" s="121"/>
      <c r="G237" s="121"/>
      <c r="H237" s="121">
        <v>-152</v>
      </c>
      <c r="I237" s="121">
        <v>0</v>
      </c>
      <c r="J237" s="121">
        <v>-16</v>
      </c>
      <c r="K237" s="121">
        <v>-81</v>
      </c>
      <c r="L237" s="121">
        <v>-1752</v>
      </c>
      <c r="M237" s="121">
        <v>-71</v>
      </c>
      <c r="N237" s="121">
        <v>-78</v>
      </c>
      <c r="O237" s="121">
        <v>-6657</v>
      </c>
      <c r="P237" s="121">
        <v>0</v>
      </c>
      <c r="Q237" s="121">
        <v>0</v>
      </c>
      <c r="R237" s="121">
        <v>-2021</v>
      </c>
      <c r="S237" s="121">
        <v>0</v>
      </c>
      <c r="T237" s="121">
        <v>0</v>
      </c>
      <c r="U237" s="121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122">
        <v>0</v>
      </c>
      <c r="AC237" s="122">
        <v>0</v>
      </c>
      <c r="AD237" s="122"/>
      <c r="AE237" s="122"/>
      <c r="AF237" s="23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23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</row>
    <row r="238" spans="1:93">
      <c r="A238" s="114"/>
      <c r="B238" s="124" t="s">
        <v>42</v>
      </c>
      <c r="C238" s="124" t="s">
        <v>716</v>
      </c>
      <c r="D238" s="124"/>
      <c r="E238" s="124"/>
      <c r="F238" s="124"/>
      <c r="G238" s="124"/>
      <c r="H238" s="124">
        <f t="shared" ref="H238:U238" si="276">SUM(H236:H237)</f>
        <v>-152</v>
      </c>
      <c r="I238" s="124">
        <f t="shared" si="276"/>
        <v>0</v>
      </c>
      <c r="J238" s="124">
        <f t="shared" si="276"/>
        <v>-16</v>
      </c>
      <c r="K238" s="124">
        <f t="shared" si="276"/>
        <v>-81</v>
      </c>
      <c r="L238" s="124">
        <f t="shared" si="276"/>
        <v>-1752</v>
      </c>
      <c r="M238" s="124">
        <f t="shared" si="276"/>
        <v>-71</v>
      </c>
      <c r="N238" s="124">
        <f t="shared" si="276"/>
        <v>-78</v>
      </c>
      <c r="O238" s="124">
        <f t="shared" si="276"/>
        <v>-6657</v>
      </c>
      <c r="P238" s="124">
        <f t="shared" si="276"/>
        <v>0</v>
      </c>
      <c r="Q238" s="124">
        <f t="shared" si="276"/>
        <v>0</v>
      </c>
      <c r="R238" s="124">
        <f t="shared" si="276"/>
        <v>-2021</v>
      </c>
      <c r="S238" s="124">
        <f t="shared" si="276"/>
        <v>0</v>
      </c>
      <c r="T238" s="124">
        <f t="shared" si="276"/>
        <v>0</v>
      </c>
      <c r="U238" s="124">
        <f t="shared" si="276"/>
        <v>0</v>
      </c>
      <c r="V238" s="124">
        <v>0</v>
      </c>
      <c r="W238" s="124">
        <v>0</v>
      </c>
      <c r="X238" s="124">
        <v>0</v>
      </c>
      <c r="Y238" s="124">
        <v>0</v>
      </c>
      <c r="Z238" s="124">
        <v>0</v>
      </c>
      <c r="AA238" s="124">
        <v>0</v>
      </c>
      <c r="AB238" s="126">
        <v>0</v>
      </c>
      <c r="AC238" s="126">
        <v>0</v>
      </c>
      <c r="AD238" s="126"/>
      <c r="AE238" s="126"/>
      <c r="AF238" s="11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1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14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4"/>
      <c r="CN238" s="124"/>
      <c r="CO238" s="114"/>
    </row>
    <row r="239" spans="1:9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</row>
    <row r="240" spans="1:93">
      <c r="A240" s="114"/>
      <c r="B240" s="114" t="s">
        <v>715</v>
      </c>
      <c r="C240" s="114" t="s">
        <v>39</v>
      </c>
      <c r="D240" s="114"/>
      <c r="E240" s="115"/>
      <c r="F240" s="115"/>
      <c r="G240" s="115"/>
      <c r="H240" s="115">
        <v>-1793</v>
      </c>
      <c r="I240" s="115">
        <v>-3290</v>
      </c>
      <c r="J240" s="115">
        <v>-2428</v>
      </c>
      <c r="K240" s="115">
        <v>-2842</v>
      </c>
      <c r="L240" s="115">
        <v>-2558</v>
      </c>
      <c r="M240" s="115">
        <v>-4718</v>
      </c>
      <c r="N240" s="115">
        <v>-1556</v>
      </c>
      <c r="O240" s="115">
        <v>1699</v>
      </c>
      <c r="P240" s="115">
        <v>-2842</v>
      </c>
      <c r="Q240" s="115">
        <v>-3</v>
      </c>
      <c r="R240" s="115">
        <v>-325</v>
      </c>
      <c r="S240" s="115">
        <f>1943-3137</f>
        <v>-1194</v>
      </c>
      <c r="T240" s="115">
        <f>1063-1280</f>
        <v>-217</v>
      </c>
      <c r="U240" s="115">
        <f>1310-1430</f>
        <v>-120</v>
      </c>
      <c r="V240" s="114">
        <f>929-940</f>
        <v>-11</v>
      </c>
      <c r="W240" s="114">
        <f>929-903</f>
        <v>26</v>
      </c>
      <c r="X240" s="114">
        <f>903-856</f>
        <v>47</v>
      </c>
      <c r="Y240" s="114">
        <f>712-719</f>
        <v>-7</v>
      </c>
      <c r="Z240" s="114">
        <f>1050-1032</f>
        <v>18</v>
      </c>
      <c r="AA240" s="114">
        <f>1180-821</f>
        <v>359</v>
      </c>
      <c r="AB240" s="114">
        <f>625-945</f>
        <v>-320</v>
      </c>
      <c r="AC240" s="114">
        <f>750-724</f>
        <v>26</v>
      </c>
      <c r="AD240" s="114">
        <f>749-721</f>
        <v>28</v>
      </c>
      <c r="AE240" s="114">
        <f>890-891</f>
        <v>-1</v>
      </c>
      <c r="AF240" s="114"/>
      <c r="AG240" s="115"/>
      <c r="AH240" s="115"/>
      <c r="AI240" s="115"/>
      <c r="AJ240" s="115"/>
      <c r="AK240" s="115"/>
      <c r="AL240" s="115"/>
      <c r="AM240" s="115"/>
      <c r="AN240" s="115"/>
      <c r="AO240" s="115"/>
      <c r="AP240" s="115"/>
      <c r="AQ240" s="115"/>
      <c r="AR240" s="115"/>
      <c r="AS240" s="115"/>
      <c r="AT240" s="115"/>
      <c r="AU240" s="115"/>
      <c r="AV240" s="115"/>
      <c r="AW240" s="114"/>
      <c r="AX240" s="115"/>
      <c r="AY240" s="115"/>
      <c r="AZ240" s="115"/>
      <c r="BA240" s="115"/>
      <c r="BB240" s="115"/>
      <c r="BC240" s="115"/>
      <c r="BD240" s="115"/>
      <c r="BE240" s="115"/>
      <c r="BF240" s="115"/>
      <c r="BG240" s="115"/>
      <c r="BH240" s="115"/>
      <c r="BI240" s="115"/>
      <c r="BJ240" s="115"/>
      <c r="BK240" s="115"/>
      <c r="BL240" s="115"/>
      <c r="BM240" s="115"/>
      <c r="BN240" s="115"/>
      <c r="BO240" s="115"/>
      <c r="BP240" s="115"/>
      <c r="BQ240" s="115"/>
      <c r="BR240" s="115"/>
      <c r="BS240" s="115"/>
      <c r="BT240" s="115"/>
      <c r="BU240" s="115"/>
      <c r="BV240" s="115"/>
      <c r="BW240" s="115"/>
      <c r="BX240" s="115"/>
      <c r="BY240" s="115"/>
      <c r="BZ240" s="115"/>
      <c r="CA240" s="114"/>
      <c r="CB240" s="115"/>
      <c r="CC240" s="115"/>
      <c r="CD240" s="115"/>
      <c r="CE240" s="115"/>
      <c r="CF240" s="115"/>
      <c r="CG240" s="115"/>
      <c r="CH240" s="115"/>
      <c r="CI240" s="115"/>
      <c r="CJ240" s="115"/>
      <c r="CK240" s="115"/>
      <c r="CL240" s="115"/>
      <c r="CM240" s="114"/>
      <c r="CN240" s="114"/>
      <c r="CO240" s="114"/>
    </row>
    <row r="241" spans="1:9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</row>
    <row r="242" spans="1:93">
      <c r="A242" s="23"/>
      <c r="B242" s="23" t="s">
        <v>710</v>
      </c>
      <c r="C242" s="23" t="s">
        <v>37</v>
      </c>
      <c r="D242" s="23"/>
      <c r="E242" s="121"/>
      <c r="F242" s="121"/>
      <c r="G242" s="121"/>
      <c r="H242" s="121">
        <v>-1706</v>
      </c>
      <c r="I242" s="121">
        <v>-1573</v>
      </c>
      <c r="J242" s="121">
        <v>-1043</v>
      </c>
      <c r="K242" s="121">
        <v>-1191</v>
      </c>
      <c r="L242" s="121">
        <v>-1806</v>
      </c>
      <c r="M242" s="121">
        <v>-564</v>
      </c>
      <c r="N242" s="121">
        <v>-216</v>
      </c>
      <c r="O242" s="121">
        <v>-169</v>
      </c>
      <c r="P242" s="121">
        <v>-142</v>
      </c>
      <c r="Q242" s="121">
        <v>-142</v>
      </c>
      <c r="R242" s="121">
        <v>-82</v>
      </c>
      <c r="S242" s="121">
        <v>-52</v>
      </c>
      <c r="T242" s="121">
        <v>-52</v>
      </c>
      <c r="U242" s="121">
        <v>-12</v>
      </c>
      <c r="V242" s="23">
        <v>-149</v>
      </c>
      <c r="W242" s="23">
        <v>-85</v>
      </c>
      <c r="X242" s="23">
        <v>0</v>
      </c>
      <c r="Y242" s="23">
        <v>-30</v>
      </c>
      <c r="Z242" s="23">
        <v>0</v>
      </c>
      <c r="AA242" s="23">
        <v>0</v>
      </c>
      <c r="AB242" s="122">
        <v>0</v>
      </c>
      <c r="AC242" s="122">
        <v>0</v>
      </c>
      <c r="AD242" s="122"/>
      <c r="AE242" s="122"/>
      <c r="AF242" s="23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23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/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</row>
    <row r="243" spans="1:93">
      <c r="A243" s="23"/>
      <c r="B243" s="23" t="s">
        <v>714</v>
      </c>
      <c r="C243" s="23" t="s">
        <v>713</v>
      </c>
      <c r="D243" s="23"/>
      <c r="E243" s="121"/>
      <c r="F243" s="121"/>
      <c r="G243" s="121"/>
      <c r="H243" s="121">
        <v>0</v>
      </c>
      <c r="I243" s="121">
        <v>0</v>
      </c>
      <c r="J243" s="121">
        <v>0</v>
      </c>
      <c r="K243" s="121">
        <v>0</v>
      </c>
      <c r="L243" s="121">
        <v>0</v>
      </c>
      <c r="M243" s="121">
        <v>0</v>
      </c>
      <c r="N243" s="121">
        <v>0</v>
      </c>
      <c r="O243" s="121">
        <v>0</v>
      </c>
      <c r="P243" s="121">
        <v>-10000</v>
      </c>
      <c r="Q243" s="121">
        <v>0</v>
      </c>
      <c r="R243" s="121">
        <v>0</v>
      </c>
      <c r="S243" s="121">
        <v>0</v>
      </c>
      <c r="T243" s="121">
        <v>0</v>
      </c>
      <c r="U243" s="121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122">
        <v>0</v>
      </c>
      <c r="AC243" s="122">
        <v>0</v>
      </c>
      <c r="AD243" s="122"/>
      <c r="AE243" s="122"/>
      <c r="AF243" s="23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23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/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</row>
    <row r="244" spans="1:93">
      <c r="A244" s="23"/>
      <c r="B244" s="23" t="s">
        <v>712</v>
      </c>
      <c r="C244" s="23" t="s">
        <v>711</v>
      </c>
      <c r="D244" s="23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23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23"/>
      <c r="CB244" s="121"/>
      <c r="CC244" s="121"/>
      <c r="CD244" s="121"/>
      <c r="CE244" s="121"/>
      <c r="CF244" s="121"/>
      <c r="CG244" s="121"/>
      <c r="CH244" s="121"/>
      <c r="CI244" s="121"/>
      <c r="CJ244" s="121"/>
      <c r="CK244" s="121"/>
      <c r="CL244" s="121"/>
      <c r="CM244" s="23"/>
      <c r="CN244" s="23"/>
      <c r="CO244" s="23"/>
    </row>
    <row r="245" spans="1:93">
      <c r="A245" s="114"/>
      <c r="B245" s="124" t="s">
        <v>710</v>
      </c>
      <c r="C245" s="124" t="s">
        <v>709</v>
      </c>
      <c r="D245" s="124"/>
      <c r="E245" s="124"/>
      <c r="F245" s="124"/>
      <c r="G245" s="124"/>
      <c r="H245" s="124">
        <f t="shared" ref="H245:V245" si="277">SUM(H242:H244)</f>
        <v>-1706</v>
      </c>
      <c r="I245" s="124">
        <f t="shared" si="277"/>
        <v>-1573</v>
      </c>
      <c r="J245" s="124">
        <f t="shared" si="277"/>
        <v>-1043</v>
      </c>
      <c r="K245" s="124">
        <f t="shared" si="277"/>
        <v>-1191</v>
      </c>
      <c r="L245" s="124">
        <f t="shared" si="277"/>
        <v>-1806</v>
      </c>
      <c r="M245" s="124">
        <f t="shared" si="277"/>
        <v>-564</v>
      </c>
      <c r="N245" s="124">
        <f t="shared" si="277"/>
        <v>-216</v>
      </c>
      <c r="O245" s="124">
        <f t="shared" si="277"/>
        <v>-169</v>
      </c>
      <c r="P245" s="124">
        <f t="shared" si="277"/>
        <v>-10142</v>
      </c>
      <c r="Q245" s="124">
        <f t="shared" si="277"/>
        <v>-142</v>
      </c>
      <c r="R245" s="124">
        <f t="shared" si="277"/>
        <v>-82</v>
      </c>
      <c r="S245" s="124">
        <f t="shared" si="277"/>
        <v>-52</v>
      </c>
      <c r="T245" s="124">
        <f t="shared" si="277"/>
        <v>-52</v>
      </c>
      <c r="U245" s="124">
        <f t="shared" si="277"/>
        <v>-12</v>
      </c>
      <c r="V245" s="124">
        <f t="shared" si="277"/>
        <v>-149</v>
      </c>
      <c r="W245" s="124">
        <f t="shared" ref="W245:X245" si="278">SUM(W242:W244)</f>
        <v>-85</v>
      </c>
      <c r="X245" s="124">
        <f t="shared" si="278"/>
        <v>0</v>
      </c>
      <c r="Y245" s="124">
        <f t="shared" ref="Y245:Z245" si="279">SUM(Y242:Y244)</f>
        <v>-30</v>
      </c>
      <c r="Z245" s="124">
        <f t="shared" si="279"/>
        <v>0</v>
      </c>
      <c r="AA245" s="124">
        <f t="shared" ref="AA245:AB245" si="280">SUM(AA242:AA244)</f>
        <v>0</v>
      </c>
      <c r="AB245" s="124">
        <f t="shared" si="280"/>
        <v>0</v>
      </c>
      <c r="AC245" s="124">
        <f t="shared" ref="AC245:AD245" si="281">SUM(AC242:AC244)</f>
        <v>0</v>
      </c>
      <c r="AD245" s="124">
        <f t="shared" si="281"/>
        <v>0</v>
      </c>
      <c r="AE245" s="124">
        <f t="shared" ref="AE245" si="282">SUM(AE242:AE244)</f>
        <v>0</v>
      </c>
      <c r="AF245" s="11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1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14"/>
      <c r="CB245" s="124"/>
      <c r="CC245" s="124"/>
      <c r="CD245" s="124"/>
      <c r="CE245" s="124"/>
      <c r="CF245" s="124"/>
      <c r="CG245" s="124"/>
      <c r="CH245" s="124"/>
      <c r="CI245" s="124"/>
      <c r="CJ245" s="124"/>
      <c r="CK245" s="124"/>
      <c r="CL245" s="124"/>
      <c r="CM245" s="124"/>
      <c r="CN245" s="124"/>
      <c r="CO245" s="114"/>
    </row>
    <row r="246" spans="1:9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</row>
    <row r="247" spans="1:93">
      <c r="A247" s="114"/>
      <c r="B247" s="114" t="s">
        <v>708</v>
      </c>
      <c r="C247" s="114" t="s">
        <v>35</v>
      </c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  <c r="AT247" s="114"/>
      <c r="AU247" s="114"/>
      <c r="AV247" s="114"/>
      <c r="AW247" s="114"/>
      <c r="AX247" s="114"/>
      <c r="AY247" s="114"/>
      <c r="AZ247" s="114"/>
      <c r="BA247" s="114"/>
      <c r="BB247" s="114"/>
      <c r="BC247" s="114"/>
      <c r="BD247" s="114"/>
      <c r="BE247" s="114"/>
      <c r="BF247" s="114"/>
      <c r="BG247" s="114"/>
      <c r="BH247" s="114"/>
      <c r="BI247" s="114"/>
      <c r="BJ247" s="114"/>
      <c r="BK247" s="114"/>
      <c r="BL247" s="114"/>
      <c r="BM247" s="114"/>
      <c r="BN247" s="114"/>
      <c r="BO247" s="114"/>
      <c r="BP247" s="114"/>
      <c r="BQ247" s="114"/>
      <c r="BR247" s="114"/>
      <c r="BS247" s="114"/>
      <c r="BT247" s="114"/>
      <c r="BU247" s="114"/>
      <c r="BV247" s="114"/>
      <c r="BW247" s="114"/>
      <c r="BX247" s="114"/>
      <c r="BY247" s="114"/>
      <c r="BZ247" s="114"/>
      <c r="CA247" s="114"/>
      <c r="CB247" s="114"/>
      <c r="CC247" s="114"/>
      <c r="CD247" s="114"/>
      <c r="CE247" s="114"/>
      <c r="CF247" s="114"/>
      <c r="CG247" s="114"/>
      <c r="CH247" s="114"/>
      <c r="CI247" s="114"/>
      <c r="CJ247" s="114"/>
      <c r="CK247" s="114"/>
      <c r="CL247" s="114"/>
      <c r="CM247" s="114"/>
      <c r="CN247" s="114"/>
      <c r="CO247" s="114"/>
    </row>
    <row r="248" spans="1:9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</row>
    <row r="249" spans="1:93">
      <c r="A249" s="114"/>
      <c r="B249" s="114" t="s">
        <v>707</v>
      </c>
      <c r="C249" s="114" t="s">
        <v>706</v>
      </c>
      <c r="D249" s="114"/>
      <c r="E249" s="114"/>
      <c r="F249" s="114"/>
      <c r="G249" s="114"/>
      <c r="H249" s="114">
        <f t="shared" ref="H249:T249" si="283">H185-G185</f>
        <v>4463</v>
      </c>
      <c r="I249" s="114">
        <f t="shared" si="283"/>
        <v>2024</v>
      </c>
      <c r="J249" s="114">
        <f t="shared" si="283"/>
        <v>701</v>
      </c>
      <c r="K249" s="114">
        <f t="shared" si="283"/>
        <v>-2421</v>
      </c>
      <c r="L249" s="114">
        <f t="shared" si="283"/>
        <v>591</v>
      </c>
      <c r="M249" s="114">
        <f t="shared" si="283"/>
        <v>1158</v>
      </c>
      <c r="N249" s="114">
        <f t="shared" si="283"/>
        <v>958</v>
      </c>
      <c r="O249" s="114">
        <f t="shared" si="283"/>
        <v>540</v>
      </c>
      <c r="P249" s="114">
        <f t="shared" si="283"/>
        <v>811</v>
      </c>
      <c r="Q249" s="114">
        <f t="shared" si="283"/>
        <v>335</v>
      </c>
      <c r="R249" s="114">
        <f t="shared" si="283"/>
        <v>-2380</v>
      </c>
      <c r="S249" s="114">
        <f t="shared" si="283"/>
        <v>404</v>
      </c>
      <c r="T249" s="114">
        <f t="shared" si="283"/>
        <v>470</v>
      </c>
      <c r="U249" s="114">
        <v>-209</v>
      </c>
      <c r="V249" s="114">
        <v>-221</v>
      </c>
      <c r="W249" s="114">
        <v>-172</v>
      </c>
      <c r="X249" s="114">
        <v>-140</v>
      </c>
      <c r="Y249" s="114">
        <v>-149</v>
      </c>
      <c r="Z249" s="114">
        <v>-140</v>
      </c>
      <c r="AA249" s="114">
        <v>-145</v>
      </c>
      <c r="AB249" s="116">
        <v>-139</v>
      </c>
      <c r="AC249" s="116">
        <v>-140</v>
      </c>
      <c r="AD249" s="116">
        <v>-141</v>
      </c>
      <c r="AE249" s="116">
        <v>-145</v>
      </c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4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114"/>
      <c r="BP249" s="114"/>
      <c r="BQ249" s="114"/>
      <c r="BR249" s="114"/>
      <c r="BS249" s="114"/>
      <c r="BT249" s="114"/>
      <c r="BU249" s="114"/>
      <c r="BV249" s="114"/>
      <c r="BW249" s="114"/>
      <c r="BX249" s="114"/>
      <c r="BY249" s="114"/>
      <c r="BZ249" s="114"/>
      <c r="CA249" s="114"/>
      <c r="CB249" s="114"/>
      <c r="CC249" s="114"/>
      <c r="CD249" s="114"/>
      <c r="CE249" s="114"/>
      <c r="CF249" s="114"/>
      <c r="CG249" s="114"/>
      <c r="CH249" s="114"/>
      <c r="CI249" s="114"/>
      <c r="CJ249" s="114"/>
      <c r="CK249" s="114"/>
      <c r="CL249" s="114"/>
      <c r="CM249" s="114"/>
      <c r="CN249" s="114"/>
      <c r="CO249" s="114"/>
    </row>
    <row r="250" spans="1:93">
      <c r="A250" s="23"/>
      <c r="B250" s="23"/>
      <c r="C250" s="23"/>
      <c r="D250" s="23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23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23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23"/>
    </row>
    <row r="251" spans="1:93">
      <c r="A251" s="114"/>
      <c r="B251" s="114" t="s">
        <v>705</v>
      </c>
      <c r="C251" s="114" t="s">
        <v>704</v>
      </c>
      <c r="D251" s="114"/>
      <c r="E251" s="114"/>
      <c r="F251" s="114"/>
      <c r="G251" s="114"/>
      <c r="H251" s="114">
        <f t="shared" ref="H251:V251" si="284">H255-H234-H238-H240-H245-H247-H249</f>
        <v>9281</v>
      </c>
      <c r="I251" s="114">
        <f t="shared" si="284"/>
        <v>21636</v>
      </c>
      <c r="J251" s="114">
        <f t="shared" si="284"/>
        <v>-16769</v>
      </c>
      <c r="K251" s="114">
        <f t="shared" si="284"/>
        <v>15026</v>
      </c>
      <c r="L251" s="114">
        <f t="shared" si="284"/>
        <v>15208</v>
      </c>
      <c r="M251" s="114">
        <f t="shared" si="284"/>
        <v>16730</v>
      </c>
      <c r="N251" s="114">
        <f t="shared" si="284"/>
        <v>-9219</v>
      </c>
      <c r="O251" s="114">
        <f t="shared" si="284"/>
        <v>11245</v>
      </c>
      <c r="P251" s="114">
        <f t="shared" si="284"/>
        <v>13782</v>
      </c>
      <c r="Q251" s="114">
        <f t="shared" si="284"/>
        <v>-506</v>
      </c>
      <c r="R251" s="114">
        <f t="shared" si="284"/>
        <v>2345</v>
      </c>
      <c r="S251" s="114">
        <f t="shared" si="284"/>
        <v>-748</v>
      </c>
      <c r="T251" s="114">
        <f t="shared" si="284"/>
        <v>-806</v>
      </c>
      <c r="U251" s="114">
        <f t="shared" si="284"/>
        <v>-138</v>
      </c>
      <c r="V251" s="114">
        <f t="shared" si="284"/>
        <v>-242</v>
      </c>
      <c r="W251" s="114">
        <f t="shared" ref="W251:X251" si="285">W255-W234-W238-W240-W245-W247-W249</f>
        <v>-3661</v>
      </c>
      <c r="X251" s="114">
        <f t="shared" si="285"/>
        <v>-208</v>
      </c>
      <c r="Y251" s="114">
        <f t="shared" ref="Y251:Z251" si="286">Y255-Y234-Y238-Y240-Y245-Y247-Y249</f>
        <v>-458</v>
      </c>
      <c r="Z251" s="114">
        <f t="shared" si="286"/>
        <v>-238</v>
      </c>
      <c r="AA251" s="114">
        <f t="shared" ref="AA251:AB251" si="287">AA255-AA234-AA238-AA240-AA245-AA247-AA249</f>
        <v>-255</v>
      </c>
      <c r="AB251" s="114">
        <f t="shared" si="287"/>
        <v>-289</v>
      </c>
      <c r="AC251" s="114">
        <f t="shared" ref="AC251:AD251" si="288">AC255-AC234-AC238-AC240-AC245-AC247-AC249</f>
        <v>-313</v>
      </c>
      <c r="AD251" s="114">
        <f t="shared" si="288"/>
        <v>-298</v>
      </c>
      <c r="AE251" s="114">
        <f t="shared" ref="AE251" si="289">AE255-AE234-AE238-AE240-AE245-AE247-AE249</f>
        <v>-287</v>
      </c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  <c r="AT251" s="114"/>
      <c r="AU251" s="114"/>
      <c r="AV251" s="114"/>
      <c r="AW251" s="114"/>
      <c r="AX251" s="114"/>
      <c r="AY251" s="114"/>
      <c r="AZ251" s="114"/>
      <c r="BA251" s="114"/>
      <c r="BB251" s="114"/>
      <c r="BC251" s="114"/>
      <c r="BD251" s="114"/>
      <c r="BE251" s="114"/>
      <c r="BF251" s="114"/>
      <c r="BG251" s="114"/>
      <c r="BH251" s="114"/>
      <c r="BI251" s="114"/>
      <c r="BJ251" s="114"/>
      <c r="BK251" s="114"/>
      <c r="BL251" s="114"/>
      <c r="BM251" s="114"/>
      <c r="BN251" s="114"/>
      <c r="BO251" s="114"/>
      <c r="BP251" s="114"/>
      <c r="BQ251" s="114"/>
      <c r="BR251" s="114"/>
      <c r="BS251" s="114"/>
      <c r="BT251" s="114"/>
      <c r="BU251" s="114"/>
      <c r="BV251" s="114"/>
      <c r="BW251" s="114"/>
      <c r="BX251" s="114"/>
      <c r="BY251" s="114"/>
      <c r="BZ251" s="114"/>
      <c r="CA251" s="114"/>
      <c r="CB251" s="114"/>
      <c r="CC251" s="114"/>
      <c r="CD251" s="114"/>
      <c r="CE251" s="114"/>
      <c r="CF251" s="114"/>
      <c r="CG251" s="114"/>
      <c r="CH251" s="114"/>
      <c r="CI251" s="114"/>
      <c r="CJ251" s="114"/>
      <c r="CK251" s="114"/>
      <c r="CL251" s="114"/>
      <c r="CM251" s="114"/>
      <c r="CN251" s="114"/>
      <c r="CO251" s="114"/>
    </row>
    <row r="252" spans="1:9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</row>
    <row r="253" spans="1:93">
      <c r="A253" s="23"/>
      <c r="B253" s="23" t="s">
        <v>703</v>
      </c>
      <c r="C253" s="23" t="s">
        <v>702</v>
      </c>
      <c r="D253" s="23"/>
      <c r="E253" s="121"/>
      <c r="F253" s="121"/>
      <c r="G253" s="121"/>
      <c r="H253" s="121">
        <v>-5084</v>
      </c>
      <c r="I253" s="121">
        <v>3593</v>
      </c>
      <c r="J253" s="121">
        <v>-34858</v>
      </c>
      <c r="K253" s="121">
        <v>-5490</v>
      </c>
      <c r="L253" s="121">
        <v>-7998</v>
      </c>
      <c r="M253" s="121">
        <v>-6740</v>
      </c>
      <c r="N253" s="121">
        <v>-23557</v>
      </c>
      <c r="O253" s="121">
        <v>-8172</v>
      </c>
      <c r="P253" s="121">
        <v>-15599</v>
      </c>
      <c r="Q253" s="121">
        <v>-3572</v>
      </c>
      <c r="R253" s="121">
        <v>-5724</v>
      </c>
      <c r="S253" s="121">
        <v>-6188</v>
      </c>
      <c r="T253" s="121">
        <v>-4691</v>
      </c>
      <c r="U253" s="121">
        <v>-4565</v>
      </c>
      <c r="V253" s="23">
        <v>-6238</v>
      </c>
      <c r="W253" s="23">
        <v>-8987</v>
      </c>
      <c r="X253" s="23">
        <v>-5912</v>
      </c>
      <c r="Y253" s="23">
        <v>-6770</v>
      </c>
      <c r="Z253" s="23">
        <v>-6482</v>
      </c>
      <c r="AA253" s="23">
        <v>-6163</v>
      </c>
      <c r="AB253" s="122">
        <v>-8912</v>
      </c>
      <c r="AC253" s="122">
        <v>-8591</v>
      </c>
      <c r="AD253" s="122">
        <v>-9596</v>
      </c>
      <c r="AE253" s="122">
        <v>-9619</v>
      </c>
      <c r="AF253" s="23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23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</row>
    <row r="254" spans="1:93">
      <c r="A254" s="23"/>
      <c r="B254" s="23"/>
      <c r="C254" s="23" t="s">
        <v>701</v>
      </c>
      <c r="D254" s="23"/>
      <c r="E254" s="121"/>
      <c r="F254" s="121"/>
      <c r="G254" s="121"/>
      <c r="H254" s="121">
        <v>0</v>
      </c>
      <c r="I254" s="121">
        <v>27</v>
      </c>
      <c r="J254" s="121">
        <v>0</v>
      </c>
      <c r="K254" s="121">
        <v>1</v>
      </c>
      <c r="L254" s="121">
        <v>0</v>
      </c>
      <c r="M254" s="121">
        <v>0</v>
      </c>
      <c r="N254" s="121">
        <v>0</v>
      </c>
      <c r="O254" s="121">
        <v>0</v>
      </c>
      <c r="P254" s="121">
        <v>0</v>
      </c>
      <c r="Q254" s="121">
        <v>0</v>
      </c>
      <c r="R254" s="121">
        <v>0</v>
      </c>
      <c r="S254" s="121">
        <v>0</v>
      </c>
      <c r="T254" s="121">
        <v>0</v>
      </c>
      <c r="U254" s="121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/>
      <c r="AB254" s="23"/>
      <c r="AC254" s="23"/>
      <c r="AD254" s="23"/>
      <c r="AE254" s="23"/>
      <c r="AF254" s="23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23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</row>
    <row r="255" spans="1:93">
      <c r="A255" s="181"/>
      <c r="B255" s="182" t="s">
        <v>700</v>
      </c>
      <c r="C255" s="182" t="s">
        <v>699</v>
      </c>
      <c r="D255" s="182"/>
      <c r="E255" s="182"/>
      <c r="F255" s="182"/>
      <c r="G255" s="182"/>
      <c r="H255" s="182">
        <f t="shared" ref="H255:V255" si="290">H253+H254</f>
        <v>-5084</v>
      </c>
      <c r="I255" s="182">
        <f t="shared" si="290"/>
        <v>3620</v>
      </c>
      <c r="J255" s="182">
        <f t="shared" si="290"/>
        <v>-34858</v>
      </c>
      <c r="K255" s="182">
        <f t="shared" si="290"/>
        <v>-5489</v>
      </c>
      <c r="L255" s="182">
        <f t="shared" si="290"/>
        <v>-7998</v>
      </c>
      <c r="M255" s="182">
        <f t="shared" si="290"/>
        <v>-6740</v>
      </c>
      <c r="N255" s="182">
        <f t="shared" si="290"/>
        <v>-23557</v>
      </c>
      <c r="O255" s="182">
        <f t="shared" si="290"/>
        <v>-8172</v>
      </c>
      <c r="P255" s="182">
        <f t="shared" si="290"/>
        <v>-15599</v>
      </c>
      <c r="Q255" s="182">
        <f t="shared" si="290"/>
        <v>-3572</v>
      </c>
      <c r="R255" s="182">
        <f t="shared" si="290"/>
        <v>-5724</v>
      </c>
      <c r="S255" s="182">
        <f t="shared" si="290"/>
        <v>-6188</v>
      </c>
      <c r="T255" s="182">
        <f t="shared" si="290"/>
        <v>-4691</v>
      </c>
      <c r="U255" s="182">
        <f t="shared" si="290"/>
        <v>-4565</v>
      </c>
      <c r="V255" s="182">
        <f t="shared" si="290"/>
        <v>-6238</v>
      </c>
      <c r="W255" s="182">
        <f t="shared" ref="W255:AB255" si="291">W253+W254</f>
        <v>-8987</v>
      </c>
      <c r="X255" s="182">
        <f t="shared" si="291"/>
        <v>-5912</v>
      </c>
      <c r="Y255" s="182">
        <f t="shared" si="291"/>
        <v>-6770</v>
      </c>
      <c r="Z255" s="182">
        <f t="shared" si="291"/>
        <v>-6482</v>
      </c>
      <c r="AA255" s="182">
        <f t="shared" si="291"/>
        <v>-6163</v>
      </c>
      <c r="AB255" s="182">
        <f t="shared" si="291"/>
        <v>-8912</v>
      </c>
      <c r="AC255" s="182">
        <f t="shared" ref="AC255:AD255" si="292">AC253+AC254</f>
        <v>-8591</v>
      </c>
      <c r="AD255" s="182">
        <f t="shared" si="292"/>
        <v>-9596</v>
      </c>
      <c r="AE255" s="182">
        <f>AE253+AE254</f>
        <v>-9619</v>
      </c>
      <c r="AF255" s="181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1"/>
      <c r="AX255" s="182"/>
      <c r="AY255" s="182"/>
      <c r="AZ255" s="182"/>
      <c r="BA255" s="182"/>
      <c r="BB255" s="182"/>
      <c r="BC255" s="182"/>
      <c r="BD255" s="182"/>
      <c r="BE255" s="182"/>
      <c r="BF255" s="182"/>
      <c r="BG255" s="182"/>
      <c r="BH255" s="182"/>
      <c r="BI255" s="182"/>
      <c r="BJ255" s="182"/>
      <c r="BK255" s="182"/>
      <c r="BL255" s="182"/>
      <c r="BM255" s="182"/>
      <c r="BN255" s="182"/>
      <c r="BO255" s="182"/>
      <c r="BP255" s="182"/>
      <c r="BQ255" s="182"/>
      <c r="BR255" s="182"/>
      <c r="BS255" s="182"/>
      <c r="BT255" s="182"/>
      <c r="BU255" s="182"/>
      <c r="BV255" s="182"/>
      <c r="BW255" s="182"/>
      <c r="BX255" s="182"/>
      <c r="BY255" s="182"/>
      <c r="BZ255" s="182"/>
      <c r="CA255" s="181"/>
      <c r="CB255" s="182"/>
      <c r="CC255" s="182"/>
      <c r="CD255" s="182"/>
      <c r="CE255" s="182"/>
      <c r="CF255" s="182"/>
      <c r="CG255" s="182"/>
      <c r="CH255" s="182"/>
      <c r="CI255" s="182"/>
      <c r="CJ255" s="182"/>
      <c r="CK255" s="182"/>
      <c r="CL255" s="182"/>
      <c r="CM255" s="182"/>
      <c r="CN255" s="182"/>
      <c r="CO255" s="181"/>
    </row>
    <row r="256" spans="1:93" ht="12">
      <c r="A256" s="118"/>
      <c r="B256" s="117" t="s">
        <v>626</v>
      </c>
      <c r="C256" s="118"/>
      <c r="D256" s="117"/>
      <c r="E256" s="117"/>
      <c r="F256" s="117"/>
      <c r="G256" s="117"/>
      <c r="H256" s="117">
        <f>Model!H221-H255</f>
        <v>0</v>
      </c>
      <c r="I256" s="117">
        <f>Model!I221-I255</f>
        <v>0</v>
      </c>
      <c r="J256" s="117">
        <f>Model!J221-J255</f>
        <v>0</v>
      </c>
      <c r="K256" s="117">
        <f>Model!K221-K255</f>
        <v>0</v>
      </c>
      <c r="L256" s="117">
        <f>Model!L221-L255</f>
        <v>0</v>
      </c>
      <c r="M256" s="117">
        <f>Model!M221-M255</f>
        <v>0</v>
      </c>
      <c r="N256" s="117">
        <f>Model!N221-N255</f>
        <v>0</v>
      </c>
      <c r="O256" s="117">
        <f>Model!O221-O255</f>
        <v>0</v>
      </c>
      <c r="P256" s="117">
        <f>Model!P221-P255</f>
        <v>0</v>
      </c>
      <c r="Q256" s="117">
        <f>Model!Q221-Q255</f>
        <v>0</v>
      </c>
      <c r="R256" s="117">
        <f>Model!R221-R255</f>
        <v>0</v>
      </c>
      <c r="S256" s="117">
        <f>Model!S221-S255</f>
        <v>0</v>
      </c>
      <c r="T256" s="117">
        <f>Model!T221-T255</f>
        <v>0</v>
      </c>
      <c r="U256" s="117">
        <f>Model!U221-U255</f>
        <v>0</v>
      </c>
      <c r="V256" s="117">
        <f>Model!V221-V255</f>
        <v>0</v>
      </c>
      <c r="W256" s="117">
        <f>Model!W221-W255</f>
        <v>0</v>
      </c>
      <c r="X256" s="117">
        <f>Model!X221-X255</f>
        <v>0</v>
      </c>
      <c r="Y256" s="117">
        <f>Model!Y221-Y255</f>
        <v>0</v>
      </c>
      <c r="Z256" s="117">
        <f>Model!Z221-Z255</f>
        <v>0</v>
      </c>
      <c r="AA256" s="117">
        <f>Model!AA221-AA255</f>
        <v>0</v>
      </c>
      <c r="AB256" s="119">
        <f>Model!AB221-AB255</f>
        <v>0</v>
      </c>
      <c r="AC256" s="119">
        <f>Model!AC221-AC255</f>
        <v>0</v>
      </c>
      <c r="AD256" s="119">
        <f>Model!AD221-AD255</f>
        <v>0</v>
      </c>
      <c r="AE256" s="119">
        <f>Model!AE221-AE255</f>
        <v>0</v>
      </c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8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8"/>
    </row>
    <row r="257" spans="1:9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</row>
    <row r="258" spans="1:93">
      <c r="A258" s="114"/>
      <c r="B258" s="114" t="s">
        <v>698</v>
      </c>
      <c r="C258" s="114" t="s">
        <v>697</v>
      </c>
      <c r="D258" s="114"/>
      <c r="E258" s="115"/>
      <c r="F258" s="115"/>
      <c r="G258" s="115"/>
      <c r="H258" s="115">
        <v>-426</v>
      </c>
      <c r="I258" s="115">
        <v>-95</v>
      </c>
      <c r="J258" s="115">
        <v>221</v>
      </c>
      <c r="K258" s="115">
        <v>-287</v>
      </c>
      <c r="L258" s="115">
        <v>-350</v>
      </c>
      <c r="M258" s="115">
        <v>87</v>
      </c>
      <c r="N258" s="115">
        <v>468</v>
      </c>
      <c r="O258" s="115">
        <v>61</v>
      </c>
      <c r="P258" s="115">
        <v>-2612</v>
      </c>
      <c r="Q258" s="115">
        <v>-367</v>
      </c>
      <c r="R258" s="115">
        <v>-1250</v>
      </c>
      <c r="S258" s="115">
        <v>-2256</v>
      </c>
      <c r="T258" s="115">
        <v>-319</v>
      </c>
      <c r="U258" s="115">
        <v>3094</v>
      </c>
      <c r="V258" s="114">
        <v>1462</v>
      </c>
      <c r="W258" s="114">
        <v>2582</v>
      </c>
      <c r="X258" s="114">
        <v>-824</v>
      </c>
      <c r="Y258" s="114">
        <v>-312</v>
      </c>
      <c r="Z258" s="114">
        <v>-321</v>
      </c>
      <c r="AA258" s="114">
        <v>370</v>
      </c>
      <c r="AB258" s="116">
        <v>-215</v>
      </c>
      <c r="AC258" s="116">
        <v>228</v>
      </c>
      <c r="AD258" s="116">
        <v>130</v>
      </c>
      <c r="AE258" s="116">
        <v>1009</v>
      </c>
      <c r="AF258" s="114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  <c r="AW258" s="114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115"/>
      <c r="BH258" s="115"/>
      <c r="BI258" s="115"/>
      <c r="BJ258" s="115"/>
      <c r="BK258" s="115"/>
      <c r="BL258" s="115"/>
      <c r="BM258" s="115"/>
      <c r="BN258" s="115"/>
      <c r="BO258" s="115"/>
      <c r="BP258" s="115"/>
      <c r="BQ258" s="115"/>
      <c r="BR258" s="115"/>
      <c r="BS258" s="115"/>
      <c r="BT258" s="115"/>
      <c r="BU258" s="115"/>
      <c r="BV258" s="115"/>
      <c r="BW258" s="115"/>
      <c r="BX258" s="115"/>
      <c r="BY258" s="115"/>
      <c r="BZ258" s="115"/>
      <c r="CA258" s="114"/>
      <c r="CB258" s="115"/>
      <c r="CC258" s="115"/>
      <c r="CD258" s="115"/>
      <c r="CE258" s="115"/>
      <c r="CF258" s="115"/>
      <c r="CG258" s="115"/>
      <c r="CH258" s="115"/>
      <c r="CI258" s="115"/>
      <c r="CJ258" s="115"/>
      <c r="CK258" s="115"/>
      <c r="CL258" s="115"/>
      <c r="CM258" s="114"/>
      <c r="CN258" s="114"/>
      <c r="CO258" s="114"/>
    </row>
    <row r="259" spans="1:93" ht="12">
      <c r="A259" s="119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119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119"/>
    </row>
    <row r="260" spans="1:93">
      <c r="A260" s="23"/>
      <c r="B260" s="23" t="s">
        <v>696</v>
      </c>
      <c r="C260" s="23" t="s">
        <v>695</v>
      </c>
      <c r="D260" s="23"/>
      <c r="E260" s="23"/>
      <c r="F260" s="23"/>
      <c r="G260" s="23"/>
      <c r="H260" s="23">
        <f t="shared" ref="H260:U260" si="293">H214+H229+H255+H258</f>
        <v>6169</v>
      </c>
      <c r="I260" s="23">
        <f t="shared" si="293"/>
        <v>14756</v>
      </c>
      <c r="J260" s="23">
        <f t="shared" si="293"/>
        <v>-27405</v>
      </c>
      <c r="K260" s="23">
        <f t="shared" si="293"/>
        <v>2324</v>
      </c>
      <c r="L260" s="23">
        <f t="shared" si="293"/>
        <v>4133</v>
      </c>
      <c r="M260" s="23">
        <f t="shared" si="293"/>
        <v>4065</v>
      </c>
      <c r="N260" s="23">
        <f t="shared" si="293"/>
        <v>3014</v>
      </c>
      <c r="O260" s="23">
        <f t="shared" si="293"/>
        <v>4041</v>
      </c>
      <c r="P260" s="23">
        <f t="shared" si="293"/>
        <v>703</v>
      </c>
      <c r="Q260" s="23">
        <f t="shared" si="293"/>
        <v>11969</v>
      </c>
      <c r="R260" s="23">
        <f t="shared" si="293"/>
        <v>-2992</v>
      </c>
      <c r="S260" s="23">
        <f t="shared" si="293"/>
        <v>9408</v>
      </c>
      <c r="T260" s="23">
        <f t="shared" si="293"/>
        <v>-16589</v>
      </c>
      <c r="U260" s="23">
        <f t="shared" si="293"/>
        <v>11938</v>
      </c>
      <c r="V260" s="23">
        <v>-3920</v>
      </c>
      <c r="W260" s="23">
        <v>-13740</v>
      </c>
      <c r="X260" s="23">
        <v>-6170</v>
      </c>
      <c r="Y260" s="23">
        <v>-4281</v>
      </c>
      <c r="Z260" s="23">
        <v>2181</v>
      </c>
      <c r="AA260" s="23">
        <v>-2123</v>
      </c>
      <c r="AB260" s="122">
        <v>20110</v>
      </c>
      <c r="AC260" s="122">
        <v>-10564</v>
      </c>
      <c r="AD260" s="122">
        <f>+AD214+AD229+AD255+AD258</f>
        <v>-3481</v>
      </c>
      <c r="AE260" s="122">
        <f>+AE214+AE229+AE255+AE258</f>
        <v>8217</v>
      </c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</row>
    <row r="261" spans="1:93" ht="12">
      <c r="A261" s="183"/>
      <c r="B261" s="117" t="s">
        <v>626</v>
      </c>
      <c r="C261" s="118"/>
      <c r="D261" s="117"/>
      <c r="E261" s="117"/>
      <c r="F261" s="117"/>
      <c r="G261" s="117"/>
      <c r="H261" s="117">
        <f>Model!H225-H260</f>
        <v>0</v>
      </c>
      <c r="I261" s="117">
        <f>Model!I225-I260</f>
        <v>0</v>
      </c>
      <c r="J261" s="117">
        <f>Model!J225-J260</f>
        <v>0</v>
      </c>
      <c r="K261" s="117">
        <f>Model!K225-K260</f>
        <v>0</v>
      </c>
      <c r="L261" s="117">
        <f>Model!L225-L260</f>
        <v>0</v>
      </c>
      <c r="M261" s="117">
        <f>Model!M225-M260</f>
        <v>0</v>
      </c>
      <c r="N261" s="117">
        <f>Model!N225-N260</f>
        <v>0</v>
      </c>
      <c r="O261" s="117">
        <f>Model!O225-O260</f>
        <v>0</v>
      </c>
      <c r="P261" s="117">
        <f>Model!P225-P260</f>
        <v>0</v>
      </c>
      <c r="Q261" s="117">
        <f>Model!Q225-Q260</f>
        <v>198</v>
      </c>
      <c r="R261" s="117">
        <f>Model!R225-R260</f>
        <v>126</v>
      </c>
      <c r="S261" s="117">
        <f>Model!S225-S260</f>
        <v>1106</v>
      </c>
      <c r="T261" s="117">
        <f>Model!T225-T260</f>
        <v>19149</v>
      </c>
      <c r="U261" s="117">
        <f>Model!U225-U260</f>
        <v>5851</v>
      </c>
      <c r="V261" s="117">
        <f>Model!V225-V260</f>
        <v>14205</v>
      </c>
      <c r="W261" s="117">
        <f>Model!W225-W260</f>
        <v>31789</v>
      </c>
      <c r="X261" s="117">
        <f>Model!X225-X260</f>
        <v>12403</v>
      </c>
      <c r="Y261" s="117">
        <f>Model!Y225-Y260</f>
        <v>12926</v>
      </c>
      <c r="Z261" s="117">
        <f>Model!Z225-Z260</f>
        <v>-4620</v>
      </c>
      <c r="AA261" s="117">
        <f>Model!AA225-AA260</f>
        <v>1633</v>
      </c>
      <c r="AB261" s="119">
        <f>Model!AB225-AB260</f>
        <v>-2636</v>
      </c>
      <c r="AC261" s="119">
        <f>Model!AC225-AC260</f>
        <v>34354</v>
      </c>
      <c r="AD261" s="119">
        <f>Model!AD225-AD260</f>
        <v>21859</v>
      </c>
      <c r="AE261" s="119">
        <f>Model!AE225-AE260</f>
        <v>-126</v>
      </c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83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83"/>
    </row>
    <row r="262" spans="1:9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</row>
    <row r="263" spans="1:93" ht="12">
      <c r="A263" s="18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184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184"/>
    </row>
    <row r="264" spans="1:93">
      <c r="A264" s="185"/>
      <c r="B264" s="185"/>
      <c r="C264" s="23"/>
      <c r="D264" s="185"/>
      <c r="E264" s="185"/>
      <c r="F264" s="185"/>
      <c r="G264" s="185"/>
      <c r="H264" s="185"/>
      <c r="I264" s="185"/>
      <c r="J264" s="185"/>
      <c r="K264" s="185"/>
      <c r="L264" s="185"/>
      <c r="M264" s="185"/>
      <c r="N264" s="185"/>
      <c r="O264" s="185"/>
      <c r="P264" s="185"/>
      <c r="Q264" s="185"/>
      <c r="R264" s="185"/>
      <c r="S264" s="185"/>
      <c r="T264" s="185"/>
      <c r="U264" s="185"/>
      <c r="V264" s="185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5"/>
      <c r="AN264" s="185"/>
      <c r="AO264" s="185"/>
      <c r="AP264" s="185"/>
      <c r="AQ264" s="185"/>
      <c r="AR264" s="185"/>
      <c r="AS264" s="185"/>
      <c r="AT264" s="185"/>
      <c r="AU264" s="185"/>
      <c r="AV264" s="185"/>
      <c r="AX264" s="185"/>
      <c r="AY264" s="185"/>
      <c r="AZ264" s="185"/>
      <c r="BA264" s="185"/>
      <c r="BB264" s="185"/>
      <c r="BC264" s="185"/>
      <c r="BD264" s="185"/>
      <c r="BE264" s="185"/>
      <c r="BF264" s="185"/>
      <c r="BG264" s="185"/>
      <c r="BH264" s="185"/>
      <c r="BI264" s="185"/>
      <c r="BJ264" s="185"/>
      <c r="BK264" s="185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  <c r="BW264" s="185"/>
      <c r="BX264" s="185"/>
      <c r="BY264" s="185"/>
      <c r="BZ264" s="185"/>
      <c r="CA264" s="185"/>
      <c r="CB264" s="185"/>
      <c r="CC264" s="185"/>
      <c r="CD264" s="185"/>
      <c r="CE264" s="185"/>
      <c r="CF264" s="185"/>
      <c r="CG264" s="185"/>
      <c r="CH264" s="185"/>
      <c r="CI264" s="185"/>
      <c r="CJ264" s="185"/>
      <c r="CK264" s="185"/>
      <c r="CL264" s="185"/>
      <c r="CM264" s="185"/>
      <c r="CN264" s="185"/>
    </row>
    <row r="265" spans="1:93">
      <c r="A265" s="185"/>
      <c r="B265" s="185"/>
      <c r="C265" s="23"/>
      <c r="D265" s="185"/>
      <c r="E265" s="185"/>
      <c r="F265" s="185"/>
      <c r="G265" s="185"/>
      <c r="H265" s="185"/>
      <c r="I265" s="185"/>
      <c r="J265" s="185"/>
      <c r="K265" s="185"/>
      <c r="L265" s="185"/>
      <c r="M265" s="185"/>
      <c r="N265" s="185"/>
      <c r="O265" s="185"/>
      <c r="P265" s="185"/>
      <c r="Q265" s="185"/>
      <c r="R265" s="185"/>
      <c r="S265" s="185"/>
      <c r="T265" s="185"/>
      <c r="U265" s="185"/>
      <c r="V265" s="185"/>
      <c r="W265" s="185"/>
      <c r="X265" s="185"/>
      <c r="Y265" s="185"/>
      <c r="Z265" s="185"/>
      <c r="AA265" s="185"/>
      <c r="AB265" s="185"/>
      <c r="AC265" s="185"/>
      <c r="AD265" s="185"/>
      <c r="AE265" s="185"/>
      <c r="AF265" s="185"/>
      <c r="AG265" s="185"/>
      <c r="AH265" s="185"/>
      <c r="AI265" s="185"/>
      <c r="AJ265" s="185"/>
      <c r="AK265" s="185"/>
      <c r="AL265" s="185"/>
      <c r="AM265" s="185"/>
      <c r="AN265" s="185"/>
      <c r="AO265" s="185"/>
      <c r="AP265" s="185"/>
      <c r="AQ265" s="185"/>
      <c r="AR265" s="185"/>
      <c r="AS265" s="185"/>
      <c r="AT265" s="185"/>
      <c r="AU265" s="185"/>
      <c r="AV265" s="185"/>
      <c r="AX265" s="185"/>
      <c r="AY265" s="185"/>
      <c r="AZ265" s="185"/>
      <c r="BA265" s="185"/>
      <c r="BB265" s="185"/>
      <c r="BC265" s="185"/>
      <c r="BD265" s="185"/>
      <c r="BE265" s="185"/>
      <c r="BF265" s="185"/>
      <c r="BG265" s="185"/>
      <c r="BH265" s="185"/>
      <c r="BI265" s="185"/>
      <c r="BJ265" s="185"/>
      <c r="BK265" s="185"/>
      <c r="BL265" s="185"/>
      <c r="BM265" s="185"/>
      <c r="BN265" s="185"/>
      <c r="BO265" s="185"/>
      <c r="BP265" s="185"/>
      <c r="BQ265" s="185"/>
      <c r="BR265" s="185"/>
      <c r="BS265" s="185"/>
      <c r="BT265" s="185"/>
      <c r="BU265" s="185"/>
      <c r="BV265" s="185"/>
      <c r="BW265" s="185"/>
      <c r="BX265" s="185"/>
      <c r="BY265" s="185"/>
      <c r="BZ265" s="185"/>
      <c r="CA265" s="185"/>
      <c r="CB265" s="185"/>
      <c r="CC265" s="185"/>
      <c r="CD265" s="185"/>
      <c r="CE265" s="185"/>
      <c r="CF265" s="185"/>
      <c r="CG265" s="185"/>
      <c r="CH265" s="185"/>
      <c r="CI265" s="185"/>
      <c r="CJ265" s="185"/>
      <c r="CK265" s="185"/>
      <c r="CL265" s="185"/>
      <c r="CM265" s="185"/>
      <c r="CN265" s="185"/>
    </row>
    <row r="266" spans="1:93">
      <c r="A266" s="185"/>
      <c r="B266" s="185"/>
      <c r="C266" s="23"/>
      <c r="D266" s="185"/>
      <c r="E266" s="185"/>
      <c r="F266" s="185"/>
      <c r="G266" s="185"/>
      <c r="H266" s="185"/>
      <c r="I266" s="185"/>
      <c r="J266" s="185"/>
      <c r="K266" s="185"/>
      <c r="L266" s="185"/>
      <c r="M266" s="185"/>
      <c r="N266" s="185"/>
      <c r="O266" s="185"/>
      <c r="P266" s="185"/>
      <c r="Q266" s="185"/>
      <c r="R266" s="185"/>
      <c r="S266" s="185"/>
      <c r="T266" s="185"/>
      <c r="U266" s="185"/>
      <c r="V266" s="185"/>
      <c r="W266" s="185"/>
      <c r="X266" s="185"/>
      <c r="Y266" s="185"/>
      <c r="Z266" s="185"/>
      <c r="AA266" s="185"/>
      <c r="AB266" s="185"/>
      <c r="AC266" s="185"/>
      <c r="AD266" s="185"/>
      <c r="AE266" s="185"/>
      <c r="AF266" s="185"/>
      <c r="AG266" s="185"/>
      <c r="AH266" s="185"/>
      <c r="AI266" s="185"/>
      <c r="AJ266" s="185"/>
      <c r="AK266" s="185"/>
      <c r="AL266" s="185"/>
      <c r="AM266" s="185"/>
      <c r="AN266" s="185"/>
      <c r="AO266" s="185"/>
      <c r="AP266" s="185"/>
      <c r="AQ266" s="185"/>
      <c r="AR266" s="185"/>
      <c r="AS266" s="185"/>
      <c r="AT266" s="185"/>
      <c r="AU266" s="185"/>
      <c r="AV266" s="185"/>
      <c r="AX266" s="185"/>
      <c r="AY266" s="185"/>
      <c r="AZ266" s="185"/>
      <c r="BA266" s="185"/>
      <c r="BB266" s="185"/>
      <c r="BC266" s="185"/>
      <c r="BD266" s="185"/>
      <c r="BE266" s="185"/>
      <c r="BF266" s="185"/>
      <c r="BG266" s="185"/>
      <c r="BH266" s="185"/>
      <c r="BI266" s="185"/>
      <c r="BJ266" s="185"/>
      <c r="BK266" s="185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  <c r="BW266" s="185"/>
      <c r="BX266" s="185"/>
      <c r="BY266" s="185"/>
      <c r="BZ266" s="185"/>
      <c r="CA266" s="185"/>
      <c r="CB266" s="185"/>
      <c r="CC266" s="185"/>
      <c r="CD266" s="185"/>
      <c r="CE266" s="185"/>
      <c r="CF266" s="185"/>
      <c r="CG266" s="185"/>
      <c r="CH266" s="185"/>
      <c r="CI266" s="185"/>
      <c r="CJ266" s="185"/>
      <c r="CK266" s="185"/>
      <c r="CL266" s="185"/>
      <c r="CM266" s="185"/>
      <c r="CN266" s="185"/>
    </row>
    <row r="267" spans="1:93">
      <c r="A267" s="185"/>
      <c r="B267" s="185" t="s">
        <v>10</v>
      </c>
      <c r="C267" s="23" t="s">
        <v>0</v>
      </c>
      <c r="D267" s="185"/>
      <c r="E267" s="185"/>
      <c r="F267" s="185"/>
      <c r="G267" s="185"/>
      <c r="H267" s="185"/>
      <c r="I267" s="185"/>
      <c r="J267" s="185"/>
      <c r="K267" s="185"/>
      <c r="L267" s="185"/>
      <c r="M267" s="185"/>
      <c r="N267" s="185"/>
      <c r="O267" s="185"/>
      <c r="P267" s="185"/>
      <c r="Q267" s="185"/>
      <c r="R267" s="185"/>
      <c r="S267" s="185"/>
      <c r="T267" s="185"/>
      <c r="U267" s="185"/>
      <c r="V267" s="185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5"/>
      <c r="AN267" s="185"/>
      <c r="AO267" s="185"/>
      <c r="AP267" s="185"/>
      <c r="AQ267" s="185"/>
      <c r="AR267" s="185"/>
      <c r="AS267" s="185"/>
      <c r="AT267" s="185"/>
      <c r="AU267" s="185"/>
      <c r="AV267" s="185"/>
      <c r="AX267" s="185"/>
      <c r="AY267" s="185"/>
      <c r="AZ267" s="185"/>
      <c r="BA267" s="185"/>
      <c r="BB267" s="185"/>
      <c r="BC267" s="185"/>
      <c r="BD267" s="185"/>
      <c r="BE267" s="185"/>
      <c r="BF267" s="185"/>
      <c r="BG267" s="185"/>
      <c r="BH267" s="185"/>
      <c r="BI267" s="185"/>
      <c r="BJ267" s="185"/>
      <c r="BK267" s="185"/>
      <c r="BL267" s="185"/>
      <c r="BM267" s="185"/>
      <c r="BN267" s="185"/>
      <c r="BO267" s="185"/>
      <c r="BP267" s="185"/>
      <c r="BQ267" s="185"/>
      <c r="BR267" s="185"/>
      <c r="BS267" s="185"/>
      <c r="BT267" s="185"/>
      <c r="BU267" s="185"/>
      <c r="BV267" s="185"/>
      <c r="BW267" s="185"/>
      <c r="BX267" s="185"/>
      <c r="BY267" s="185"/>
      <c r="BZ267" s="185"/>
      <c r="CA267" s="185"/>
      <c r="CB267" s="185"/>
      <c r="CC267" s="185"/>
      <c r="CD267" s="185"/>
      <c r="CE267" s="185"/>
      <c r="CF267" s="185"/>
      <c r="CG267" s="185"/>
      <c r="CH267" s="185"/>
      <c r="CI267" s="185"/>
      <c r="CJ267" s="185"/>
      <c r="CK267" s="185"/>
      <c r="CL267" s="185"/>
      <c r="CM267" s="185"/>
      <c r="CN267" s="185"/>
    </row>
    <row r="268" spans="1:93">
      <c r="C268" s="1"/>
      <c r="D268" s="185"/>
      <c r="E268" s="185"/>
      <c r="F268" s="185"/>
      <c r="G268" s="185"/>
      <c r="H268" s="185"/>
      <c r="I268" s="185"/>
      <c r="J268" s="185"/>
      <c r="K268" s="185"/>
      <c r="L268" s="185"/>
      <c r="M268" s="185"/>
      <c r="N268" s="185"/>
      <c r="O268" s="185"/>
      <c r="P268" s="185"/>
      <c r="Q268" s="185"/>
      <c r="R268" s="185"/>
      <c r="S268" s="185"/>
      <c r="T268" s="185"/>
      <c r="U268" s="185"/>
      <c r="V268" s="185"/>
      <c r="W268" s="185"/>
      <c r="X268" s="185"/>
      <c r="Y268" s="185"/>
      <c r="Z268" s="185"/>
      <c r="AA268" s="185"/>
      <c r="AB268" s="185"/>
      <c r="AC268" s="185"/>
      <c r="AD268" s="185"/>
      <c r="AE268" s="185"/>
      <c r="AF268" s="185"/>
      <c r="AG268" s="185"/>
      <c r="AH268" s="185"/>
      <c r="AI268" s="185"/>
      <c r="AJ268" s="185"/>
      <c r="AK268" s="185"/>
      <c r="AL268" s="185"/>
      <c r="AM268" s="185"/>
      <c r="AN268" s="185"/>
      <c r="AO268" s="185"/>
      <c r="AP268" s="185"/>
      <c r="AQ268" s="185"/>
      <c r="AR268" s="185"/>
      <c r="AS268" s="185"/>
      <c r="AT268" s="185"/>
      <c r="AU268" s="185"/>
      <c r="AV268" s="185"/>
      <c r="AX268" s="185"/>
      <c r="AY268" s="185"/>
      <c r="AZ268" s="185"/>
      <c r="BA268" s="185"/>
      <c r="BB268" s="185"/>
      <c r="BC268" s="185"/>
      <c r="BD268" s="185"/>
      <c r="BE268" s="185"/>
      <c r="BF268" s="185"/>
      <c r="BG268" s="185"/>
      <c r="BH268" s="185"/>
      <c r="BI268" s="185"/>
      <c r="BJ268" s="185"/>
      <c r="BK268" s="185"/>
      <c r="BL268" s="185"/>
      <c r="BM268" s="185"/>
      <c r="BN268" s="185"/>
      <c r="BO268" s="185"/>
      <c r="BP268" s="185"/>
      <c r="BQ268" s="185"/>
      <c r="BR268" s="185"/>
      <c r="BS268" s="185"/>
      <c r="BT268" s="185"/>
      <c r="BU268" s="185"/>
      <c r="BV268" s="185"/>
      <c r="BW268" s="185"/>
      <c r="BX268" s="185"/>
      <c r="BY268" s="185"/>
      <c r="BZ268" s="185"/>
      <c r="CA268" s="185"/>
      <c r="CB268" s="185"/>
      <c r="CC268" s="185"/>
      <c r="CD268" s="185"/>
      <c r="CE268" s="185"/>
      <c r="CF268" s="185"/>
      <c r="CG268" s="185"/>
      <c r="CH268" s="185"/>
      <c r="CI268" s="185"/>
      <c r="CJ268" s="185"/>
      <c r="CK268" s="185"/>
      <c r="CL268" s="185"/>
      <c r="CM268" s="185"/>
      <c r="CN268" s="185"/>
    </row>
  </sheetData>
  <phoneticPr fontId="96"/>
  <dataValidations count="1">
    <dataValidation allowBlank="1" sqref="C183 C187 C117:C118 C78:C79 C83 A1 C31:C32 C89 C189" xr:uid="{00000000-0002-0000-1200-000000000000}"/>
  </dataValidations>
  <pageMargins left="0.7" right="0.7" top="0.75" bottom="0.75" header="0.3" footer="0.3"/>
  <pageSetup orientation="portrait" r:id="rId1"/>
  <customProperties>
    <customPr name="Qube.Worksheet.Visibility" r:id="rId2"/>
    <customPr name="QXL_SHEET_ID" r:id="rId3"/>
  </customProperties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458B-7F4C-4E96-9D2A-5674FCFB873F}">
  <dimension ref="D1:AH42"/>
  <sheetViews>
    <sheetView zoomScaleNormal="100" workbookViewId="0"/>
  </sheetViews>
  <sheetFormatPr defaultColWidth="9" defaultRowHeight="14"/>
  <cols>
    <col min="1" max="16384" width="9" style="2238"/>
  </cols>
  <sheetData>
    <row r="1" spans="4:34">
      <c r="AA1" s="2238" t="s">
        <v>1239</v>
      </c>
      <c r="AB1" s="2238" t="s">
        <v>1240</v>
      </c>
      <c r="AC1" s="2238" t="s">
        <v>1386</v>
      </c>
      <c r="AD1" s="2238" t="s">
        <v>1405</v>
      </c>
      <c r="AE1" s="2238" t="s">
        <v>1544</v>
      </c>
      <c r="AF1" s="2238" t="s">
        <v>1545</v>
      </c>
      <c r="AG1" s="2238" t="s">
        <v>1546</v>
      </c>
      <c r="AH1" s="2238" t="s">
        <v>1547</v>
      </c>
    </row>
    <row r="3" spans="4:34">
      <c r="D3" s="2237" t="s">
        <v>5</v>
      </c>
      <c r="L3" s="2237" t="s">
        <v>1248</v>
      </c>
      <c r="T3" s="2237" t="s">
        <v>1248</v>
      </c>
    </row>
    <row r="22" spans="4:20">
      <c r="D22" s="2237" t="s">
        <v>666</v>
      </c>
      <c r="L22" s="2237" t="s">
        <v>1504</v>
      </c>
      <c r="T22" s="2237" t="s">
        <v>1074</v>
      </c>
    </row>
    <row r="42" spans="4:4">
      <c r="D42" s="2237" t="s">
        <v>11</v>
      </c>
    </row>
  </sheetData>
  <pageMargins left="0.7" right="0.7" top="0.75" bottom="0.75" header="0.3" footer="0.3"/>
  <pageSetup paperSize="0" orientation="portrait" r:id="rId1"/>
  <customProperties>
    <customPr name="Qube.Worksheet.Visibility" r:id="rId2"/>
  </customPropertie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EA5C-FDC2-45E7-A53E-F8EDAA81BDDD}">
  <sheetPr>
    <pageSetUpPr fitToPage="1"/>
  </sheetPr>
  <dimension ref="B4:Q63"/>
  <sheetViews>
    <sheetView zoomScale="90" zoomScaleNormal="90" workbookViewId="0"/>
  </sheetViews>
  <sheetFormatPr defaultColWidth="9" defaultRowHeight="14"/>
  <cols>
    <col min="1" max="1" width="9" style="2238"/>
    <col min="2" max="2" width="24.08203125" style="2238" customWidth="1"/>
    <col min="3" max="3" width="27.08203125" style="2238" customWidth="1"/>
    <col min="4" max="16" width="9" style="2238"/>
    <col min="17" max="17" width="13" style="2238" customWidth="1"/>
    <col min="18" max="16384" width="9" style="2238"/>
  </cols>
  <sheetData>
    <row r="4" spans="2:6">
      <c r="B4" s="2238" t="s">
        <v>1508</v>
      </c>
    </row>
    <row r="5" spans="2:6">
      <c r="B5" s="2237" t="s">
        <v>1537</v>
      </c>
      <c r="C5" s="2237" t="s">
        <v>1537</v>
      </c>
      <c r="D5" s="2303">
        <f>+Driver!AK242</f>
        <v>40329</v>
      </c>
      <c r="E5" s="2303">
        <f>+Driver!AL242</f>
        <v>59500</v>
      </c>
      <c r="F5" s="2303">
        <f>+Driver!AM242</f>
        <v>64000</v>
      </c>
    </row>
    <row r="6" spans="2:6">
      <c r="B6" s="2302" t="s">
        <v>1539</v>
      </c>
      <c r="C6" s="2238" t="s">
        <v>1533</v>
      </c>
      <c r="D6" s="2304">
        <f>+Driver!AL560</f>
        <v>-2000</v>
      </c>
      <c r="E6" s="2304">
        <f>+Driver!AM560</f>
        <v>500</v>
      </c>
      <c r="F6" s="2304">
        <f>+Driver!AN560</f>
        <v>-100</v>
      </c>
    </row>
    <row r="7" spans="2:6">
      <c r="B7" s="2302"/>
      <c r="C7" s="2238" t="s">
        <v>1534</v>
      </c>
      <c r="D7" s="2304">
        <f>+Driver!AL561</f>
        <v>8500</v>
      </c>
      <c r="E7" s="2304">
        <f>+Driver!AM561</f>
        <v>0</v>
      </c>
      <c r="F7" s="2304">
        <f>+Driver!AN561</f>
        <v>0</v>
      </c>
    </row>
    <row r="8" spans="2:6">
      <c r="B8" s="2302"/>
      <c r="C8" s="2238" t="s">
        <v>1535</v>
      </c>
      <c r="D8" s="2304">
        <f>+Driver!AL562</f>
        <v>-3400</v>
      </c>
      <c r="E8" s="2304">
        <f>+Driver!AM562</f>
        <v>900</v>
      </c>
      <c r="F8" s="2304">
        <f>+Driver!AN562</f>
        <v>700</v>
      </c>
    </row>
    <row r="9" spans="2:6">
      <c r="B9" s="2302"/>
      <c r="C9" s="2238" t="s">
        <v>1536</v>
      </c>
      <c r="D9" s="2304">
        <f>+Driver!AL563</f>
        <v>-400</v>
      </c>
      <c r="E9" s="2304">
        <f>+Driver!AM563</f>
        <v>400</v>
      </c>
      <c r="F9" s="2304">
        <f>+Driver!AN563</f>
        <v>-100</v>
      </c>
    </row>
    <row r="10" spans="2:6">
      <c r="B10" s="2302" t="s">
        <v>1540</v>
      </c>
      <c r="C10" s="2238" t="s">
        <v>1533</v>
      </c>
      <c r="D10" s="2303">
        <f>+Driver!AL565</f>
        <v>1900</v>
      </c>
      <c r="E10" s="2303">
        <f>+Driver!AM565</f>
        <v>5600</v>
      </c>
      <c r="F10" s="2303">
        <f>+Driver!AN565</f>
        <v>4600</v>
      </c>
    </row>
    <row r="11" spans="2:6">
      <c r="B11" s="2302"/>
      <c r="C11" s="2238" t="s">
        <v>1534</v>
      </c>
      <c r="D11" s="2303">
        <f>+Driver!AL566</f>
        <v>13000</v>
      </c>
      <c r="E11" s="2303">
        <f>+Driver!AM566</f>
        <v>-1300</v>
      </c>
      <c r="F11" s="2303">
        <f>+Driver!AN566</f>
        <v>700</v>
      </c>
    </row>
    <row r="12" spans="2:6">
      <c r="B12" s="2302"/>
      <c r="C12" s="2238" t="s">
        <v>1541</v>
      </c>
      <c r="D12" s="2303">
        <f>+Driver!AL567</f>
        <v>1300</v>
      </c>
      <c r="E12" s="2303">
        <f>+Driver!AM567</f>
        <v>0</v>
      </c>
      <c r="F12" s="2303">
        <f>+Driver!AN567</f>
        <v>0</v>
      </c>
    </row>
    <row r="13" spans="2:6">
      <c r="B13" s="2302"/>
      <c r="C13" s="2238" t="s">
        <v>1535</v>
      </c>
      <c r="D13" s="2303">
        <f>+Driver!AL568</f>
        <v>2600</v>
      </c>
      <c r="E13" s="2303">
        <f>+Driver!AM568</f>
        <v>1800</v>
      </c>
      <c r="F13" s="2303">
        <f>+Driver!AN568</f>
        <v>0</v>
      </c>
    </row>
    <row r="14" spans="2:6">
      <c r="B14" s="2302"/>
      <c r="C14" s="2238" t="s">
        <v>1536</v>
      </c>
      <c r="D14" s="2303">
        <f>+Driver!AL569</f>
        <v>-5800</v>
      </c>
      <c r="E14" s="2303">
        <f>+Driver!AM569</f>
        <v>-3900</v>
      </c>
      <c r="F14" s="2303">
        <f>+Driver!AN569</f>
        <v>-4000</v>
      </c>
    </row>
    <row r="15" spans="2:6">
      <c r="B15" s="2238" t="s">
        <v>196</v>
      </c>
      <c r="C15" s="2238" t="s">
        <v>196</v>
      </c>
      <c r="D15" s="2303">
        <f>+Driver!AL570</f>
        <v>2500</v>
      </c>
      <c r="E15" s="2303">
        <f>+Driver!AM570</f>
        <v>500</v>
      </c>
      <c r="F15" s="2303">
        <f>+Driver!AN570</f>
        <v>300</v>
      </c>
    </row>
    <row r="16" spans="2:6">
      <c r="B16" s="2237" t="s">
        <v>1538</v>
      </c>
      <c r="C16" s="2237" t="s">
        <v>1538</v>
      </c>
      <c r="D16" s="2303">
        <f>+Driver!AL242</f>
        <v>59500</v>
      </c>
      <c r="E16" s="2303">
        <f>+Driver!AM242</f>
        <v>64000</v>
      </c>
      <c r="F16" s="2303">
        <f>+Driver!AN242</f>
        <v>66100</v>
      </c>
    </row>
    <row r="29" spans="2:4">
      <c r="B29" s="2238" t="s">
        <v>1508</v>
      </c>
    </row>
    <row r="30" spans="2:4">
      <c r="B30" s="2237" t="s">
        <v>1537</v>
      </c>
      <c r="C30" s="2237" t="s">
        <v>1537</v>
      </c>
      <c r="D30" s="2303">
        <f>+D5</f>
        <v>40329</v>
      </c>
    </row>
    <row r="31" spans="2:4">
      <c r="B31" s="2302" t="s">
        <v>1539</v>
      </c>
      <c r="C31" s="2238" t="s">
        <v>1533</v>
      </c>
      <c r="D31" s="2304">
        <f>+SUM(D6:F6)</f>
        <v>-1600</v>
      </c>
    </row>
    <row r="32" spans="2:4">
      <c r="B32" s="2302"/>
      <c r="C32" s="2238" t="s">
        <v>1534</v>
      </c>
      <c r="D32" s="2304">
        <f t="shared" ref="D32:D40" si="0">+SUM(D7:F7)</f>
        <v>8500</v>
      </c>
    </row>
    <row r="33" spans="2:17">
      <c r="B33" s="2302"/>
      <c r="C33" s="2238" t="s">
        <v>1535</v>
      </c>
      <c r="D33" s="2304">
        <f t="shared" si="0"/>
        <v>-1800</v>
      </c>
    </row>
    <row r="34" spans="2:17">
      <c r="B34" s="2302"/>
      <c r="C34" s="2238" t="s">
        <v>1536</v>
      </c>
      <c r="D34" s="2304">
        <f t="shared" si="0"/>
        <v>-100</v>
      </c>
    </row>
    <row r="35" spans="2:17">
      <c r="B35" s="2302" t="s">
        <v>1540</v>
      </c>
      <c r="C35" s="2238" t="s">
        <v>1533</v>
      </c>
      <c r="D35" s="2304">
        <f t="shared" si="0"/>
        <v>12100</v>
      </c>
    </row>
    <row r="36" spans="2:17">
      <c r="B36" s="2302"/>
      <c r="C36" s="2238" t="s">
        <v>1534</v>
      </c>
      <c r="D36" s="2304">
        <f t="shared" si="0"/>
        <v>12400</v>
      </c>
    </row>
    <row r="37" spans="2:17">
      <c r="B37" s="2302"/>
      <c r="C37" s="2238" t="s">
        <v>1541</v>
      </c>
      <c r="D37" s="2304">
        <f t="shared" si="0"/>
        <v>1300</v>
      </c>
    </row>
    <row r="38" spans="2:17">
      <c r="B38" s="2302"/>
      <c r="C38" s="2238" t="s">
        <v>1535</v>
      </c>
      <c r="D38" s="2304">
        <f t="shared" si="0"/>
        <v>4400</v>
      </c>
    </row>
    <row r="39" spans="2:17">
      <c r="B39" s="2302"/>
      <c r="C39" s="2238" t="s">
        <v>1536</v>
      </c>
      <c r="D39" s="2304">
        <f>+SUM(D14:F14)</f>
        <v>-13700</v>
      </c>
    </row>
    <row r="40" spans="2:17">
      <c r="B40" s="2238" t="s">
        <v>196</v>
      </c>
      <c r="C40" s="2238" t="s">
        <v>196</v>
      </c>
      <c r="D40" s="2304">
        <f t="shared" si="0"/>
        <v>3300</v>
      </c>
    </row>
    <row r="41" spans="2:17">
      <c r="B41" s="2237" t="s">
        <v>1542</v>
      </c>
      <c r="C41" s="2237" t="s">
        <v>1542</v>
      </c>
      <c r="D41" s="2303">
        <f>+F16</f>
        <v>66100</v>
      </c>
    </row>
    <row r="46" spans="2:17">
      <c r="H46" s="2310"/>
      <c r="I46" s="2310"/>
      <c r="J46" s="2310"/>
      <c r="K46" s="2310"/>
      <c r="L46" s="2310"/>
      <c r="M46" s="2310"/>
      <c r="N46" s="2310"/>
      <c r="O46" s="2310"/>
      <c r="P46" s="2310"/>
      <c r="Q46" s="2310"/>
    </row>
    <row r="47" spans="2:17">
      <c r="H47" s="2310"/>
      <c r="I47" s="2310"/>
      <c r="J47" s="2310"/>
      <c r="K47" s="2310"/>
      <c r="L47" s="2310"/>
      <c r="M47" s="2310"/>
      <c r="N47" s="2310"/>
      <c r="O47" s="2310"/>
      <c r="P47" s="2310"/>
      <c r="Q47" s="2310"/>
    </row>
    <row r="48" spans="2:17">
      <c r="H48" s="2310"/>
      <c r="I48" s="2310"/>
      <c r="J48" s="2310"/>
      <c r="K48" s="2310"/>
      <c r="L48" s="2310"/>
      <c r="M48" s="2310"/>
      <c r="N48" s="2310"/>
      <c r="O48" s="2310"/>
      <c r="P48" s="2310"/>
      <c r="Q48" s="2310"/>
    </row>
    <row r="49" spans="8:17">
      <c r="H49" s="2310"/>
      <c r="I49" s="2310"/>
      <c r="J49" s="2310"/>
      <c r="K49" s="2310"/>
      <c r="L49" s="2310"/>
      <c r="M49" s="2310"/>
      <c r="N49" s="2310"/>
      <c r="O49" s="2310"/>
      <c r="P49" s="2310"/>
      <c r="Q49" s="2310"/>
    </row>
    <row r="50" spans="8:17">
      <c r="H50" s="2310"/>
      <c r="I50" s="2310"/>
      <c r="J50" s="2310"/>
      <c r="K50" s="2310"/>
      <c r="L50" s="2310"/>
      <c r="M50" s="2310"/>
      <c r="N50" s="2310"/>
      <c r="O50" s="2310"/>
      <c r="P50" s="2310"/>
      <c r="Q50" s="2310"/>
    </row>
    <row r="51" spans="8:17">
      <c r="H51" s="2310"/>
      <c r="I51" s="2310"/>
      <c r="J51" s="2310"/>
      <c r="K51" s="2310"/>
      <c r="L51" s="2310"/>
      <c r="M51" s="2310"/>
      <c r="N51" s="2310"/>
      <c r="O51" s="2310"/>
      <c r="P51" s="2310"/>
      <c r="Q51" s="2310"/>
    </row>
    <row r="52" spans="8:17">
      <c r="H52" s="2310"/>
      <c r="I52" s="2310"/>
      <c r="J52" s="2310"/>
      <c r="K52" s="2310"/>
      <c r="L52" s="2310"/>
      <c r="M52" s="2310"/>
      <c r="N52" s="2310"/>
      <c r="O52" s="2310"/>
      <c r="P52" s="2310"/>
      <c r="Q52" s="2310"/>
    </row>
    <row r="53" spans="8:17">
      <c r="H53" s="2310"/>
      <c r="I53" s="2310"/>
      <c r="J53" s="2310"/>
      <c r="K53" s="2310"/>
      <c r="L53" s="2310"/>
      <c r="M53" s="2310"/>
      <c r="N53" s="2310"/>
      <c r="O53" s="2310"/>
      <c r="P53" s="2310"/>
      <c r="Q53" s="2310"/>
    </row>
    <row r="54" spans="8:17">
      <c r="H54" s="2310"/>
      <c r="I54" s="2310"/>
      <c r="J54" s="2310"/>
      <c r="K54" s="2310"/>
      <c r="L54" s="2310"/>
      <c r="M54" s="2310"/>
      <c r="N54" s="2310"/>
      <c r="O54" s="2310"/>
      <c r="P54" s="2310"/>
      <c r="Q54" s="2310"/>
    </row>
    <row r="55" spans="8:17">
      <c r="H55" s="2310"/>
      <c r="I55" s="2310"/>
      <c r="J55" s="2310"/>
      <c r="K55" s="2310"/>
      <c r="L55" s="2310"/>
      <c r="M55" s="2310"/>
      <c r="N55" s="2310"/>
      <c r="O55" s="2310"/>
      <c r="P55" s="2310"/>
      <c r="Q55" s="2310"/>
    </row>
    <row r="56" spans="8:17">
      <c r="H56" s="2310"/>
      <c r="I56" s="2310"/>
      <c r="J56" s="2310"/>
      <c r="K56" s="2310"/>
      <c r="L56" s="2310"/>
      <c r="M56" s="2310"/>
      <c r="N56" s="2310"/>
      <c r="O56" s="2310"/>
      <c r="P56" s="2310"/>
      <c r="Q56" s="2310"/>
    </row>
    <row r="57" spans="8:17">
      <c r="H57" s="2310"/>
      <c r="I57" s="2310"/>
      <c r="J57" s="2310"/>
      <c r="K57" s="2310"/>
      <c r="L57" s="2310"/>
      <c r="M57" s="2310"/>
      <c r="N57" s="2310"/>
      <c r="O57" s="2310"/>
      <c r="P57" s="2310"/>
      <c r="Q57" s="2310"/>
    </row>
    <row r="58" spans="8:17">
      <c r="H58" s="2310"/>
      <c r="I58" s="2310"/>
      <c r="J58" s="2310"/>
      <c r="K58" s="2310"/>
      <c r="L58" s="2310"/>
      <c r="M58" s="2310"/>
      <c r="N58" s="2310"/>
      <c r="O58" s="2310"/>
      <c r="P58" s="2310"/>
      <c r="Q58" s="2310"/>
    </row>
    <row r="59" spans="8:17">
      <c r="H59" s="2310"/>
      <c r="I59" s="2310"/>
      <c r="J59" s="2310"/>
      <c r="K59" s="2310"/>
      <c r="L59" s="2310"/>
      <c r="M59" s="2310"/>
      <c r="N59" s="2310"/>
      <c r="O59" s="2310"/>
      <c r="P59" s="2310"/>
      <c r="Q59" s="2310"/>
    </row>
    <row r="60" spans="8:17">
      <c r="H60" s="2310"/>
      <c r="I60" s="2310"/>
      <c r="J60" s="2310"/>
      <c r="K60" s="2310"/>
      <c r="L60" s="2310"/>
      <c r="M60" s="2310"/>
      <c r="N60" s="2310"/>
      <c r="O60" s="2310"/>
      <c r="P60" s="2310"/>
      <c r="Q60" s="2310"/>
    </row>
    <row r="61" spans="8:17">
      <c r="H61" s="2310"/>
      <c r="I61" s="2310"/>
      <c r="J61" s="2310"/>
      <c r="K61" s="2310"/>
      <c r="L61" s="2310"/>
      <c r="M61" s="2310"/>
      <c r="N61" s="2310"/>
      <c r="O61" s="2310"/>
      <c r="P61" s="2310"/>
      <c r="Q61" s="2310"/>
    </row>
    <row r="62" spans="8:17">
      <c r="H62" s="2310"/>
      <c r="I62" s="2310"/>
      <c r="J62" s="2310"/>
      <c r="K62" s="2310"/>
      <c r="L62" s="2310"/>
      <c r="M62" s="2310"/>
      <c r="N62" s="2310"/>
      <c r="O62" s="2310"/>
      <c r="P62" s="2310"/>
      <c r="Q62" s="2310"/>
    </row>
    <row r="63" spans="8:17">
      <c r="H63" s="2310"/>
      <c r="I63" s="2310"/>
      <c r="J63" s="2310"/>
      <c r="K63" s="2310"/>
      <c r="L63" s="2310"/>
      <c r="M63" s="2310"/>
      <c r="N63" s="2310"/>
      <c r="O63" s="2310"/>
      <c r="P63" s="2310"/>
      <c r="Q63" s="2310"/>
    </row>
  </sheetData>
  <printOptions horizontalCentered="1" verticalCentered="1"/>
  <pageMargins left="0.7" right="0.7" top="0.75" bottom="0.75" header="0.3" footer="0.3"/>
  <pageSetup paperSize="0" scale="10" orientation="portrait" r:id="rId1"/>
  <customProperties>
    <customPr name="Qube.Worksheet.Visibility" r:id="rId2"/>
  </customPropertie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overPageProperties xmlns="http://schemas.microsoft.com/office/2006/coverPageProps">
  <PublishDate/>
  <Abstract/>
  <CompanyAddress/>
  <CompanyPhone/>
  <CompanyFax/>
  <CompanyEmail/>
</CoverPageProperties>
</file>

<file path=customXml/item2.xml>��
</file>

<file path=customXml/item3.xml><?xml version="1.0" encoding="utf-8"?>
<Properties xmlns="http://schemas.openxmlformats.org/officeDocument/2006/extended-properties">
  <Company/>
  <Manager/>
</Properties>
</file>

<file path=customXml/item4.xml><?xml version="1.0" encoding="utf-8"?>
<cp:coreProperties xmlns:dc="http://purl.org/dc/elements/1.1/" xmlns:cp="http://schemas.openxmlformats.org/package/2006/metadata/core-properties">
  <dc:creator/>
  <cp:keywords/>
  <dc:description/>
  <dc:subject/>
  <dc:title/>
  <cp:category/>
  <cp:contentStatus/>
</cp:coreProperties>
</file>

<file path=customXml/itemProps1.xml><?xml version="1.0" encoding="utf-8"?>
<ds:datastoreItem xmlns:ds="http://schemas.openxmlformats.org/officeDocument/2006/customXml" ds:itemID="{BC12991E-ED0D-4ED5-BFBD-1C653F3A7B3D}">
  <ds:schemaRefs>
    <ds:schemaRef ds:uri="http://schemas.microsoft.com/office/2006/coverPageProps"/>
  </ds:schemaRefs>
</ds:datastoreItem>
</file>

<file path=customXml/itemProps2.xml><?xml version="1.0" encoding="utf-8"?>
<ds:datastoreItem xmlns:ds="http://schemas.openxmlformats.org/officeDocument/2006/customXml" ds:itemID="{5DD4DF0E-3EE6-4F80-A579-54B8A39A1B66}">
  <ds:schemaRefs>
    <ds:schemaRef ds:uri="http://www.w3.org/2001/XMLSchema"/>
    <ds:schemaRef ds:uri="Exchange-SubmissionSheetWrapper"/>
  </ds:schemaRefs>
</ds:datastoreItem>
</file>

<file path=customXml/itemProps3.xml><?xml version="1.0" encoding="utf-8"?>
<ds:datastoreItem xmlns:ds="http://schemas.openxmlformats.org/officeDocument/2006/customXml" ds:itemID="{C040E953-F0AA-4066-AAA2-1A2ED25D4D3D}">
  <ds:schemaRefs>
    <ds:schemaRef ds:uri="http://schemas.openxmlformats.org/officeDocument/2006/extended-properties"/>
  </ds:schemaRefs>
</ds:datastoreItem>
</file>

<file path=customXml/itemProps4.xml><?xml version="1.0" encoding="utf-8"?>
<ds:datastoreItem xmlns:ds="http://schemas.openxmlformats.org/officeDocument/2006/customXml" ds:itemID="{F69533A7-2F8F-4ACB-9711-04A16BF3683D}">
  <ds:schemaRefs>
    <ds:schemaRef ds:uri="http://purl.org/dc/elements/1.1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4</vt:i4>
      </vt:variant>
    </vt:vector>
  </HeadingPairs>
  <TitlesOfParts>
    <vt:vector size="13" baseType="lpstr">
      <vt:lpstr>Cover Page</vt:lpstr>
      <vt:lpstr>Segments</vt:lpstr>
      <vt:lpstr>Quarterly</vt:lpstr>
      <vt:lpstr>Driver</vt:lpstr>
      <vt:lpstr>maruchan inc</vt:lpstr>
      <vt:lpstr>Model</vt:lpstr>
      <vt:lpstr>Raw Data</vt:lpstr>
      <vt:lpstr>Chart</vt:lpstr>
      <vt:lpstr>waterfall</vt:lpstr>
      <vt:lpstr>'maruchan inc'!Print_Area</vt:lpstr>
      <vt:lpstr>Quarterly!Print_Area</vt:lpstr>
      <vt:lpstr>Segments!Print_Area</vt:lpstr>
      <vt:lpstr>TT_Link_P586d71216fb040cc9ed9ecbd3309dc8f</vt:lpstr>
    </vt:vector>
  </TitlesOfParts>
  <Company>Goldman Sachs &amp; 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ramswe</dc:creator>
  <cp:lastModifiedBy>WOONGSOO PARK</cp:lastModifiedBy>
  <cp:lastPrinted>2024-01-31T06:49:18Z</cp:lastPrinted>
  <dcterms:created xsi:type="dcterms:W3CDTF">2013-06-04T09:18:04Z</dcterms:created>
  <dcterms:modified xsi:type="dcterms:W3CDTF">2024-06-24T07:30:15Z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311f1859-b98a-48be-a1f6-892c758e77b3</vt:lpwstr>
  </property>
  <property fmtid="{D5CDD505-2E9C-101B-9397-08002B2CF9AE}" pid="3" name="Classification">
    <vt:lpwstr>I</vt:lpwstr>
  </property>
</Properties>
</file>