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pid Matlab Folder\"/>
    </mc:Choice>
  </mc:AlternateContent>
  <xr:revisionPtr revIDLastSave="0" documentId="13_ncr:1_{864266C0-8D3C-4F0D-A57B-F86DC5B20809}" xr6:coauthVersionLast="45" xr6:coauthVersionMax="45" xr10:uidLastSave="{00000000-0000-0000-0000-000000000000}"/>
  <bookViews>
    <workbookView xWindow="-22005" yWindow="5835" windowWidth="28800" windowHeight="15435" activeTab="1" xr2:uid="{00000000-000D-0000-FFFF-FFFF00000000}"/>
  </bookViews>
  <sheets>
    <sheet name="Water Mass" sheetId="2" r:id="rId1"/>
    <sheet name="Fa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22" i="1" s="1"/>
  <c r="C27" i="1"/>
  <c r="B18" i="1"/>
  <c r="B17" i="1"/>
  <c r="B16" i="1"/>
  <c r="C16" i="1" s="1"/>
  <c r="B14" i="1"/>
  <c r="B13" i="1"/>
  <c r="C13" i="1" s="1"/>
  <c r="B15" i="1"/>
  <c r="B7" i="1"/>
  <c r="C15" i="1" l="1"/>
  <c r="D15" i="1" s="1"/>
  <c r="C18" i="1"/>
  <c r="D18" i="1" s="1"/>
  <c r="C17" i="1"/>
  <c r="D17" i="1" s="1"/>
  <c r="D16" i="1"/>
  <c r="D13" i="1"/>
  <c r="C14" i="1"/>
  <c r="D14" i="1" s="1"/>
  <c r="C29" i="1"/>
  <c r="D29" i="1" s="1"/>
  <c r="I7" i="1"/>
  <c r="I8" i="1"/>
  <c r="I9" i="1"/>
  <c r="I10" i="1"/>
  <c r="I11" i="1"/>
  <c r="I12" i="1"/>
  <c r="I13" i="1"/>
  <c r="I14" i="1"/>
  <c r="I15" i="1"/>
  <c r="I16" i="1"/>
  <c r="I17" i="1"/>
  <c r="I6" i="1"/>
  <c r="C30" i="1"/>
  <c r="D30" i="1" s="1"/>
  <c r="C28" i="1"/>
  <c r="D28" i="1" s="1"/>
  <c r="D27" i="1"/>
  <c r="K9" i="1"/>
  <c r="K11" i="1"/>
  <c r="K8" i="1"/>
  <c r="K17" i="1"/>
  <c r="K16" i="1"/>
  <c r="I5" i="2"/>
  <c r="I6" i="2" s="1"/>
  <c r="I7" i="2" s="1"/>
  <c r="K15" i="1"/>
  <c r="K14" i="1"/>
  <c r="K13" i="1"/>
  <c r="K12" i="1"/>
  <c r="K10" i="1"/>
  <c r="K7" i="1"/>
  <c r="K6" i="1"/>
  <c r="D6" i="2" l="1"/>
  <c r="D7" i="2" s="1"/>
  <c r="D10" i="2"/>
  <c r="D11" i="2" s="1"/>
</calcChain>
</file>

<file path=xl/sharedStrings.xml><?xml version="1.0" encoding="utf-8"?>
<sst xmlns="http://schemas.openxmlformats.org/spreadsheetml/2006/main" count="79" uniqueCount="62">
  <si>
    <t>Pa</t>
  </si>
  <si>
    <t>kg/s</t>
  </si>
  <si>
    <t>Fan Static Pressure</t>
  </si>
  <si>
    <t>mmH2O</t>
  </si>
  <si>
    <t>Volumetric Flow</t>
  </si>
  <si>
    <t>m^3/h</t>
  </si>
  <si>
    <t>Mass Flow</t>
  </si>
  <si>
    <t>Component</t>
  </si>
  <si>
    <t>Rad 1</t>
  </si>
  <si>
    <t>Rad 2</t>
  </si>
  <si>
    <t>11.5 ft of tubing</t>
  </si>
  <si>
    <t>Water pump</t>
  </si>
  <si>
    <t>Engine block</t>
  </si>
  <si>
    <t>3 ft of tubing</t>
  </si>
  <si>
    <t>Swirl pot</t>
  </si>
  <si>
    <t>COLD</t>
  </si>
  <si>
    <t>HOT</t>
  </si>
  <si>
    <t>Water Mass</t>
  </si>
  <si>
    <t>Unit</t>
  </si>
  <si>
    <t>Total</t>
  </si>
  <si>
    <t>g</t>
  </si>
  <si>
    <t>kg</t>
  </si>
  <si>
    <t>1 ft tubing</t>
  </si>
  <si>
    <t>mm</t>
  </si>
  <si>
    <t>CSA</t>
  </si>
  <si>
    <t>mm^2</t>
  </si>
  <si>
    <t>Diameter</t>
  </si>
  <si>
    <t>Volume</t>
  </si>
  <si>
    <t>mL</t>
  </si>
  <si>
    <t>Mass</t>
  </si>
  <si>
    <t>PF20</t>
  </si>
  <si>
    <t>Y-Intercept</t>
  </si>
  <si>
    <t>FROM FAN DATA SHEET&gt;&gt;</t>
  </si>
  <si>
    <t>CR DATA</t>
  </si>
  <si>
    <t>Face V</t>
  </si>
  <si>
    <t>SA</t>
  </si>
  <si>
    <t>pa</t>
  </si>
  <si>
    <t>Rho</t>
  </si>
  <si>
    <t>Pressure Drop</t>
  </si>
  <si>
    <t>Multiplier</t>
  </si>
  <si>
    <t>From below</t>
  </si>
  <si>
    <t>where x=Pa</t>
  </si>
  <si>
    <t>%error from regression</t>
  </si>
  <si>
    <t>Regression^</t>
  </si>
  <si>
    <t>from CFD</t>
  </si>
  <si>
    <t>by changing multiplier</t>
  </si>
  <si>
    <t>&lt;&lt;&lt;set this equal to cfd</t>
  </si>
  <si>
    <t>OUTLET PRESSURE</t>
  </si>
  <si>
    <t>INLET PRESSURE</t>
  </si>
  <si>
    <t>DROP</t>
  </si>
  <si>
    <t>Veh Spd CFD</t>
  </si>
  <si>
    <t>CONVERSION CONST</t>
  </si>
  <si>
    <t>CFD Airflow for 1 rad</t>
  </si>
  <si>
    <t>NEW PRESSURE DROP</t>
  </si>
  <si>
    <t>CFD massflow kg/s</t>
  </si>
  <si>
    <t>Face Velocity m/s</t>
  </si>
  <si>
    <t>Veh Speed m/s</t>
  </si>
  <si>
    <t>INPUTS</t>
  </si>
  <si>
    <t>Estimated Pressure pa</t>
  </si>
  <si>
    <t>m/s</t>
  </si>
  <si>
    <t xml:space="preserve">Remember to change SA to Rad </t>
  </si>
  <si>
    <t>Frontal SA in 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</si>
</sst>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7" xfId="0" applyBorder="1"/>
    <xf numFmtId="0" fontId="3" fillId="0" borderId="0" xfId="0" applyFont="1"/>
    <xf numFmtId="0" fontId="0" fillId="0" borderId="2" xfId="0" applyBorder="1"/>
    <xf numFmtId="0" fontId="0" fillId="0" borderId="0" xfId="0" applyFill="1" applyBorder="1"/>
    <xf numFmtId="0" fontId="3" fillId="0" borderId="0" xfId="0" applyFont="1" applyFill="1" applyBorder="1"/>
    <xf numFmtId="0" fontId="3" fillId="0" borderId="7" xfId="0" applyFont="1" applyFill="1" applyBorder="1"/>
    <xf numFmtId="164" fontId="0" fillId="0" borderId="0" xfId="0" applyNumberFormat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Border="1"/>
    <xf numFmtId="0" fontId="0" fillId="0" borderId="9" xfId="0" applyBorder="1"/>
    <xf numFmtId="0" fontId="4" fillId="0" borderId="9" xfId="0" applyFont="1" applyBorder="1"/>
    <xf numFmtId="1" fontId="0" fillId="0" borderId="9" xfId="0" applyNumberFormat="1" applyBorder="1"/>
    <xf numFmtId="0" fontId="0" fillId="0" borderId="9" xfId="0" applyBorder="1" applyAlignment="1">
      <alignment horizontal="right"/>
    </xf>
    <xf numFmtId="0" fontId="3" fillId="0" borderId="9" xfId="0" applyFont="1" applyBorder="1"/>
    <xf numFmtId="1" fontId="0" fillId="0" borderId="0" xfId="0" applyNumberFormat="1"/>
    <xf numFmtId="2" fontId="0" fillId="0" borderId="9" xfId="0" applyNumberFormat="1" applyFill="1" applyBorder="1"/>
    <xf numFmtId="0" fontId="0" fillId="0" borderId="9" xfId="0" applyFill="1" applyBorder="1"/>
    <xf numFmtId="2" fontId="3" fillId="3" borderId="9" xfId="0" applyNumberFormat="1" applyFont="1" applyFill="1" applyBorder="1"/>
    <xf numFmtId="2" fontId="0" fillId="0" borderId="9" xfId="0" applyNumberFormat="1" applyFont="1" applyFill="1" applyBorder="1"/>
    <xf numFmtId="2" fontId="0" fillId="4" borderId="9" xfId="0" applyNumberFormat="1" applyFont="1" applyFill="1" applyBorder="1"/>
    <xf numFmtId="0" fontId="2" fillId="2" borderId="1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textRotation="90"/>
    </xf>
    <xf numFmtId="0" fontId="2" fillId="2" borderId="6" xfId="0" applyFont="1" applyFill="1" applyBorder="1" applyAlignment="1">
      <alignment horizontal="center" vertical="center" textRotation="90"/>
    </xf>
    <xf numFmtId="0" fontId="0" fillId="0" borderId="9" xfId="0" applyNumberFormat="1" applyBorder="1"/>
    <xf numFmtId="0" fontId="3" fillId="0" borderId="9" xfId="0" applyFont="1" applyFill="1" applyBorder="1"/>
    <xf numFmtId="0" fontId="3" fillId="3" borderId="9" xfId="0" applyNumberFormat="1" applyFont="1" applyFill="1" applyBorder="1"/>
    <xf numFmtId="0" fontId="3" fillId="0" borderId="0" xfId="0" applyFont="1" applyBorder="1"/>
    <xf numFmtId="0" fontId="5" fillId="0" borderId="9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Fan!$K$4:$K$5</c:f>
              <c:strCache>
                <c:ptCount val="2"/>
                <c:pt idx="0">
                  <c:v>Mass Flow</c:v>
                </c:pt>
                <c:pt idx="1">
                  <c:v>kg/s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6.5204349753439708E-2"/>
                  <c:y val="-0.4176412953926462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Fan!$I$6:$I$17</c:f>
              <c:numCache>
                <c:formatCode>General</c:formatCode>
                <c:ptCount val="12"/>
                <c:pt idx="0">
                  <c:v>0</c:v>
                </c:pt>
                <c:pt idx="1">
                  <c:v>24.516624999999998</c:v>
                </c:pt>
                <c:pt idx="2">
                  <c:v>49.033249999999995</c:v>
                </c:pt>
                <c:pt idx="3">
                  <c:v>73.549875</c:v>
                </c:pt>
                <c:pt idx="4">
                  <c:v>98.066499999999991</c:v>
                </c:pt>
                <c:pt idx="5">
                  <c:v>122.583125</c:v>
                </c:pt>
                <c:pt idx="6">
                  <c:v>147.09975</c:v>
                </c:pt>
                <c:pt idx="7">
                  <c:v>171.61637499999998</c:v>
                </c:pt>
                <c:pt idx="8">
                  <c:v>196.13299999999998</c:v>
                </c:pt>
                <c:pt idx="9">
                  <c:v>245.16624999999999</c:v>
                </c:pt>
                <c:pt idx="10">
                  <c:v>294.1995</c:v>
                </c:pt>
                <c:pt idx="11">
                  <c:v>343.23274999999995</c:v>
                </c:pt>
              </c:numCache>
            </c:numRef>
          </c:xVal>
          <c:yVal>
            <c:numRef>
              <c:f>Fan!$K$6:$K$17</c:f>
              <c:numCache>
                <c:formatCode>0.00</c:formatCode>
                <c:ptCount val="12"/>
                <c:pt idx="0">
                  <c:v>0.18916076473547735</c:v>
                </c:pt>
                <c:pt idx="1">
                  <c:v>0.17837958125314446</c:v>
                </c:pt>
                <c:pt idx="2">
                  <c:v>0.1724989357173265</c:v>
                </c:pt>
                <c:pt idx="3">
                  <c:v>0.1617177522349936</c:v>
                </c:pt>
                <c:pt idx="4">
                  <c:v>0.15191667634196368</c:v>
                </c:pt>
                <c:pt idx="5">
                  <c:v>0.13492814479404516</c:v>
                </c:pt>
                <c:pt idx="6">
                  <c:v>0.11989982842473262</c:v>
                </c:pt>
                <c:pt idx="7">
                  <c:v>0.10356470193634944</c:v>
                </c:pt>
                <c:pt idx="8">
                  <c:v>7.8081904614471662E-2</c:v>
                </c:pt>
                <c:pt idx="9">
                  <c:v>5.1292297173523224E-2</c:v>
                </c:pt>
                <c:pt idx="10">
                  <c:v>2.7769715030251427E-2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F-42D3-8C08-4366CEA42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7888"/>
        <c:axId val="119080064"/>
      </c:scatterChart>
      <c:valAx>
        <c:axId val="1190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Delta P [Pa]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0064"/>
        <c:crosses val="autoZero"/>
        <c:crossBetween val="midCat"/>
      </c:valAx>
      <c:valAx>
        <c:axId val="1190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4.6770924467774859E-2"/>
          <c:w val="0.7240402449693788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2"/>
            <c:forward val="225"/>
            <c:dispRSqr val="0"/>
            <c:dispEq val="0"/>
          </c:trendline>
          <c:xVal>
            <c:numRef>
              <c:f>Fan!$B$27:$B$30</c:f>
              <c:numCache>
                <c:formatCode>General</c:formatCode>
                <c:ptCount val="4"/>
                <c:pt idx="0">
                  <c:v>65</c:v>
                </c:pt>
                <c:pt idx="1">
                  <c:v>177</c:v>
                </c:pt>
                <c:pt idx="2">
                  <c:v>338</c:v>
                </c:pt>
                <c:pt idx="3">
                  <c:v>547</c:v>
                </c:pt>
              </c:numCache>
            </c:numRef>
          </c:xVal>
          <c:yVal>
            <c:numRef>
              <c:f>Fan!$A$27:$A$30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0-4AF1-943E-9828D098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97600"/>
        <c:axId val="119103488"/>
      </c:scatterChart>
      <c:valAx>
        <c:axId val="119097600"/>
        <c:scaling>
          <c:orientation val="minMax"/>
          <c:max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119103488"/>
        <c:crosses val="autoZero"/>
        <c:crossBetween val="midCat"/>
      </c:valAx>
      <c:valAx>
        <c:axId val="119103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19097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1457983</xdr:colOff>
      <xdr:row>22</xdr:row>
      <xdr:rowOff>169434</xdr:rowOff>
    </xdr:from>
    <xdr:to>
      <xdr:col>10</xdr:col>
      <xdr:colOff>504264</xdr:colOff>
      <xdr:row>41</xdr:row>
      <xdr:rowOff>90513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120302</xdr:colOff>
      <xdr:row>31</xdr:row>
      <xdr:rowOff>134392</xdr:rowOff>
    </xdr:from>
    <xdr:to>
      <xdr:col>3</xdr:col>
      <xdr:colOff>1311087</xdr:colOff>
      <xdr:row>46</xdr:row>
      <xdr:rowOff>20092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"/>
  <sheetViews>
    <sheetView workbookViewId="0">
      <selection activeCell="D14" sqref="D14"/>
    </sheetView>
  </sheetViews>
  <sheetFormatPr defaultRowHeight="15" x14ac:dyDescent="0.25"/>
  <cols>
    <col min="2" max="2" width="14.140625" bestFit="1" customWidth="1"/>
    <col min="3" max="3" width="10.85546875" bestFit="1" customWidth="1"/>
    <col min="8" max="8" width="9.28515625" bestFit="1" customWidth="1"/>
  </cols>
  <sheetData>
    <row r="2" spans="1:10" ht="14.45" x14ac:dyDescent="0.3">
      <c r="B2" s="4" t="s">
        <v>7</v>
      </c>
      <c r="C2" s="4" t="s">
        <v>17</v>
      </c>
      <c r="D2" s="4" t="s">
        <v>18</v>
      </c>
    </row>
    <row r="3" spans="1:10" ht="14.45" customHeight="1" x14ac:dyDescent="0.25">
      <c r="A3" s="27" t="s">
        <v>15</v>
      </c>
      <c r="B3" s="5" t="s">
        <v>8</v>
      </c>
      <c r="C3" s="5" t="s">
        <v>20</v>
      </c>
      <c r="D3" s="10">
        <v>709</v>
      </c>
      <c r="H3" s="1" t="s">
        <v>22</v>
      </c>
      <c r="I3">
        <v>305</v>
      </c>
      <c r="J3" t="s">
        <v>23</v>
      </c>
    </row>
    <row r="4" spans="1:10" x14ac:dyDescent="0.25">
      <c r="A4" s="28"/>
      <c r="B4" s="2" t="s">
        <v>9</v>
      </c>
      <c r="C4" s="2" t="s">
        <v>20</v>
      </c>
      <c r="D4" s="11">
        <v>578</v>
      </c>
      <c r="H4" s="1" t="s">
        <v>26</v>
      </c>
      <c r="I4">
        <v>25</v>
      </c>
      <c r="J4" t="s">
        <v>23</v>
      </c>
    </row>
    <row r="5" spans="1:10" x14ac:dyDescent="0.25">
      <c r="A5" s="28"/>
      <c r="B5" s="2" t="s">
        <v>11</v>
      </c>
      <c r="C5" s="6" t="s">
        <v>20</v>
      </c>
      <c r="D5" s="11">
        <v>120</v>
      </c>
      <c r="H5" s="1" t="s">
        <v>24</v>
      </c>
      <c r="I5" s="9">
        <f>PI()*(I4/2)^2</f>
        <v>490.87385212340519</v>
      </c>
      <c r="J5" t="s">
        <v>25</v>
      </c>
    </row>
    <row r="6" spans="1:10" x14ac:dyDescent="0.25">
      <c r="A6" s="28"/>
      <c r="B6" s="2" t="s">
        <v>10</v>
      </c>
      <c r="C6" s="6" t="s">
        <v>20</v>
      </c>
      <c r="D6" s="11">
        <f>I7*11.5</f>
        <v>1721.7400363228439</v>
      </c>
      <c r="H6" s="1" t="s">
        <v>27</v>
      </c>
      <c r="I6" s="9">
        <f>I5*I3*0.001</f>
        <v>149.71652489763861</v>
      </c>
      <c r="J6" t="s">
        <v>28</v>
      </c>
    </row>
    <row r="7" spans="1:10" x14ac:dyDescent="0.25">
      <c r="A7" s="28"/>
      <c r="B7" s="7" t="s">
        <v>19</v>
      </c>
      <c r="C7" s="6" t="s">
        <v>21</v>
      </c>
      <c r="D7" s="11">
        <f>SUM(D3:D6)/1000</f>
        <v>3.1287400363228439</v>
      </c>
      <c r="H7" s="1" t="s">
        <v>29</v>
      </c>
      <c r="I7" s="9">
        <f>I6</f>
        <v>149.71652489763861</v>
      </c>
      <c r="J7" t="s">
        <v>20</v>
      </c>
    </row>
    <row r="8" spans="1:10" ht="14.45" customHeight="1" x14ac:dyDescent="0.25">
      <c r="A8" s="27" t="s">
        <v>16</v>
      </c>
      <c r="B8" s="5" t="s">
        <v>12</v>
      </c>
      <c r="C8" s="5" t="s">
        <v>20</v>
      </c>
      <c r="D8" s="10">
        <v>568</v>
      </c>
    </row>
    <row r="9" spans="1:10" x14ac:dyDescent="0.25">
      <c r="A9" s="28"/>
      <c r="B9" s="2" t="s">
        <v>14</v>
      </c>
      <c r="C9" s="6" t="s">
        <v>20</v>
      </c>
      <c r="D9" s="11">
        <v>192</v>
      </c>
    </row>
    <row r="10" spans="1:10" x14ac:dyDescent="0.25">
      <c r="A10" s="28"/>
      <c r="B10" s="2" t="s">
        <v>13</v>
      </c>
      <c r="C10" s="6" t="s">
        <v>20</v>
      </c>
      <c r="D10" s="11">
        <f>3*I7</f>
        <v>449.14957469291585</v>
      </c>
    </row>
    <row r="11" spans="1:10" x14ac:dyDescent="0.25">
      <c r="A11" s="29"/>
      <c r="B11" s="8" t="s">
        <v>19</v>
      </c>
      <c r="C11" s="3" t="s">
        <v>21</v>
      </c>
      <c r="D11" s="12">
        <f>SUM(D8:D10)/1000</f>
        <v>1.209149574692916</v>
      </c>
    </row>
    <row r="12" spans="1:10" ht="14.45" customHeight="1" x14ac:dyDescent="0.3"/>
  </sheetData>
  <mergeCells count="2">
    <mergeCell ref="A3:A7"/>
    <mergeCell ref="A8:A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tabSelected="1" zoomScale="85" zoomScaleNormal="85" workbookViewId="0">
      <selection activeCell="H50" sqref="H50"/>
    </sheetView>
  </sheetViews>
  <sheetFormatPr defaultRowHeight="15" x14ac:dyDescent="0.25"/>
  <cols>
    <col min="1" max="1" width="20.42578125" customWidth="1"/>
    <col min="2" max="2" width="18.5703125" bestFit="1" customWidth="1"/>
    <col min="3" max="3" width="17.28515625" bestFit="1" customWidth="1"/>
    <col min="4" max="4" width="22.42578125" bestFit="1" customWidth="1"/>
    <col min="5" max="5" width="14.7109375" customWidth="1"/>
    <col min="6" max="6" width="8.28515625" customWidth="1"/>
    <col min="7" max="7" width="24" bestFit="1" customWidth="1"/>
    <col min="8" max="8" width="20.42578125" bestFit="1" customWidth="1"/>
    <col min="9" max="9" width="15.7109375" bestFit="1" customWidth="1"/>
    <col min="10" max="10" width="11.85546875" bestFit="1" customWidth="1"/>
    <col min="11" max="11" width="13" customWidth="1"/>
    <col min="12" max="12" width="16.28515625" customWidth="1"/>
    <col min="13" max="13" width="14.28515625" bestFit="1" customWidth="1"/>
    <col min="14" max="14" width="14.28515625" customWidth="1"/>
    <col min="15" max="15" width="9.5703125" bestFit="1" customWidth="1"/>
    <col min="17" max="18" width="21" bestFit="1" customWidth="1"/>
    <col min="19" max="19" width="16.7109375" bestFit="1" customWidth="1"/>
    <col min="20" max="20" width="17.7109375" bestFit="1" customWidth="1"/>
  </cols>
  <sheetData>
    <row r="1" spans="1:11" x14ac:dyDescent="0.25">
      <c r="A1" t="s">
        <v>57</v>
      </c>
    </row>
    <row r="3" spans="1:11" x14ac:dyDescent="0.25">
      <c r="A3" s="20" t="s">
        <v>52</v>
      </c>
      <c r="B3" s="16">
        <v>0.105</v>
      </c>
      <c r="C3" t="s">
        <v>1</v>
      </c>
    </row>
    <row r="4" spans="1:11" x14ac:dyDescent="0.25">
      <c r="A4" s="20" t="s">
        <v>50</v>
      </c>
      <c r="B4" s="30">
        <v>17.88</v>
      </c>
      <c r="C4" t="s">
        <v>59</v>
      </c>
      <c r="H4" s="17" t="s">
        <v>2</v>
      </c>
      <c r="I4" s="17" t="s">
        <v>2</v>
      </c>
      <c r="J4" s="17" t="s">
        <v>4</v>
      </c>
      <c r="K4" s="17" t="s">
        <v>6</v>
      </c>
    </row>
    <row r="5" spans="1:11" ht="16.5" x14ac:dyDescent="0.25">
      <c r="A5" s="20" t="s">
        <v>48</v>
      </c>
      <c r="B5" s="34">
        <v>21.390350000000002</v>
      </c>
      <c r="C5" t="s">
        <v>36</v>
      </c>
      <c r="H5" s="13" t="s">
        <v>3</v>
      </c>
      <c r="I5" s="13" t="s">
        <v>36</v>
      </c>
      <c r="J5" s="13" t="s">
        <v>5</v>
      </c>
      <c r="K5" s="13" t="s">
        <v>1</v>
      </c>
    </row>
    <row r="6" spans="1:11" ht="16.5" x14ac:dyDescent="0.25">
      <c r="A6" s="20" t="s">
        <v>47</v>
      </c>
      <c r="B6" s="34">
        <v>-52.640230000000003</v>
      </c>
      <c r="C6" t="s">
        <v>36</v>
      </c>
      <c r="G6" s="4" t="s">
        <v>32</v>
      </c>
      <c r="H6" s="15">
        <v>0</v>
      </c>
      <c r="I6" s="16">
        <f>H6*9.80665</f>
        <v>0</v>
      </c>
      <c r="J6" s="18">
        <v>579</v>
      </c>
      <c r="K6" s="15">
        <f t="shared" ref="K6:K17" si="0">101300*J6/287.1/300/3600</f>
        <v>0.18916076473547735</v>
      </c>
    </row>
    <row r="7" spans="1:11" x14ac:dyDescent="0.25">
      <c r="A7" s="20" t="s">
        <v>49</v>
      </c>
      <c r="B7" s="30">
        <f>B5-B6</f>
        <v>74.03058</v>
      </c>
      <c r="C7" t="s">
        <v>36</v>
      </c>
      <c r="G7" s="4"/>
      <c r="H7" s="15">
        <v>2.5</v>
      </c>
      <c r="I7" s="16">
        <f t="shared" ref="I7:I17" si="1">H7*9.80665</f>
        <v>24.516624999999998</v>
      </c>
      <c r="J7" s="18">
        <v>546</v>
      </c>
      <c r="K7" s="15">
        <f t="shared" si="0"/>
        <v>0.17837958125314446</v>
      </c>
    </row>
    <row r="8" spans="1:11" x14ac:dyDescent="0.25">
      <c r="A8" s="31" t="s">
        <v>51</v>
      </c>
      <c r="B8" s="30">
        <f>B7/(B4^2)</f>
        <v>0.23156670870681503</v>
      </c>
      <c r="H8" s="15">
        <v>5</v>
      </c>
      <c r="I8" s="16">
        <f t="shared" si="1"/>
        <v>49.033249999999995</v>
      </c>
      <c r="J8" s="18">
        <v>528</v>
      </c>
      <c r="K8" s="15">
        <f>101300*J8/287.1/300/3600</f>
        <v>0.1724989357173265</v>
      </c>
    </row>
    <row r="9" spans="1:11" x14ac:dyDescent="0.25">
      <c r="A9" s="31" t="s">
        <v>53</v>
      </c>
      <c r="B9" s="30">
        <f>B8*(A15^2)</f>
        <v>52.102509459033385</v>
      </c>
      <c r="C9" t="s">
        <v>36</v>
      </c>
      <c r="H9" s="15">
        <v>7.5</v>
      </c>
      <c r="I9" s="16">
        <f t="shared" si="1"/>
        <v>73.549875</v>
      </c>
      <c r="J9" s="18">
        <v>495</v>
      </c>
      <c r="K9" s="15">
        <f>101300*J9/287.1/300/3600</f>
        <v>0.1617177522349936</v>
      </c>
    </row>
    <row r="10" spans="1:11" x14ac:dyDescent="0.25">
      <c r="H10" s="15">
        <v>10</v>
      </c>
      <c r="I10" s="16">
        <f t="shared" si="1"/>
        <v>98.066499999999991</v>
      </c>
      <c r="J10" s="18">
        <v>465</v>
      </c>
      <c r="K10" s="15">
        <f t="shared" si="0"/>
        <v>0.15191667634196368</v>
      </c>
    </row>
    <row r="11" spans="1:11" x14ac:dyDescent="0.25">
      <c r="H11" s="15">
        <v>12.5</v>
      </c>
      <c r="I11" s="16">
        <f t="shared" si="1"/>
        <v>122.583125</v>
      </c>
      <c r="J11" s="18">
        <v>413</v>
      </c>
      <c r="K11" s="15">
        <f>101300*J11/287.1/300/3600</f>
        <v>0.13492814479404516</v>
      </c>
    </row>
    <row r="12" spans="1:11" x14ac:dyDescent="0.25">
      <c r="A12" s="16" t="s">
        <v>56</v>
      </c>
      <c r="B12" s="16" t="s">
        <v>54</v>
      </c>
      <c r="C12" s="16" t="s">
        <v>55</v>
      </c>
      <c r="D12" s="16" t="s">
        <v>58</v>
      </c>
      <c r="H12" s="15">
        <v>15</v>
      </c>
      <c r="I12" s="16">
        <f t="shared" si="1"/>
        <v>147.09975</v>
      </c>
      <c r="J12" s="18">
        <v>367</v>
      </c>
      <c r="K12" s="15">
        <f t="shared" si="0"/>
        <v>0.11989982842473262</v>
      </c>
    </row>
    <row r="13" spans="1:11" x14ac:dyDescent="0.25">
      <c r="A13" s="15">
        <v>0</v>
      </c>
      <c r="B13" s="25">
        <f>$B$3/17.88*A13</f>
        <v>0</v>
      </c>
      <c r="C13" s="15">
        <f>B13/$B$21/$B$20</f>
        <v>0</v>
      </c>
      <c r="D13" s="22">
        <f>(0.5*$B$21*C13^2)*$B$23</f>
        <v>0</v>
      </c>
      <c r="H13" s="15">
        <v>17.5</v>
      </c>
      <c r="I13" s="16">
        <f t="shared" si="1"/>
        <v>171.61637499999998</v>
      </c>
      <c r="J13" s="18">
        <v>317</v>
      </c>
      <c r="K13" s="15">
        <f t="shared" si="0"/>
        <v>0.10356470193634944</v>
      </c>
    </row>
    <row r="14" spans="1:11" ht="14.45" customHeight="1" x14ac:dyDescent="0.25">
      <c r="A14" s="15">
        <v>10</v>
      </c>
      <c r="B14" s="25">
        <f>$B$3/17.88*A14</f>
        <v>5.8724832214765099E-2</v>
      </c>
      <c r="C14" s="15">
        <f>B14/$B$21/$B$20</f>
        <v>1.1827400205331324</v>
      </c>
      <c r="D14" s="22">
        <f>(0.5*$B$21*C14^2)*$B$23</f>
        <v>23.155555555555555</v>
      </c>
      <c r="H14" s="15">
        <v>20</v>
      </c>
      <c r="I14" s="16">
        <f t="shared" si="1"/>
        <v>196.13299999999998</v>
      </c>
      <c r="J14" s="18">
        <v>239</v>
      </c>
      <c r="K14" s="15">
        <f t="shared" si="0"/>
        <v>7.8081904614471662E-2</v>
      </c>
    </row>
    <row r="15" spans="1:11" ht="14.45" customHeight="1" x14ac:dyDescent="0.25">
      <c r="A15" s="15">
        <v>15</v>
      </c>
      <c r="B15" s="25">
        <f>$B$3/17.88*A15</f>
        <v>8.8087248322147649E-2</v>
      </c>
      <c r="C15" s="15">
        <f>B15/$B$21/$B$20</f>
        <v>1.7741100307996986</v>
      </c>
      <c r="D15" s="24">
        <f>(0.5*$B$21*C15^2)*$B$23</f>
        <v>52.100000000000009</v>
      </c>
      <c r="E15" s="4" t="s">
        <v>46</v>
      </c>
      <c r="H15" s="15">
        <v>25</v>
      </c>
      <c r="I15" s="16">
        <f t="shared" si="1"/>
        <v>245.16624999999999</v>
      </c>
      <c r="J15" s="18">
        <v>157</v>
      </c>
      <c r="K15" s="15">
        <f t="shared" si="0"/>
        <v>5.1292297173523224E-2</v>
      </c>
    </row>
    <row r="16" spans="1:11" ht="14.45" customHeight="1" x14ac:dyDescent="0.25">
      <c r="A16" s="15">
        <v>25</v>
      </c>
      <c r="B16" s="25">
        <f>$B$3/17.88*A16</f>
        <v>0.14681208053691275</v>
      </c>
      <c r="C16" s="15">
        <f>B16/$B$21/$B$20</f>
        <v>2.9568500513328311</v>
      </c>
      <c r="D16" s="22">
        <f>(0.5*$B$21*C16^2)*$B$23</f>
        <v>144.72222222222223</v>
      </c>
      <c r="E16" s="4" t="s">
        <v>45</v>
      </c>
      <c r="H16" s="15">
        <v>30</v>
      </c>
      <c r="I16" s="16">
        <f t="shared" si="1"/>
        <v>294.1995</v>
      </c>
      <c r="J16" s="18">
        <v>85</v>
      </c>
      <c r="K16" s="15">
        <f t="shared" si="0"/>
        <v>2.7769715030251427E-2</v>
      </c>
    </row>
    <row r="17" spans="1:11" ht="14.45" customHeight="1" x14ac:dyDescent="0.25">
      <c r="A17" s="15">
        <v>40</v>
      </c>
      <c r="B17" s="25">
        <f>$B$3/17.88*A17</f>
        <v>0.2348993288590604</v>
      </c>
      <c r="C17" s="15">
        <f>B17/$B$21/$B$20</f>
        <v>4.7309600821325297</v>
      </c>
      <c r="D17" s="22">
        <f>(0.5*$B$21*C17^2)*$B$23</f>
        <v>370.48888888888888</v>
      </c>
      <c r="E17" s="4"/>
      <c r="H17" s="15">
        <v>35</v>
      </c>
      <c r="I17" s="16">
        <f t="shared" si="1"/>
        <v>343.23274999999995</v>
      </c>
      <c r="J17" s="18">
        <v>0</v>
      </c>
      <c r="K17" s="15">
        <f t="shared" si="0"/>
        <v>0</v>
      </c>
    </row>
    <row r="18" spans="1:11" x14ac:dyDescent="0.25">
      <c r="A18" s="15">
        <v>60</v>
      </c>
      <c r="B18" s="25">
        <f>$B$3/17.88*A18</f>
        <v>0.3523489932885906</v>
      </c>
      <c r="C18" s="15">
        <f>B18/$B$21/$B$20</f>
        <v>7.0964401231987946</v>
      </c>
      <c r="D18" s="22">
        <f>(0.5*$B$21*C18^2)*$B$23</f>
        <v>833.60000000000014</v>
      </c>
    </row>
    <row r="19" spans="1:11" x14ac:dyDescent="0.25">
      <c r="H19" s="17" t="s">
        <v>31</v>
      </c>
    </row>
    <row r="20" spans="1:11" x14ac:dyDescent="0.25">
      <c r="A20" s="16" t="s">
        <v>35</v>
      </c>
      <c r="B20" s="16">
        <v>4.1935399999999998E-2</v>
      </c>
      <c r="D20" s="4" t="s">
        <v>60</v>
      </c>
      <c r="H20" s="14" t="s">
        <v>30</v>
      </c>
      <c r="I20" s="16">
        <v>0.1993</v>
      </c>
      <c r="J20" s="19" t="s">
        <v>1</v>
      </c>
      <c r="K20" t="s">
        <v>40</v>
      </c>
    </row>
    <row r="21" spans="1:11" x14ac:dyDescent="0.25">
      <c r="A21" s="16" t="s">
        <v>37</v>
      </c>
      <c r="B21" s="16">
        <v>1.1839999999999999</v>
      </c>
      <c r="D21" s="33" t="s">
        <v>61</v>
      </c>
    </row>
    <row r="22" spans="1:11" x14ac:dyDescent="0.25">
      <c r="A22" s="16" t="s">
        <v>38</v>
      </c>
      <c r="B22" s="32">
        <f>B9</f>
        <v>52.102509459033385</v>
      </c>
      <c r="C22" s="4" t="s">
        <v>44</v>
      </c>
    </row>
    <row r="23" spans="1:11" x14ac:dyDescent="0.25">
      <c r="A23" s="23" t="s">
        <v>39</v>
      </c>
      <c r="B23" s="26">
        <v>27.961142561539511</v>
      </c>
    </row>
    <row r="25" spans="1:11" x14ac:dyDescent="0.25">
      <c r="A25" t="s">
        <v>33</v>
      </c>
    </row>
    <row r="26" spans="1:11" x14ac:dyDescent="0.25">
      <c r="A26" s="16" t="s">
        <v>34</v>
      </c>
      <c r="B26" s="16" t="s">
        <v>0</v>
      </c>
      <c r="C26" s="16" t="s">
        <v>41</v>
      </c>
      <c r="D26" s="16" t="s">
        <v>42</v>
      </c>
    </row>
    <row r="27" spans="1:11" x14ac:dyDescent="0.25">
      <c r="A27" s="20">
        <v>2</v>
      </c>
      <c r="B27" s="20">
        <v>65</v>
      </c>
      <c r="C27" s="16">
        <f>5.514*((B27*0.0034)^0.6)</f>
        <v>2.2289592357949468</v>
      </c>
      <c r="D27" s="16">
        <f>ABS((A27-C27)/A27)*100</f>
        <v>11.447961789747341</v>
      </c>
    </row>
    <row r="28" spans="1:11" x14ac:dyDescent="0.25">
      <c r="A28" s="20">
        <v>4</v>
      </c>
      <c r="B28" s="20">
        <v>177</v>
      </c>
      <c r="C28" s="16">
        <f>5.514*((B28*0.0034)^0.6)</f>
        <v>4.0657256702323279</v>
      </c>
      <c r="D28" s="16">
        <f t="shared" ref="D28:D30" si="2">ABS((A28-C28)/A28)*100</f>
        <v>1.6431417558081973</v>
      </c>
    </row>
    <row r="29" spans="1:11" x14ac:dyDescent="0.25">
      <c r="A29" s="20">
        <v>6</v>
      </c>
      <c r="B29" s="20">
        <v>338</v>
      </c>
      <c r="C29" s="16">
        <f>5.514*((B29*0.0034)^0.6)</f>
        <v>5.9938260121753268</v>
      </c>
      <c r="D29" s="16">
        <f t="shared" si="2"/>
        <v>0.10289979707788592</v>
      </c>
    </row>
    <row r="30" spans="1:11" x14ac:dyDescent="0.25">
      <c r="A30" s="20">
        <v>8</v>
      </c>
      <c r="B30" s="20">
        <v>547</v>
      </c>
      <c r="C30" s="16">
        <f>5.514*((B30*0.0034)^0.6)</f>
        <v>8.0010412194242999</v>
      </c>
      <c r="D30" s="16">
        <f t="shared" si="2"/>
        <v>1.3015242803748883E-2</v>
      </c>
    </row>
    <row r="31" spans="1:11" x14ac:dyDescent="0.25">
      <c r="C31" t="s">
        <v>43</v>
      </c>
    </row>
    <row r="52" spans="7:7" x14ac:dyDescent="0.25">
      <c r="G52" s="21"/>
    </row>
    <row r="53" spans="7:7" x14ac:dyDescent="0.25">
      <c r="G53" s="21"/>
    </row>
    <row r="54" spans="7:7" x14ac:dyDescent="0.25">
      <c r="G54" s="21"/>
    </row>
    <row r="55" spans="7:7" x14ac:dyDescent="0.25">
      <c r="G55" s="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 Mass</vt:lpstr>
      <vt:lpstr>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Alex Krueger</cp:lastModifiedBy>
  <dcterms:created xsi:type="dcterms:W3CDTF">2018-10-18T01:00:11Z</dcterms:created>
  <dcterms:modified xsi:type="dcterms:W3CDTF">2020-09-04T05:46:14Z</dcterms:modified>
</cp:coreProperties>
</file>