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5" i="1"/>
  <c r="E4" i="1"/>
  <c r="E3" i="1"/>
  <c r="E12" i="1" s="1"/>
  <c r="E6" i="1"/>
  <c r="E7" i="1" s="1"/>
  <c r="B7" i="1"/>
  <c r="B13" i="1" s="1"/>
  <c r="E13" i="1" l="1"/>
  <c r="E14" i="1" s="1"/>
  <c r="E8" i="1"/>
  <c r="E15" i="1" s="1"/>
  <c r="E16" i="1" l="1"/>
  <c r="G4" i="1"/>
  <c r="G8" i="1"/>
  <c r="E17" i="1"/>
  <c r="G3" i="1" s="1"/>
  <c r="E18" i="1"/>
  <c r="E19" i="1" l="1"/>
  <c r="G7" i="1"/>
  <c r="G5" i="1"/>
  <c r="G6" i="1" l="1"/>
  <c r="G9" i="1"/>
  <c r="G10" i="1" s="1"/>
</calcChain>
</file>

<file path=xl/sharedStrings.xml><?xml version="1.0" encoding="utf-8"?>
<sst xmlns="http://schemas.openxmlformats.org/spreadsheetml/2006/main" count="46" uniqueCount="46">
  <si>
    <t>Primary Voltage (kV)</t>
  </si>
  <si>
    <t>Secondary Voltage (kV)</t>
  </si>
  <si>
    <t>Power (kVA)</t>
  </si>
  <si>
    <t xml:space="preserve">Max Ambient Temp </t>
  </si>
  <si>
    <t xml:space="preserve">frequency </t>
  </si>
  <si>
    <t>current density (A/mm2)</t>
  </si>
  <si>
    <t>Input Parameters</t>
  </si>
  <si>
    <t>Bmax (T)</t>
  </si>
  <si>
    <t>Fill Factor</t>
  </si>
  <si>
    <t>Max Coil Temp</t>
  </si>
  <si>
    <t>core loss (W/kg)</t>
  </si>
  <si>
    <t>density of the copper (kg/m3)</t>
  </si>
  <si>
    <t>density of the core material(kg/m3)</t>
  </si>
  <si>
    <t>Core material cost ($)</t>
  </si>
  <si>
    <t>lamination factor</t>
  </si>
  <si>
    <t>Intermediate Parameters</t>
  </si>
  <si>
    <t>Primary Number of Turns</t>
  </si>
  <si>
    <t>Secondary Turns</t>
  </si>
  <si>
    <t>Secondary Current (efficiency ignored)</t>
  </si>
  <si>
    <t>core weight</t>
  </si>
  <si>
    <t>TOTAL LOSS</t>
  </si>
  <si>
    <t>EFFICIENCY</t>
  </si>
  <si>
    <t>Copper Cost</t>
  </si>
  <si>
    <t>Core Cost</t>
  </si>
  <si>
    <t>primary conductor weight</t>
  </si>
  <si>
    <t>secondary conductor weight</t>
  </si>
  <si>
    <t>Llk</t>
  </si>
  <si>
    <t>Lmagnetizing</t>
  </si>
  <si>
    <t>Core Area (cm2)</t>
  </si>
  <si>
    <t>Primary Current (efficiency ignored)</t>
  </si>
  <si>
    <t>Core depth (cm)</t>
  </si>
  <si>
    <t>Window Area (cm2)</t>
  </si>
  <si>
    <t>core volume (m3)</t>
  </si>
  <si>
    <t>MLT (cm)</t>
  </si>
  <si>
    <t>rho Copper at 100C  (ohm*m/mm2)</t>
  </si>
  <si>
    <t>Conductor length (primary, m)</t>
  </si>
  <si>
    <t>Conductor length (secondary, m)</t>
  </si>
  <si>
    <t>Outputs</t>
  </si>
  <si>
    <t>Rp(ohm)</t>
  </si>
  <si>
    <t>copper loss (total, W)</t>
  </si>
  <si>
    <t>TOTAL COST</t>
  </si>
  <si>
    <t>efficiency cost (20 years, capacity factor=0.5)</t>
  </si>
  <si>
    <t>primary conducter crossection (mm2)</t>
  </si>
  <si>
    <t>secondary conducter crossection (mm2)</t>
  </si>
  <si>
    <t>Copper cost ($/kg)</t>
  </si>
  <si>
    <t>core loss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</si>
</sst>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3" borderId="0" xfId="0" applyFont="1" applyFill="1"/>
    <xf numFmtId="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workbookViewId="0">
      <selection activeCell="F11" sqref="F11"/>
    </sheetView>
  </sheetViews>
  <sheetFormatPr defaultRowHeight="18" x14ac:dyDescent="0.35"/>
  <cols>
    <col min="1" max="1" width="37.77734375" style="3" customWidth="1"/>
    <col min="2" max="3" width="8.88671875" style="2"/>
    <col min="4" max="4" width="44.21875" style="3" customWidth="1"/>
    <col min="5" max="5" width="20.6640625" style="3" customWidth="1"/>
    <col min="6" max="6" width="48.77734375" style="2" customWidth="1"/>
    <col min="7" max="7" width="16.44140625" style="2" customWidth="1"/>
    <col min="8" max="16384" width="8.88671875" style="2"/>
  </cols>
  <sheetData>
    <row r="2" spans="1:7" x14ac:dyDescent="0.35">
      <c r="A2" s="1" t="s">
        <v>6</v>
      </c>
      <c r="B2" s="1"/>
      <c r="D2" s="1" t="s">
        <v>15</v>
      </c>
      <c r="E2" s="1"/>
      <c r="F2" s="5" t="s">
        <v>37</v>
      </c>
      <c r="G2" s="5"/>
    </row>
    <row r="3" spans="1:7" x14ac:dyDescent="0.35">
      <c r="A3" s="3" t="s">
        <v>0</v>
      </c>
      <c r="B3" s="2">
        <v>34.5</v>
      </c>
      <c r="D3" s="3" t="s">
        <v>17</v>
      </c>
      <c r="E3" s="3">
        <f>ROUND(B4/B3*B20,0)</f>
        <v>1141</v>
      </c>
      <c r="F3" s="3" t="s">
        <v>39</v>
      </c>
      <c r="G3" s="2">
        <f>2*E17*E4*E4</f>
        <v>4477.4614639067386</v>
      </c>
    </row>
    <row r="4" spans="1:7" x14ac:dyDescent="0.35">
      <c r="A4" s="3" t="s">
        <v>1</v>
      </c>
      <c r="B4" s="2">
        <v>25</v>
      </c>
      <c r="D4" s="3" t="s">
        <v>29</v>
      </c>
      <c r="E4" s="3">
        <f>B5/B3</f>
        <v>14.492753623188406</v>
      </c>
      <c r="F4" s="2" t="s">
        <v>45</v>
      </c>
      <c r="G4" s="2">
        <f>B11*E14</f>
        <v>3094.7256678997128</v>
      </c>
    </row>
    <row r="5" spans="1:7" x14ac:dyDescent="0.35">
      <c r="A5" s="3" t="s">
        <v>2</v>
      </c>
      <c r="B5" s="2">
        <v>500</v>
      </c>
      <c r="D5" s="3" t="s">
        <v>18</v>
      </c>
      <c r="E5" s="3">
        <f>E4*B3/B4</f>
        <v>20</v>
      </c>
      <c r="F5" s="2" t="s">
        <v>20</v>
      </c>
      <c r="G5" s="2">
        <f>(G3+G4)/1000</f>
        <v>7.5721871318064515</v>
      </c>
    </row>
    <row r="6" spans="1:7" x14ac:dyDescent="0.35">
      <c r="A6" s="3" t="s">
        <v>3</v>
      </c>
      <c r="B6" s="2">
        <v>50</v>
      </c>
      <c r="D6" s="3" t="s">
        <v>28</v>
      </c>
      <c r="E6" s="3">
        <f>B3*1000/4.44/B20/B10/B8*10000</f>
        <v>657.80065780065775</v>
      </c>
      <c r="F6" s="2" t="s">
        <v>21</v>
      </c>
      <c r="G6" s="2">
        <f>B5/(B5+G5)</f>
        <v>0.9850815562322367</v>
      </c>
    </row>
    <row r="7" spans="1:7" x14ac:dyDescent="0.35">
      <c r="A7" s="3" t="s">
        <v>9</v>
      </c>
      <c r="B7" s="2">
        <f>50+30</f>
        <v>80</v>
      </c>
      <c r="D7" s="3" t="s">
        <v>30</v>
      </c>
      <c r="E7" s="3">
        <f>SQRT(E6)</f>
        <v>25.64762479842252</v>
      </c>
      <c r="F7" s="2" t="s">
        <v>22</v>
      </c>
      <c r="G7" s="2">
        <f>2*E18*B17</f>
        <v>771.08803376572132</v>
      </c>
    </row>
    <row r="8" spans="1:7" x14ac:dyDescent="0.35">
      <c r="A8" s="3" t="s">
        <v>4</v>
      </c>
      <c r="B8" s="2">
        <v>50</v>
      </c>
      <c r="D8" s="3" t="s">
        <v>33</v>
      </c>
      <c r="E8" s="3">
        <f>4*E7*1.05</f>
        <v>107.72002415337458</v>
      </c>
      <c r="F8" s="2" t="s">
        <v>23</v>
      </c>
      <c r="G8" s="2">
        <f>E14*B18</f>
        <v>8181.4586622636079</v>
      </c>
    </row>
    <row r="9" spans="1:7" x14ac:dyDescent="0.35">
      <c r="A9" s="3" t="s">
        <v>5</v>
      </c>
      <c r="B9" s="2">
        <v>4</v>
      </c>
      <c r="D9" s="3" t="s">
        <v>42</v>
      </c>
      <c r="E9" s="3">
        <f>E4/B9</f>
        <v>3.6231884057971016</v>
      </c>
      <c r="F9" s="2" t="s">
        <v>41</v>
      </c>
      <c r="G9" s="2">
        <f>0.5*20*365*24*G5*0.2</f>
        <v>132664.71854924905</v>
      </c>
    </row>
    <row r="10" spans="1:7" x14ac:dyDescent="0.35">
      <c r="A10" s="3" t="s">
        <v>7</v>
      </c>
      <c r="B10" s="2">
        <v>1.5</v>
      </c>
      <c r="D10" s="3" t="s">
        <v>43</v>
      </c>
      <c r="E10" s="3">
        <f>E5/B9</f>
        <v>5</v>
      </c>
      <c r="F10" s="6" t="s">
        <v>40</v>
      </c>
      <c r="G10" s="2">
        <f>G7+G8+G9</f>
        <v>141617.2652452784</v>
      </c>
    </row>
    <row r="11" spans="1:7" x14ac:dyDescent="0.35">
      <c r="A11" s="3" t="s">
        <v>10</v>
      </c>
      <c r="B11" s="2">
        <v>0.87</v>
      </c>
    </row>
    <row r="12" spans="1:7" x14ac:dyDescent="0.35">
      <c r="A12" s="3" t="s">
        <v>14</v>
      </c>
      <c r="B12" s="2">
        <v>0.95</v>
      </c>
      <c r="D12" s="3" t="s">
        <v>31</v>
      </c>
      <c r="E12" s="3">
        <f>(E9*B20+E10*E3)/B14</f>
        <v>22823.043478260872</v>
      </c>
    </row>
    <row r="13" spans="1:7" x14ac:dyDescent="0.35">
      <c r="A13" s="3" t="s">
        <v>34</v>
      </c>
      <c r="B13" s="2">
        <f>1.1*0.0168*(1+0.003862*(B7-20))</f>
        <v>2.2762185599999998E-2</v>
      </c>
      <c r="D13" s="3" t="s">
        <v>32</v>
      </c>
      <c r="E13" s="3">
        <f>E7*((SQRT(E12)+2*E7)^2-E12)/1000000</f>
        <v>0.46498770459014538</v>
      </c>
    </row>
    <row r="14" spans="1:7" x14ac:dyDescent="0.35">
      <c r="A14" s="3" t="s">
        <v>8</v>
      </c>
      <c r="B14" s="2">
        <v>0.5</v>
      </c>
      <c r="D14" s="3" t="s">
        <v>19</v>
      </c>
      <c r="E14" s="3">
        <f>E13*B16</f>
        <v>3557.1559401146123</v>
      </c>
    </row>
    <row r="15" spans="1:7" x14ac:dyDescent="0.35">
      <c r="A15" s="3" t="s">
        <v>11</v>
      </c>
      <c r="B15" s="2">
        <v>8960</v>
      </c>
      <c r="D15" s="3" t="s">
        <v>35</v>
      </c>
      <c r="E15" s="3">
        <f>B20*E8/100</f>
        <v>1696.5903804156496</v>
      </c>
    </row>
    <row r="16" spans="1:7" x14ac:dyDescent="0.35">
      <c r="A16" s="3" t="s">
        <v>12</v>
      </c>
      <c r="B16" s="2">
        <v>7650</v>
      </c>
      <c r="D16" s="3" t="s">
        <v>36</v>
      </c>
      <c r="E16" s="3">
        <f>E3*E8/100</f>
        <v>1229.0854755900039</v>
      </c>
    </row>
    <row r="17" spans="1:5" x14ac:dyDescent="0.35">
      <c r="A17" s="3" t="s">
        <v>44</v>
      </c>
      <c r="B17" s="2">
        <v>7</v>
      </c>
      <c r="D17" s="3" t="s">
        <v>38</v>
      </c>
      <c r="E17" s="3">
        <f>E15*B13/E9</f>
        <v>10.658597014829992</v>
      </c>
    </row>
    <row r="18" spans="1:5" x14ac:dyDescent="0.35">
      <c r="A18" s="3" t="s">
        <v>13</v>
      </c>
      <c r="B18" s="2">
        <v>2.2999999999999998</v>
      </c>
      <c r="D18" s="3" t="s">
        <v>24</v>
      </c>
      <c r="E18" s="3">
        <f>E15*E9*B15/1000000</f>
        <v>55.077716697551523</v>
      </c>
    </row>
    <row r="19" spans="1:5" x14ac:dyDescent="0.35">
      <c r="D19" s="3" t="s">
        <v>25</v>
      </c>
      <c r="E19" s="3">
        <f>E18</f>
        <v>55.077716697551523</v>
      </c>
    </row>
    <row r="20" spans="1:5" x14ac:dyDescent="0.35">
      <c r="A20" s="4" t="s">
        <v>16</v>
      </c>
      <c r="B20" s="2">
        <v>1575</v>
      </c>
      <c r="D20" s="3" t="s">
        <v>26</v>
      </c>
      <c r="E20" s="7">
        <v>0.05</v>
      </c>
    </row>
    <row r="21" spans="1:5" x14ac:dyDescent="0.35">
      <c r="D21" s="3" t="s">
        <v>27</v>
      </c>
    </row>
  </sheetData>
  <mergeCells count="3">
    <mergeCell ref="D2:E2"/>
    <mergeCell ref="A2:B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2018-03-28T20:54:28Z</dcterms:modified>
</cp:coreProperties>
</file>